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projects\PitchBook\Platform\platform-downloads\src\main\resources\com\pitchbook\excel\processor\tables\"/>
    </mc:Choice>
  </mc:AlternateContent>
  <bookViews>
    <workbookView xWindow="0" yWindow="120" windowWidth="28755" windowHeight="13095" activeTab="0"/>
  </bookViews>
  <sheets>
    <sheet name="Data" sheetId="6" r:id="rId1"/>
    <sheet name="Disclaimer" r:id="rId5" sheetId="7"/>
  </sheets>
  <definedNames>
    <definedName name="CreatedFor">Data!$G$6</definedName>
    <definedName name="CreatedForTitle">Data!$F$6</definedName>
  </definedNames>
  <calcPr calcId="125725"/>
</workbook>
</file>

<file path=xl/sharedStrings.xml><?xml version="1.0" encoding="utf-8"?>
<sst xmlns="http://schemas.openxmlformats.org/spreadsheetml/2006/main" count="154" uniqueCount="153">
  <si>
    <t>Search Criteria:</t>
  </si>
  <si>
    <t>Downloaded on:</t>
  </si>
  <si>
    <t xml:space="preserve"> </t>
  </si>
  <si>
    <t xml:space="preserve"> Search Link:</t>
  </si>
  <si>
    <t>All Columns</t>
  </si>
  <si>
    <t xml:space="preserve">Industries: Consumer Products and Services (B2C) &gt; Apparel and Accessories; </t>
  </si>
  <si>
    <t>https://my.pitchbook.com/?pcc=205436-26</t>
  </si>
  <si>
    <t>3/26/2019</t>
  </si>
  <si>
    <t>Created for:</t>
  </si>
  <si>
    <t xml:space="preserve">Eric Gulve, BioGenerator </t>
  </si>
  <si>
    <t>Company ID</t>
  </si>
  <si>
    <t>Company Name</t>
  </si>
  <si>
    <t>Company Former Name</t>
  </si>
  <si>
    <t>Company Also Known As</t>
  </si>
  <si>
    <t>PBId</t>
  </si>
  <si>
    <t>Description</t>
  </si>
  <si>
    <t>Primary Industry Sector</t>
  </si>
  <si>
    <t>Primary Industry Group</t>
  </si>
  <si>
    <t>Primary Industry Code</t>
  </si>
  <si>
    <t>All Industries</t>
  </si>
  <si>
    <t>Verticals</t>
  </si>
  <si>
    <t>Keywords</t>
  </si>
  <si>
    <t>Company Financing Status</t>
  </si>
  <si>
    <t>Total Raised</t>
  </si>
  <si>
    <t>Business Status</t>
  </si>
  <si>
    <t>Ownership Status</t>
  </si>
  <si>
    <t>Universe</t>
  </si>
  <si>
    <t>Website</t>
  </si>
  <si>
    <t>Employees</t>
  </si>
  <si>
    <t>Employee History</t>
  </si>
  <si>
    <t>Exchange</t>
  </si>
  <si>
    <t>Ticker</t>
  </si>
  <si>
    <t>Year Founded</t>
  </si>
  <si>
    <t>Parent Company</t>
  </si>
  <si>
    <t>Daily Updates</t>
  </si>
  <si>
    <t>Weekly Updates</t>
  </si>
  <si>
    <t>Revenue</t>
  </si>
  <si>
    <t>Gross Profit</t>
  </si>
  <si>
    <t>Net Income</t>
  </si>
  <si>
    <t>Enterprise Value</t>
  </si>
  <si>
    <t>EBITDA</t>
  </si>
  <si>
    <t>Fiscal Period</t>
  </si>
  <si>
    <t>EBIT</t>
  </si>
  <si>
    <t>Market Cap</t>
  </si>
  <si>
    <t>Net Debt</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</si>
  <si>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</si>
  <si>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</si>
  <si>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</si>
  <si>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</si>
  <si>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</si>
  <si>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</si>
  <si>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</si>
  <si>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</si>
  <si>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</si>
  <si>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</si>
  <si>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</si>
  <si>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</si>
  <si>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</si>
  <si>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</si>
  <si>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</si>
  <si>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</si>
  <si>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</si>
  <si>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</si>
  <si>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</si>
  <si>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</si>
  <si>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</si>
  <si>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</si>
  <si>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</si>
  <si>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</si>
  <si>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</si>
  <si>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</si>
  <si>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</si>
  <si>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</si>
  <si>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</si>
  <si>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</si>
  <si>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</si>
  <si>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</si>
  <si>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</si>
  <si>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</si>
  <si>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</si>
  <si>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</si>
  <si>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</si>
  <si>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</si>
  <si>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</si>
  <si>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</si>
  <si>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</si>
  <si>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</si>
  <si>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</si>
  <si>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</si>
  <si>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</si>
  <si>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</si>
  <si>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</si>
  <si>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Last Financing Deal Type 2</t>
  </si>
  <si>
    <t>Last Financing Deal Type 3</t>
  </si>
  <si>
    <t>Last Financing Deal Class</t>
  </si>
  <si>
    <t>Last Financing Debt Type</t>
  </si>
  <si>
    <t>Last Financing Debt Type 2</t>
  </si>
  <si>
    <t>Last Financing Debt Type 3</t>
  </si>
  <si>
    <t>Last Financing Status</t>
  </si>
  <si>
    <t>Last Financing Debt Date</t>
  </si>
  <si>
    <t>Last Financing Debt Size</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</si>
  <si>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</si>
  <si>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</si>
  <si>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</si>
  <si>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</si>
  <si>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</si>
  <si>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</si>
  <si>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</si>
  <si>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</si>
  <si>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</si>
  <si>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</si>
  <si>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</si>
  <si>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</si>
  <si>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</si>
  <si>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</si>
  <si>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</si>
  <si>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</si>
  <si>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</si>
  <si>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</si>
  <si>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</si>
  <si>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</si>
  <si>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</si>
  <si>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</si>
  <si>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</si>
  <si>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</si>
  <si>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</si>
  <si>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</si>
  <si>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Twitter Size Multiple</t>
  </si>
  <si>
    <t>Twitter Size Multiple Percentile</t>
  </si>
  <si>
    <t>SimilarWeb Unique Visitors</t>
  </si>
  <si>
    <t>SimilarWeb Unique Visitors Change</t>
  </si>
  <si>
    <t>SimilarWeb Unique Visitors % Change</t>
  </si>
  <si>
    <t>Majestic Referring Domains</t>
  </si>
  <si>
    <t>Majestic Referring Domains Change</t>
  </si>
  <si>
    <t>Majestic Referring Domains % Change</t>
  </si>
  <si>
    <t>Twitter Followers</t>
  </si>
  <si>
    <t>Twitter Followers Change</t>
  </si>
  <si>
    <t>Twitter Followers % Change</t>
  </si>
  <si>
    <t>Profile Data Source</t>
  </si>
  <si>
    <t>Last Updated Date</t>
  </si>
  <si>
    <t>Last Known Valuation</t>
  </si>
  <si>
    <t>Last Known Valuation Date</t>
  </si>
  <si>
    <t>Last Known Valuation Deal Type</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</si>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</sst>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5" formatCode="#,##0.00;[red](#,##0.00)"/>
    <numFmt numFmtId="166" formatCode="#,##0;[red](#,##0)"/>
    <numFmt numFmtId="167" formatCode="0000"/>
    <numFmt numFmtId="168" formatCode="#,###"/>
    <numFmt numFmtId="169" formatCode="dd-MMM-yyyy"/>
    <numFmt numFmtId="170" formatCode="#,##0.00&quot;%&quot;;[red]-#,##0.00&quot;%&quot;"/>
    <numFmt numFmtId="171" formatCode="#,##0;"/>
    <numFmt numFmtId="172" formatCode="#,##0.00x;[red]-#,##0.00x"/>
    <numFmt numFmtId="173" formatCode="#,##0;[red]-#,##0"/>
    <numFmt numFmtId="174" formatCode="#,##0.00;[red]-#,##0.00"/>
  </numFmts>
  <fonts count="560" x14ac:knownFonts="1">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sz val="8"/>
      <color theme="1"/>
      <name val="Arial"/>
      <family val="2"/>
    </font>
    <font>
      <name val="Arial"/>
      <sz val="8.0"/>
      <color indexed="1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561">
    <xf numFmtId="0" fontId="0" fillId="0" borderId="0" xfId="0"/>
    <xf numFmtId="0" fontId="3" fillId="2" borderId="0" xfId="0" applyFont="1" applyFill="1" applyAlignment="1">
      <alignment horizontal="right"/>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2" fillId="0" borderId="0" xfId="0" applyFont="1" applyAlignment="1">
      <alignment horizontal="right" vertical="top"/>
    </xf>
    <xf numFmtId="0" fontId="7" fillId="0" borderId="0" xfId="0" applyFont="1" applyAlignment="1">
      <alignment horizontal="right"/>
    </xf>
    <xf numFmtId="0" fontId="4" fillId="2" borderId="0" xfId="0" applyFont="1" applyFill="1" applyAlignment="1">
      <alignment horizontal="left" vertical="top" wrapText="true"/>
    </xf>
    <xf numFmtId="0" fontId="0" fillId="0" borderId="0" xfId="0" applyAlignment="1">
      <alignment horizontal="left"/>
    </xf>
    <xf numFmtId="0" fontId="8" fillId="0" borderId="0" xfId="0" applyFont="true">
      <alignment wrapText="true"/>
    </xf>
    <xf numFmtId="0" fontId="9" fillId="4" borderId="2" xfId="0" applyFill="true" applyFont="true" applyBorder="true">
      <alignment horizontal="center" vertical="center" wrapText="true"/>
    </xf>
    <xf numFmtId="0" fontId="10" fillId="4" borderId="4" xfId="0" applyFill="true" applyFont="true" applyBorder="true">
      <alignment horizontal="center" vertical="center" wrapText="true"/>
    </xf>
    <xf numFmtId="0" fontId="11" fillId="0" borderId="0" xfId="0" applyFont="true">
      <alignment horizontal="general" vertical="bottom"/>
    </xf>
    <xf numFmtId="0" fontId="12" fillId="6" borderId="6" xfId="0" applyFill="true" applyFont="true" applyBorder="true">
      <alignment horizontal="general" vertical="top" indent="1" wrapText="false"/>
    </xf>
    <xf numFmtId="0" fontId="13" fillId="6" borderId="6" xfId="0" applyFill="true" applyFont="true" applyBorder="true">
      <alignment horizontal="general" vertical="top" indent="1" wrapText="false"/>
    </xf>
    <xf numFmtId="0" fontId="14" fillId="6" borderId="6" xfId="0" applyFill="true" applyFont="true" applyBorder="true">
      <alignment horizontal="general" vertical="top" indent="1" wrapText="false"/>
    </xf>
    <xf numFmtId="0" fontId="15" fillId="6" borderId="6" xfId="0" applyFill="true" applyFont="true" applyBorder="true">
      <alignment horizontal="general" vertical="top" indent="1" wrapText="false"/>
    </xf>
    <xf numFmtId="0" fontId="16" fillId="6" borderId="6" xfId="0" applyFill="true" applyFont="true" applyBorder="true">
      <alignment horizontal="general" vertical="top" indent="1" wrapText="false"/>
    </xf>
    <xf numFmtId="0" fontId="17" fillId="6" borderId="6" xfId="0" applyFill="true" applyFont="true" applyBorder="true">
      <alignment horizontal="general" vertical="top" indent="1" wrapText="false"/>
    </xf>
    <xf numFmtId="0" fontId="18" fillId="6" borderId="6" xfId="0" applyFill="true" applyFont="true" applyBorder="true">
      <alignment horizontal="general" vertical="top" indent="1" wrapText="false"/>
    </xf>
    <xf numFmtId="0" fontId="19" fillId="6" borderId="6" xfId="0" applyFill="true" applyFont="true" applyBorder="true">
      <alignment horizontal="general" vertical="top" indent="1" wrapText="false"/>
    </xf>
    <xf numFmtId="0" fontId="20" fillId="6" borderId="6" xfId="0" applyFill="true" applyFont="true" applyBorder="true">
      <alignment horizontal="general" vertical="top" indent="1" wrapText="false"/>
    </xf>
    <xf numFmtId="0" fontId="21" fillId="6" borderId="6" xfId="0" applyFill="true" applyFont="true" applyBorder="true">
      <alignment horizontal="general" vertical="top" indent="1" wrapText="false"/>
    </xf>
    <xf numFmtId="0" fontId="22" fillId="6" borderId="6" xfId="0" applyFill="true" applyFont="true" applyBorder="true">
      <alignment horizontal="general" vertical="top" indent="1" wrapText="false"/>
    </xf>
    <xf numFmtId="0" fontId="23" fillId="6" borderId="6" xfId="0" applyFill="true" applyFont="true" applyBorder="true">
      <alignment horizontal="general" vertical="top" indent="1" wrapText="false"/>
    </xf>
    <xf numFmtId="0" fontId="24" fillId="6" borderId="6" xfId="0" applyFill="true" applyFont="true" applyBorder="true">
      <alignment horizontal="general" vertical="top" indent="1" wrapText="false"/>
    </xf>
    <xf numFmtId="165" fontId="25" fillId="6" borderId="6" xfId="0" applyFill="true" applyFont="true" applyBorder="true" applyNumberFormat="true">
      <alignment horizontal="right" vertical="top" indent="1" wrapText="false"/>
    </xf>
    <xf numFmtId="0" fontId="26" fillId="6" borderId="6" xfId="0" applyFill="true" applyFont="true" applyBorder="true">
      <alignment horizontal="general" vertical="top" indent="1" wrapText="false"/>
    </xf>
    <xf numFmtId="0" fontId="27" fillId="6" borderId="6" xfId="0" applyFill="true" applyFont="true" applyBorder="true">
      <alignment horizontal="general" vertical="top" indent="1" wrapText="false"/>
    </xf>
    <xf numFmtId="0" fontId="28" fillId="6" borderId="6" xfId="0" applyFill="true" applyFont="true" applyBorder="true">
      <alignment horizontal="general" vertical="top" indent="1" wrapText="false"/>
    </xf>
    <xf numFmtId="0" fontId="29" fillId="6" borderId="6" xfId="0" applyFill="true" applyFont="true" applyBorder="true">
      <alignment horizontal="general" vertical="top" indent="1" wrapText="false"/>
    </xf>
    <xf numFmtId="166" fontId="30" fillId="6" borderId="6" xfId="0" applyFill="true" applyFont="true" applyBorder="true" applyNumberFormat="true">
      <alignment horizontal="right" vertical="top" indent="1" wrapText="false"/>
    </xf>
    <xf numFmtId="0" fontId="31" fillId="6" borderId="6" xfId="0" applyFill="true" applyFont="true" applyBorder="true">
      <alignment horizontal="general" vertical="top" indent="1" wrapText="false"/>
    </xf>
    <xf numFmtId="0" fontId="32" fillId="6" borderId="6" xfId="0" applyFill="true" applyFont="true" applyBorder="true">
      <alignment horizontal="general" vertical="top" indent="1" wrapText="false"/>
    </xf>
    <xf numFmtId="0" fontId="33" fillId="6" borderId="6" xfId="0" applyFill="true" applyFont="true" applyBorder="true">
      <alignment horizontal="general" vertical="top" indent="1" wrapText="false"/>
    </xf>
    <xf numFmtId="167" fontId="34" fillId="6" borderId="6" xfId="0" applyFill="true" applyFont="true" applyBorder="true" applyNumberFormat="true">
      <alignment horizontal="right" vertical="top" indent="1" wrapText="false"/>
    </xf>
    <xf numFmtId="0" fontId="35" fillId="6" borderId="6" xfId="0" applyFill="true" applyFont="true" applyBorder="true">
      <alignment horizontal="general" vertical="top" indent="1" wrapText="false"/>
    </xf>
    <xf numFmtId="0" fontId="36" fillId="6" borderId="6" xfId="0" applyFill="true" applyFont="true" applyBorder="true">
      <alignment horizontal="general" vertical="top" indent="1" wrapText="false"/>
    </xf>
    <xf numFmtId="0" fontId="37" fillId="6" borderId="6" xfId="0" applyFill="true" applyFont="true" applyBorder="true">
      <alignment horizontal="general" vertical="top" indent="1" wrapText="false"/>
    </xf>
    <xf numFmtId="4" fontId="38" fillId="6" borderId="6" xfId="0" applyFill="true" applyFont="true" applyBorder="true" applyNumberFormat="true">
      <alignment horizontal="right" vertical="top" indent="1" wrapText="false"/>
    </xf>
    <xf numFmtId="4" fontId="39" fillId="6" borderId="6" xfId="0" applyFill="true" applyFont="true" applyBorder="true" applyNumberFormat="true">
      <alignment horizontal="right" vertical="top" indent="1" wrapText="false"/>
    </xf>
    <xf numFmtId="4" fontId="40" fillId="6" borderId="6" xfId="0" applyFill="true" applyFont="true" applyBorder="true" applyNumberFormat="true">
      <alignment horizontal="right" vertical="top" indent="1" wrapText="false"/>
    </xf>
    <xf numFmtId="4" fontId="41" fillId="6" borderId="6" xfId="0" applyFill="true" applyFont="true" applyBorder="true" applyNumberFormat="true">
      <alignment horizontal="right" vertical="top" indent="1" wrapText="false"/>
    </xf>
    <xf numFmtId="4" fontId="42" fillId="6" borderId="6" xfId="0" applyFill="true" applyFont="true" applyBorder="true" applyNumberFormat="true">
      <alignment horizontal="right" vertical="top" indent="1" wrapText="false"/>
    </xf>
    <xf numFmtId="0" fontId="43" fillId="6" borderId="6" xfId="0" applyFill="true" applyFont="true" applyBorder="true">
      <alignment horizontal="general" vertical="top" indent="1" wrapText="false"/>
    </xf>
    <xf numFmtId="4" fontId="44" fillId="6" borderId="6" xfId="0" applyFill="true" applyFont="true" applyBorder="true" applyNumberFormat="true">
      <alignment horizontal="right" vertical="top" indent="1" wrapText="false"/>
    </xf>
    <xf numFmtId="4" fontId="45" fillId="6" borderId="6" xfId="0" applyFill="true" applyFont="true" applyBorder="true" applyNumberFormat="true">
      <alignment horizontal="right" vertical="top" indent="1" wrapText="false"/>
    </xf>
    <xf numFmtId="4" fontId="46" fillId="6" borderId="6" xfId="0" applyFill="true" applyFont="true" applyBorder="true" applyNumberFormat="true">
      <alignment horizontal="right" vertical="top" indent="1" wrapText="false"/>
    </xf>
    <xf numFmtId="0" fontId="47" fillId="6" borderId="6" xfId="0" applyFill="true" applyFont="true" applyBorder="true">
      <alignment horizontal="general" vertical="top" indent="1" wrapText="false"/>
    </xf>
    <xf numFmtId="0" fontId="48" fillId="6" borderId="6" xfId="0" applyFill="true" applyFont="true" applyBorder="true">
      <alignment horizontal="general" vertical="top" indent="1" wrapText="false"/>
    </xf>
    <xf numFmtId="0" fontId="49" fillId="6" borderId="6" xfId="0" applyFill="true" applyFont="true" applyBorder="true">
      <alignment horizontal="general" vertical="top" indent="1" wrapText="false"/>
    </xf>
    <xf numFmtId="0" fontId="50" fillId="6" borderId="6" xfId="0" applyFill="true" applyFont="true" applyBorder="true">
      <alignment horizontal="general" vertical="top" indent="1" wrapText="false"/>
    </xf>
    <xf numFmtId="0" fontId="51" fillId="6" borderId="6" xfId="0" applyFill="true" applyFont="true" applyBorder="true">
      <alignment horizontal="general" vertical="top" indent="1" wrapText="false"/>
    </xf>
    <xf numFmtId="0" fontId="52" fillId="6" borderId="6" xfId="0" applyFill="true" applyFont="true" applyBorder="true">
      <alignment horizontal="general" vertical="top" indent="1" wrapText="false"/>
    </xf>
    <xf numFmtId="0" fontId="53" fillId="6" borderId="6" xfId="0" applyFill="true" applyFont="true" applyBorder="true">
      <alignment horizontal="general" vertical="top" indent="1" wrapText="false"/>
    </xf>
    <xf numFmtId="0" fontId="54" fillId="6" borderId="6" xfId="0" applyFill="true" applyFont="true" applyBorder="true">
      <alignment horizontal="general" vertical="top" indent="1" wrapText="false"/>
    </xf>
    <xf numFmtId="0" fontId="55" fillId="6" borderId="6" xfId="0" applyFill="true" applyFont="true" applyBorder="true">
      <alignment horizontal="general" vertical="top" indent="1" wrapText="false"/>
    </xf>
    <xf numFmtId="0" fontId="56" fillId="6" borderId="6" xfId="0" applyFill="true" applyFont="true" applyBorder="true">
      <alignment horizontal="general" vertical="top" indent="1" wrapText="false"/>
    </xf>
    <xf numFmtId="0" fontId="57" fillId="6" borderId="6" xfId="0" applyFill="true" applyFont="true" applyBorder="true">
      <alignment horizontal="general" vertical="top" indent="1" wrapText="false"/>
    </xf>
    <xf numFmtId="0" fontId="58" fillId="6" borderId="6" xfId="0" applyFill="true" applyFont="true" applyBorder="true">
      <alignment horizontal="general" vertical="top" indent="1" wrapText="false"/>
    </xf>
    <xf numFmtId="0" fontId="59" fillId="6" borderId="6" xfId="0" applyFill="true" applyFont="true" applyBorder="true">
      <alignment horizontal="general" vertical="top" indent="1" wrapText="false"/>
    </xf>
    <xf numFmtId="0" fontId="60" fillId="6" borderId="6" xfId="0" applyFill="true" applyFont="true" applyBorder="true">
      <alignment horizontal="general" vertical="top" indent="1" wrapText="false"/>
    </xf>
    <xf numFmtId="0" fontId="61" fillId="6" borderId="6" xfId="0" applyFill="true" applyFont="true" applyBorder="true">
      <alignment horizontal="general" vertical="top" indent="1" wrapText="false"/>
    </xf>
    <xf numFmtId="0" fontId="62" fillId="6" borderId="6" xfId="0" applyFill="true" applyFont="true" applyBorder="true">
      <alignment horizontal="general" vertical="top" indent="1" wrapText="false"/>
    </xf>
    <xf numFmtId="0" fontId="63" fillId="6" borderId="6" xfId="0" applyFill="true" applyFont="true" applyBorder="true">
      <alignment horizontal="general" vertical="top" indent="1" wrapText="false"/>
    </xf>
    <xf numFmtId="0" fontId="64" fillId="6" borderId="6" xfId="0" applyFill="true" applyFont="true" applyBorder="true">
      <alignment horizontal="general" vertical="top" indent="1" wrapText="false"/>
    </xf>
    <xf numFmtId="0" fontId="65" fillId="6" borderId="6" xfId="0" applyFill="true" applyFont="true" applyBorder="true">
      <alignment horizontal="general" vertical="top" indent="1" wrapText="false"/>
    </xf>
    <xf numFmtId="168" fontId="66" fillId="6" borderId="6" xfId="0" applyFill="true" applyFont="true" applyBorder="true" applyNumberFormat="true">
      <alignment horizontal="right" vertical="top" indent="1" wrapText="false"/>
    </xf>
    <xf numFmtId="0" fontId="67" fillId="6" borderId="6" xfId="0" applyFill="true" applyFont="true" applyBorder="true">
      <alignment horizontal="general" vertical="top" indent="1" wrapText="false"/>
    </xf>
    <xf numFmtId="0" fontId="68" fillId="6" borderId="6" xfId="0" applyFill="true" applyFont="true" applyBorder="true">
      <alignment horizontal="general" vertical="top" indent="1" wrapText="false"/>
    </xf>
    <xf numFmtId="0" fontId="69" fillId="6" borderId="6" xfId="0" applyFill="true" applyFont="true" applyBorder="true">
      <alignment horizontal="general" vertical="top" indent="1" wrapText="false"/>
    </xf>
    <xf numFmtId="0" fontId="70" fillId="6" borderId="6" xfId="0" applyFill="true" applyFont="true" applyBorder="true">
      <alignment horizontal="general" vertical="top" indent="1" wrapText="false"/>
    </xf>
    <xf numFmtId="0" fontId="71" fillId="6" borderId="6" xfId="0" applyFill="true" applyFont="true" applyBorder="true">
      <alignment horizontal="general" vertical="top" indent="1" wrapText="false"/>
    </xf>
    <xf numFmtId="0" fontId="72" fillId="6" borderId="6" xfId="0" applyFill="true" applyFont="true" applyBorder="true">
      <alignment horizontal="general" vertical="top" indent="1" wrapText="false"/>
    </xf>
    <xf numFmtId="0" fontId="73" fillId="6" borderId="6" xfId="0" applyFill="true" applyFont="true" applyBorder="true">
      <alignment horizontal="general" vertical="top" indent="1" wrapText="false"/>
    </xf>
    <xf numFmtId="0" fontId="74" fillId="6" borderId="6" xfId="0" applyFill="true" applyFont="true" applyBorder="true">
      <alignment horizontal="general" vertical="top" indent="1" wrapText="false"/>
    </xf>
    <xf numFmtId="169" fontId="75" fillId="6" borderId="6" xfId="0" applyFill="true" applyFont="true" applyBorder="true" applyNumberFormat="true">
      <alignment horizontal="right" vertical="top" indent="1" wrapText="false"/>
    </xf>
    <xf numFmtId="165" fontId="76" fillId="6" borderId="6" xfId="0" applyFill="true" applyFont="true" applyBorder="true" applyNumberFormat="true">
      <alignment horizontal="right" vertical="top" indent="1" wrapText="false"/>
    </xf>
    <xf numFmtId="0" fontId="77" fillId="6" borderId="6" xfId="0" applyFill="true" applyFont="true" applyBorder="true">
      <alignment horizontal="general" vertical="top" indent="1" wrapText="false"/>
    </xf>
    <xf numFmtId="165" fontId="78" fillId="6" borderId="6" xfId="0" applyFill="true" applyFont="true" applyBorder="true" applyNumberFormat="true">
      <alignment horizontal="right" vertical="top" indent="1" wrapText="false"/>
    </xf>
    <xf numFmtId="0" fontId="79" fillId="6" borderId="6" xfId="0" applyFill="true" applyFont="true" applyBorder="true">
      <alignment horizontal="general" vertical="top" indent="1" wrapText="false"/>
    </xf>
    <xf numFmtId="0" fontId="80" fillId="6" borderId="6" xfId="0" applyFill="true" applyFont="true" applyBorder="true">
      <alignment horizontal="general" vertical="top" indent="1" wrapText="false"/>
    </xf>
    <xf numFmtId="0" fontId="81" fillId="6" borderId="6" xfId="0" applyFill="true" applyFont="true" applyBorder="true">
      <alignment horizontal="general" vertical="top" indent="1" wrapText="false"/>
    </xf>
    <xf numFmtId="0" fontId="82" fillId="6" borderId="6" xfId="0" applyFill="true" applyFont="true" applyBorder="true">
      <alignment horizontal="general" vertical="top" indent="1" wrapText="false"/>
    </xf>
    <xf numFmtId="0" fontId="83" fillId="6" borderId="6" xfId="0" applyFill="true" applyFont="true" applyBorder="true">
      <alignment horizontal="general" vertical="top" indent="1" wrapText="false"/>
    </xf>
    <xf numFmtId="0" fontId="84" fillId="6" borderId="6" xfId="0" applyFill="true" applyFont="true" applyBorder="true">
      <alignment horizontal="general" vertical="top" indent="1" wrapText="false"/>
    </xf>
    <xf numFmtId="0" fontId="85" fillId="6" borderId="6" xfId="0" applyFill="true" applyFont="true" applyBorder="true">
      <alignment horizontal="general" vertical="top" indent="1" wrapText="false"/>
    </xf>
    <xf numFmtId="0" fontId="86" fillId="6" borderId="6" xfId="0" applyFill="true" applyFont="true" applyBorder="true">
      <alignment horizontal="general" vertical="top" indent="1" wrapText="false"/>
    </xf>
    <xf numFmtId="0" fontId="87" fillId="6" borderId="6" xfId="0" applyFill="true" applyFont="true" applyBorder="true">
      <alignment horizontal="general" vertical="top" indent="1" wrapText="false"/>
    </xf>
    <xf numFmtId="169" fontId="88" fillId="6" borderId="6" xfId="0" applyFill="true" applyFont="true" applyBorder="true" applyNumberFormat="true">
      <alignment horizontal="right" vertical="top" indent="1" wrapText="false"/>
    </xf>
    <xf numFmtId="165" fontId="89" fillId="6" borderId="6" xfId="0" applyFill="true" applyFont="true" applyBorder="true" applyNumberFormat="true">
      <alignment horizontal="right" vertical="top" indent="1" wrapText="false"/>
    </xf>
    <xf numFmtId="0" fontId="90" fillId="6" borderId="6" xfId="0" applyFill="true" applyFont="true" applyBorder="true">
      <alignment horizontal="general" vertical="top" indent="1" wrapText="false"/>
    </xf>
    <xf numFmtId="165" fontId="91" fillId="6" borderId="6" xfId="0" applyFill="true" applyFont="true" applyBorder="true" applyNumberFormat="true">
      <alignment horizontal="right" vertical="top" indent="1" wrapText="false"/>
    </xf>
    <xf numFmtId="0" fontId="92" fillId="6" borderId="6" xfId="0" applyFill="true" applyFont="true" applyBorder="true">
      <alignment horizontal="general" vertical="top" indent="1" wrapText="false"/>
    </xf>
    <xf numFmtId="0" fontId="93" fillId="6" borderId="6" xfId="0" applyFill="true" applyFont="true" applyBorder="true">
      <alignment horizontal="general" vertical="top" indent="1" wrapText="false"/>
    </xf>
    <xf numFmtId="0" fontId="94" fillId="6" borderId="6" xfId="0" applyFill="true" applyFont="true" applyBorder="true">
      <alignment horizontal="general" vertical="top" indent="1" wrapText="false"/>
    </xf>
    <xf numFmtId="0" fontId="95" fillId="6" borderId="6" xfId="0" applyFill="true" applyFont="true" applyBorder="true">
      <alignment horizontal="general" vertical="top" indent="1" wrapText="false"/>
    </xf>
    <xf numFmtId="0" fontId="96" fillId="6" borderId="6" xfId="0" applyFill="true" applyFont="true" applyBorder="true">
      <alignment horizontal="general" vertical="top" indent="1" wrapText="false"/>
    </xf>
    <xf numFmtId="0" fontId="97" fillId="6" borderId="6" xfId="0" applyFill="true" applyFont="true" applyBorder="true">
      <alignment horizontal="general" vertical="top" indent="1" wrapText="false"/>
    </xf>
    <xf numFmtId="0" fontId="98" fillId="6" borderId="6" xfId="0" applyFill="true" applyFont="true" applyBorder="true">
      <alignment horizontal="general" vertical="top" indent="1" wrapText="false"/>
    </xf>
    <xf numFmtId="0" fontId="99" fillId="6" borderId="6" xfId="0" applyFill="true" applyFont="true" applyBorder="true">
      <alignment horizontal="general" vertical="top" indent="1" wrapText="false"/>
    </xf>
    <xf numFmtId="0" fontId="100" fillId="6" borderId="6" xfId="0" applyFill="true" applyFont="true" applyBorder="true">
      <alignment horizontal="general" vertical="top" indent="1" wrapText="false"/>
    </xf>
    <xf numFmtId="169" fontId="101" fillId="6" borderId="6" xfId="0" applyFill="true" applyFont="true" applyBorder="true" applyNumberFormat="true">
      <alignment horizontal="right" vertical="top" indent="1" wrapText="false"/>
    </xf>
    <xf numFmtId="165" fontId="102" fillId="6" borderId="6" xfId="0" applyFill="true" applyFont="true" applyBorder="true" applyNumberFormat="true">
      <alignment horizontal="right" vertical="top" indent="1" wrapText="false"/>
    </xf>
    <xf numFmtId="170" fontId="103" fillId="6" borderId="6" xfId="0" applyFill="true" applyFont="true" applyBorder="true" applyNumberFormat="true">
      <alignment horizontal="right" vertical="top" indent="1" wrapText="false"/>
    </xf>
    <xf numFmtId="171" fontId="104" fillId="6" borderId="6" xfId="0" applyFill="true" applyFont="true" applyBorder="true" applyNumberFormat="true">
      <alignment horizontal="right" vertical="top" indent="1" wrapText="false"/>
    </xf>
    <xf numFmtId="170" fontId="105" fillId="6" borderId="6" xfId="0" applyFill="true" applyFont="true" applyBorder="true" applyNumberFormat="true">
      <alignment horizontal="right" vertical="top" indent="1" wrapText="false"/>
    </xf>
    <xf numFmtId="170" fontId="106" fillId="6" borderId="6" xfId="0" applyFill="true" applyFont="true" applyBorder="true" applyNumberFormat="true">
      <alignment horizontal="right" vertical="top" indent="1" wrapText="false"/>
    </xf>
    <xf numFmtId="170" fontId="107" fillId="6" borderId="6" xfId="0" applyFill="true" applyFont="true" applyBorder="true" applyNumberFormat="true">
      <alignment horizontal="right" vertical="top" indent="1" wrapText="false"/>
    </xf>
    <xf numFmtId="171" fontId="108" fillId="6" borderId="6" xfId="0" applyFill="true" applyFont="true" applyBorder="true" applyNumberFormat="true">
      <alignment horizontal="right" vertical="top" indent="1" wrapText="false"/>
    </xf>
    <xf numFmtId="170" fontId="109" fillId="6" borderId="6" xfId="0" applyFill="true" applyFont="true" applyBorder="true" applyNumberFormat="true">
      <alignment horizontal="right" vertical="top" indent="1" wrapText="false"/>
    </xf>
    <xf numFmtId="171" fontId="110" fillId="6" borderId="6" xfId="0" applyFill="true" applyFont="true" applyBorder="true" applyNumberFormat="true">
      <alignment horizontal="right" vertical="top" indent="1" wrapText="false"/>
    </xf>
    <xf numFmtId="170" fontId="111" fillId="6" borderId="6" xfId="0" applyFill="true" applyFont="true" applyBorder="true" applyNumberFormat="true">
      <alignment horizontal="right" vertical="top" indent="1" wrapText="false"/>
    </xf>
    <xf numFmtId="171" fontId="112" fillId="6" borderId="6" xfId="0" applyFill="true" applyFont="true" applyBorder="true" applyNumberFormat="true">
      <alignment horizontal="right" vertical="top" indent="1" wrapText="false"/>
    </xf>
    <xf numFmtId="170" fontId="113" fillId="6" borderId="6" xfId="0" applyFill="true" applyFont="true" applyBorder="true" applyNumberFormat="true">
      <alignment horizontal="right" vertical="top" indent="1" wrapText="false"/>
    </xf>
    <xf numFmtId="171" fontId="114" fillId="6" borderId="6" xfId="0" applyFill="true" applyFont="true" applyBorder="true" applyNumberFormat="true">
      <alignment horizontal="right" vertical="top" indent="1" wrapText="false"/>
    </xf>
    <xf numFmtId="170" fontId="115" fillId="6" borderId="6" xfId="0" applyFill="true" applyFont="true" applyBorder="true" applyNumberFormat="true">
      <alignment horizontal="right" vertical="top" indent="1" wrapText="false"/>
    </xf>
    <xf numFmtId="171" fontId="116" fillId="6" borderId="6" xfId="0" applyFill="true" applyFont="true" applyBorder="true" applyNumberFormat="true">
      <alignment horizontal="right" vertical="top" indent="1" wrapText="false"/>
    </xf>
    <xf numFmtId="172" fontId="117" fillId="6" borderId="6" xfId="0" applyFill="true" applyFont="true" applyBorder="true" applyNumberFormat="true">
      <alignment horizontal="right" vertical="top" indent="1" wrapText="false"/>
    </xf>
    <xf numFmtId="171" fontId="118" fillId="6" borderId="6" xfId="0" applyFill="true" applyFont="true" applyBorder="true" applyNumberFormat="true">
      <alignment horizontal="right" vertical="top" indent="1" wrapText="false"/>
    </xf>
    <xf numFmtId="172" fontId="119" fillId="6" borderId="6" xfId="0" applyFill="true" applyFont="true" applyBorder="true" applyNumberFormat="true">
      <alignment horizontal="right" vertical="top" indent="1" wrapText="false"/>
    </xf>
    <xf numFmtId="170" fontId="120" fillId="6" borderId="6" xfId="0" applyFill="true" applyFont="true" applyBorder="true" applyNumberFormat="true">
      <alignment horizontal="right" vertical="top" indent="1" wrapText="false"/>
    </xf>
    <xf numFmtId="172" fontId="121" fillId="6" borderId="6" xfId="0" applyFill="true" applyFont="true" applyBorder="true" applyNumberFormat="true">
      <alignment horizontal="right" vertical="top" indent="1" wrapText="false"/>
    </xf>
    <xf numFmtId="171" fontId="122" fillId="6" borderId="6" xfId="0" applyFill="true" applyFont="true" applyBorder="true" applyNumberFormat="true">
      <alignment horizontal="right" vertical="top" indent="1" wrapText="false"/>
    </xf>
    <xf numFmtId="172" fontId="123" fillId="6" borderId="6" xfId="0" applyFill="true" applyFont="true" applyBorder="true" applyNumberFormat="true">
      <alignment horizontal="right" vertical="top" indent="1" wrapText="false"/>
    </xf>
    <xf numFmtId="171" fontId="124" fillId="6" borderId="6" xfId="0" applyFill="true" applyFont="true" applyBorder="true" applyNumberFormat="true">
      <alignment horizontal="right" vertical="top" indent="1" wrapText="false"/>
    </xf>
    <xf numFmtId="172" fontId="125" fillId="6" borderId="6" xfId="0" applyFill="true" applyFont="true" applyBorder="true" applyNumberFormat="true">
      <alignment horizontal="right" vertical="top" indent="1" wrapText="false"/>
    </xf>
    <xf numFmtId="171" fontId="126" fillId="6" borderId="6" xfId="0" applyFill="true" applyFont="true" applyBorder="true" applyNumberFormat="true">
      <alignment horizontal="right" vertical="top" indent="1" wrapText="false"/>
    </xf>
    <xf numFmtId="172" fontId="127" fillId="6" borderId="6" xfId="0" applyFill="true" applyFont="true" applyBorder="true" applyNumberFormat="true">
      <alignment horizontal="right" vertical="top" indent="1" wrapText="false"/>
    </xf>
    <xf numFmtId="171" fontId="128" fillId="6" borderId="6" xfId="0" applyFill="true" applyFont="true" applyBorder="true" applyNumberFormat="true">
      <alignment horizontal="right" vertical="top" indent="1" wrapText="false"/>
    </xf>
    <xf numFmtId="172" fontId="129" fillId="6" borderId="6" xfId="0" applyFill="true" applyFont="true" applyBorder="true" applyNumberFormat="true">
      <alignment horizontal="right" vertical="top" indent="1" wrapText="false"/>
    </xf>
    <xf numFmtId="171" fontId="130" fillId="6" borderId="6" xfId="0" applyFill="true" applyFont="true" applyBorder="true" applyNumberFormat="true">
      <alignment horizontal="right" vertical="top" indent="1" wrapText="false"/>
    </xf>
    <xf numFmtId="171" fontId="131" fillId="6" borderId="6" xfId="0" applyFill="true" applyFont="true" applyBorder="true" applyNumberFormat="true">
      <alignment horizontal="right" vertical="top" indent="1" wrapText="false"/>
    </xf>
    <xf numFmtId="173" fontId="132" fillId="6" borderId="6" xfId="0" applyFill="true" applyFont="true" applyBorder="true" applyNumberFormat="true">
      <alignment horizontal="right" vertical="top" indent="1" wrapText="false"/>
    </xf>
    <xf numFmtId="170" fontId="133" fillId="6" borderId="6" xfId="0" applyFill="true" applyFont="true" applyBorder="true" applyNumberFormat="true">
      <alignment horizontal="right" vertical="top" indent="1" wrapText="false"/>
    </xf>
    <xf numFmtId="171" fontId="134" fillId="6" borderId="6" xfId="0" applyFill="true" applyFont="true" applyBorder="true" applyNumberFormat="true">
      <alignment horizontal="right" vertical="top" indent="1" wrapText="false"/>
    </xf>
    <xf numFmtId="173" fontId="135" fillId="6" borderId="6" xfId="0" applyFill="true" applyFont="true" applyBorder="true" applyNumberFormat="true">
      <alignment horizontal="right" vertical="top" indent="1" wrapText="false"/>
    </xf>
    <xf numFmtId="170" fontId="136" fillId="6" borderId="6" xfId="0" applyFill="true" applyFont="true" applyBorder="true" applyNumberFormat="true">
      <alignment horizontal="right" vertical="top" indent="1" wrapText="false"/>
    </xf>
    <xf numFmtId="171" fontId="137" fillId="6" borderId="6" xfId="0" applyFill="true" applyFont="true" applyBorder="true" applyNumberFormat="true">
      <alignment horizontal="right" vertical="top" indent="1" wrapText="false"/>
    </xf>
    <xf numFmtId="174" fontId="138" fillId="6" borderId="6" xfId="0" applyFill="true" applyFont="true" applyBorder="true" applyNumberFormat="true">
      <alignment horizontal="right" vertical="top" indent="1" wrapText="false"/>
    </xf>
    <xf numFmtId="170" fontId="139" fillId="6" borderId="6" xfId="0" applyFill="true" applyFont="true" applyBorder="true" applyNumberFormat="true">
      <alignment horizontal="right" vertical="top" indent="1" wrapText="false"/>
    </xf>
    <xf numFmtId="0" fontId="140" fillId="6" borderId="6" xfId="0" applyFill="true" applyFont="true" applyBorder="true">
      <alignment horizontal="general" vertical="top" indent="1" wrapText="false"/>
    </xf>
    <xf numFmtId="169" fontId="141" fillId="6" borderId="6" xfId="0" applyFill="true" applyFont="true" applyBorder="true" applyNumberFormat="true">
      <alignment horizontal="right" vertical="top" indent="1" wrapText="false"/>
    </xf>
    <xf numFmtId="165" fontId="142" fillId="6" borderId="6" xfId="0" applyFill="true" applyFont="true" applyBorder="true" applyNumberFormat="true">
      <alignment horizontal="right" vertical="top" indent="1" wrapText="false"/>
    </xf>
    <xf numFmtId="169" fontId="143" fillId="6" borderId="6" xfId="0" applyFill="true" applyFont="true" applyBorder="true" applyNumberFormat="true">
      <alignment horizontal="right" vertical="top" indent="1" wrapText="false"/>
    </xf>
    <xf numFmtId="0" fontId="144" fillId="6" borderId="6" xfId="0" applyFill="true" applyFont="true" applyBorder="true">
      <alignment horizontal="general" vertical="top" indent="1" wrapText="false"/>
    </xf>
    <xf numFmtId="0" fontId="145" fillId="6" borderId="6" xfId="0" applyFill="true" applyFont="true" applyBorder="true">
      <alignment horizontal="general" vertical="top" indent="1" wrapText="false"/>
    </xf>
    <xf numFmtId="0" fontId="146" fillId="8" borderId="6" xfId="0" applyFill="true" applyFont="true" applyBorder="true">
      <alignment horizontal="general" vertical="top" indent="1" wrapText="false"/>
    </xf>
    <xf numFmtId="0" fontId="147" fillId="8" borderId="6" xfId="0" applyFill="true" applyFont="true" applyBorder="true">
      <alignment horizontal="general" vertical="top" indent="1" wrapText="false"/>
    </xf>
    <xf numFmtId="0" fontId="148" fillId="8" borderId="6" xfId="0" applyFill="true" applyFont="true" applyBorder="true">
      <alignment horizontal="general" vertical="top" indent="1" wrapText="false"/>
    </xf>
    <xf numFmtId="0" fontId="149" fillId="8" borderId="6" xfId="0" applyFill="true" applyFont="true" applyBorder="true">
      <alignment horizontal="general" vertical="top" indent="1" wrapText="false"/>
    </xf>
    <xf numFmtId="0" fontId="150" fillId="8" borderId="6" xfId="0" applyFill="true" applyFont="true" applyBorder="true">
      <alignment horizontal="general" vertical="top" indent="1" wrapText="false"/>
    </xf>
    <xf numFmtId="0" fontId="151" fillId="8" borderId="6" xfId="0" applyFill="true" applyFont="true" applyBorder="true">
      <alignment horizontal="general" vertical="top" indent="1" wrapText="false"/>
    </xf>
    <xf numFmtId="0" fontId="152" fillId="8" borderId="6" xfId="0" applyFill="true" applyFont="true" applyBorder="true">
      <alignment horizontal="general" vertical="top" indent="1" wrapText="false"/>
    </xf>
    <xf numFmtId="0" fontId="153" fillId="8" borderId="6" xfId="0" applyFill="true" applyFont="true" applyBorder="true">
      <alignment horizontal="general" vertical="top" indent="1" wrapText="false"/>
    </xf>
    <xf numFmtId="0" fontId="154" fillId="8" borderId="6" xfId="0" applyFill="true" applyFont="true" applyBorder="true">
      <alignment horizontal="general" vertical="top" indent="1" wrapText="false"/>
    </xf>
    <xf numFmtId="0" fontId="155" fillId="8" borderId="6" xfId="0" applyFill="true" applyFont="true" applyBorder="true">
      <alignment horizontal="general" vertical="top" indent="1" wrapText="false"/>
    </xf>
    <xf numFmtId="0" fontId="156" fillId="8" borderId="6" xfId="0" applyFill="true" applyFont="true" applyBorder="true">
      <alignment horizontal="general" vertical="top" indent="1" wrapText="false"/>
    </xf>
    <xf numFmtId="0" fontId="157" fillId="8" borderId="6" xfId="0" applyFill="true" applyFont="true" applyBorder="true">
      <alignment horizontal="general" vertical="top" indent="1" wrapText="false"/>
    </xf>
    <xf numFmtId="0" fontId="158" fillId="8" borderId="6" xfId="0" applyFill="true" applyFont="true" applyBorder="true">
      <alignment horizontal="general" vertical="top" indent="1" wrapText="false"/>
    </xf>
    <xf numFmtId="165" fontId="159" fillId="8" borderId="6" xfId="0" applyFill="true" applyFont="true" applyBorder="true" applyNumberFormat="true">
      <alignment horizontal="right" vertical="top" indent="1" wrapText="false"/>
    </xf>
    <xf numFmtId="0" fontId="160" fillId="8" borderId="6" xfId="0" applyFill="true" applyFont="true" applyBorder="true">
      <alignment horizontal="general" vertical="top" indent="1" wrapText="false"/>
    </xf>
    <xf numFmtId="0" fontId="161" fillId="8" borderId="6" xfId="0" applyFill="true" applyFont="true" applyBorder="true">
      <alignment horizontal="general" vertical="top" indent="1" wrapText="false"/>
    </xf>
    <xf numFmtId="0" fontId="162" fillId="8" borderId="6" xfId="0" applyFill="true" applyFont="true" applyBorder="true">
      <alignment horizontal="general" vertical="top" indent="1" wrapText="false"/>
    </xf>
    <xf numFmtId="0" fontId="163" fillId="8" borderId="6" xfId="0" applyFill="true" applyFont="true" applyBorder="true">
      <alignment horizontal="general" vertical="top" indent="1" wrapText="false"/>
    </xf>
    <xf numFmtId="166" fontId="164" fillId="8" borderId="6" xfId="0" applyFill="true" applyFont="true" applyBorder="true" applyNumberFormat="true">
      <alignment horizontal="right" vertical="top" indent="1" wrapText="false"/>
    </xf>
    <xf numFmtId="0" fontId="165" fillId="8" borderId="6" xfId="0" applyFill="true" applyFont="true" applyBorder="true">
      <alignment horizontal="general" vertical="top" indent="1" wrapText="false"/>
    </xf>
    <xf numFmtId="0" fontId="166" fillId="8" borderId="6" xfId="0" applyFill="true" applyFont="true" applyBorder="true">
      <alignment horizontal="general" vertical="top" indent="1" wrapText="false"/>
    </xf>
    <xf numFmtId="0" fontId="167" fillId="8" borderId="6" xfId="0" applyFill="true" applyFont="true" applyBorder="true">
      <alignment horizontal="general" vertical="top" indent="1" wrapText="false"/>
    </xf>
    <xf numFmtId="167" fontId="168" fillId="8" borderId="6" xfId="0" applyFill="true" applyFont="true" applyBorder="true" applyNumberFormat="true">
      <alignment horizontal="right" vertical="top" indent="1" wrapText="false"/>
    </xf>
    <xf numFmtId="0" fontId="169" fillId="8" borderId="6" xfId="0" applyFill="true" applyFont="true" applyBorder="true">
      <alignment horizontal="general" vertical="top" indent="1" wrapText="false"/>
    </xf>
    <xf numFmtId="0" fontId="170" fillId="8" borderId="6" xfId="0" applyFill="true" applyFont="true" applyBorder="true">
      <alignment horizontal="general" vertical="top" indent="1" wrapText="false"/>
    </xf>
    <xf numFmtId="0" fontId="171" fillId="8" borderId="6" xfId="0" applyFill="true" applyFont="true" applyBorder="true">
      <alignment horizontal="general" vertical="top" indent="1" wrapText="false"/>
    </xf>
    <xf numFmtId="4" fontId="172" fillId="8" borderId="6" xfId="0" applyFill="true" applyFont="true" applyBorder="true" applyNumberFormat="true">
      <alignment horizontal="right" vertical="top" indent="1" wrapText="false"/>
    </xf>
    <xf numFmtId="4" fontId="173" fillId="8" borderId="6" xfId="0" applyFill="true" applyFont="true" applyBorder="true" applyNumberFormat="true">
      <alignment horizontal="right" vertical="top" indent="1" wrapText="false"/>
    </xf>
    <xf numFmtId="4" fontId="174" fillId="8" borderId="6" xfId="0" applyFill="true" applyFont="true" applyBorder="true" applyNumberFormat="true">
      <alignment horizontal="right" vertical="top" indent="1" wrapText="false"/>
    </xf>
    <xf numFmtId="4" fontId="175" fillId="8" borderId="6" xfId="0" applyFill="true" applyFont="true" applyBorder="true" applyNumberFormat="true">
      <alignment horizontal="right" vertical="top" indent="1" wrapText="false"/>
    </xf>
    <xf numFmtId="4" fontId="176" fillId="8" borderId="6" xfId="0" applyFill="true" applyFont="true" applyBorder="true" applyNumberFormat="true">
      <alignment horizontal="right" vertical="top" indent="1" wrapText="false"/>
    </xf>
    <xf numFmtId="0" fontId="177" fillId="8" borderId="6" xfId="0" applyFill="true" applyFont="true" applyBorder="true">
      <alignment horizontal="general" vertical="top" indent="1" wrapText="false"/>
    </xf>
    <xf numFmtId="4" fontId="178" fillId="8" borderId="6" xfId="0" applyFill="true" applyFont="true" applyBorder="true" applyNumberFormat="true">
      <alignment horizontal="right" vertical="top" indent="1" wrapText="false"/>
    </xf>
    <xf numFmtId="4" fontId="179" fillId="8" borderId="6" xfId="0" applyFill="true" applyFont="true" applyBorder="true" applyNumberFormat="true">
      <alignment horizontal="right" vertical="top" indent="1" wrapText="false"/>
    </xf>
    <xf numFmtId="4" fontId="180" fillId="8" borderId="6" xfId="0" applyFill="true" applyFont="true" applyBorder="true" applyNumberFormat="true">
      <alignment horizontal="right" vertical="top" indent="1" wrapText="false"/>
    </xf>
    <xf numFmtId="0" fontId="181" fillId="8" borderId="6" xfId="0" applyFill="true" applyFont="true" applyBorder="true">
      <alignment horizontal="general" vertical="top" indent="1" wrapText="false"/>
    </xf>
    <xf numFmtId="0" fontId="182" fillId="8" borderId="6" xfId="0" applyFill="true" applyFont="true" applyBorder="true">
      <alignment horizontal="general" vertical="top" indent="1" wrapText="false"/>
    </xf>
    <xf numFmtId="0" fontId="183" fillId="8" borderId="6" xfId="0" applyFill="true" applyFont="true" applyBorder="true">
      <alignment horizontal="general" vertical="top" indent="1" wrapText="false"/>
    </xf>
    <xf numFmtId="0" fontId="184" fillId="8" borderId="6" xfId="0" applyFill="true" applyFont="true" applyBorder="true">
      <alignment horizontal="general" vertical="top" indent="1" wrapText="false"/>
    </xf>
    <xf numFmtId="0" fontId="185" fillId="8" borderId="6" xfId="0" applyFill="true" applyFont="true" applyBorder="true">
      <alignment horizontal="general" vertical="top" indent="1" wrapText="false"/>
    </xf>
    <xf numFmtId="0" fontId="186" fillId="8" borderId="6" xfId="0" applyFill="true" applyFont="true" applyBorder="true">
      <alignment horizontal="general" vertical="top" indent="1" wrapText="false"/>
    </xf>
    <xf numFmtId="0" fontId="187" fillId="8" borderId="6" xfId="0" applyFill="true" applyFont="true" applyBorder="true">
      <alignment horizontal="general" vertical="top" indent="1" wrapText="false"/>
    </xf>
    <xf numFmtId="0" fontId="188" fillId="8" borderId="6" xfId="0" applyFill="true" applyFont="true" applyBorder="true">
      <alignment horizontal="general" vertical="top" indent="1" wrapText="false"/>
    </xf>
    <xf numFmtId="0" fontId="189" fillId="8" borderId="6" xfId="0" applyFill="true" applyFont="true" applyBorder="true">
      <alignment horizontal="general" vertical="top" indent="1" wrapText="false"/>
    </xf>
    <xf numFmtId="0" fontId="190" fillId="8" borderId="6" xfId="0" applyFill="true" applyFont="true" applyBorder="true">
      <alignment horizontal="general" vertical="top" indent="1" wrapText="false"/>
    </xf>
    <xf numFmtId="0" fontId="191" fillId="8" borderId="6" xfId="0" applyFill="true" applyFont="true" applyBorder="true">
      <alignment horizontal="general" vertical="top" indent="1" wrapText="false"/>
    </xf>
    <xf numFmtId="0" fontId="192" fillId="8" borderId="6" xfId="0" applyFill="true" applyFont="true" applyBorder="true">
      <alignment horizontal="general" vertical="top" indent="1" wrapText="false"/>
    </xf>
    <xf numFmtId="0" fontId="193" fillId="8" borderId="6" xfId="0" applyFill="true" applyFont="true" applyBorder="true">
      <alignment horizontal="general" vertical="top" indent="1" wrapText="false"/>
    </xf>
    <xf numFmtId="0" fontId="194" fillId="8" borderId="6" xfId="0" applyFill="true" applyFont="true" applyBorder="true">
      <alignment horizontal="general" vertical="top" indent="1" wrapText="false"/>
    </xf>
    <xf numFmtId="0" fontId="195" fillId="8" borderId="6" xfId="0" applyFill="true" applyFont="true" applyBorder="true">
      <alignment horizontal="general" vertical="top" indent="1" wrapText="false"/>
    </xf>
    <xf numFmtId="0" fontId="196" fillId="8" borderId="6" xfId="0" applyFill="true" applyFont="true" applyBorder="true">
      <alignment horizontal="general" vertical="top" indent="1" wrapText="false"/>
    </xf>
    <xf numFmtId="0" fontId="197" fillId="8" borderId="6" xfId="0" applyFill="true" applyFont="true" applyBorder="true">
      <alignment horizontal="general" vertical="top" indent="1" wrapText="false"/>
    </xf>
    <xf numFmtId="0" fontId="198" fillId="8" borderId="6" xfId="0" applyFill="true" applyFont="true" applyBorder="true">
      <alignment horizontal="general" vertical="top" indent="1" wrapText="false"/>
    </xf>
    <xf numFmtId="0" fontId="199" fillId="8" borderId="6" xfId="0" applyFill="true" applyFont="true" applyBorder="true">
      <alignment horizontal="general" vertical="top" indent="1" wrapText="false"/>
    </xf>
    <xf numFmtId="168" fontId="200" fillId="8" borderId="6" xfId="0" applyFill="true" applyFont="true" applyBorder="true" applyNumberFormat="true">
      <alignment horizontal="right" vertical="top" indent="1" wrapText="false"/>
    </xf>
    <xf numFmtId="0" fontId="201" fillId="8" borderId="6" xfId="0" applyFill="true" applyFont="true" applyBorder="true">
      <alignment horizontal="general" vertical="top" indent="1" wrapText="false"/>
    </xf>
    <xf numFmtId="0" fontId="202" fillId="8" borderId="6" xfId="0" applyFill="true" applyFont="true" applyBorder="true">
      <alignment horizontal="general" vertical="top" indent="1" wrapText="false"/>
    </xf>
    <xf numFmtId="0" fontId="203" fillId="8" borderId="6" xfId="0" applyFill="true" applyFont="true" applyBorder="true">
      <alignment horizontal="general" vertical="top" indent="1" wrapText="false"/>
    </xf>
    <xf numFmtId="0" fontId="204" fillId="8" borderId="6" xfId="0" applyFill="true" applyFont="true" applyBorder="true">
      <alignment horizontal="general" vertical="top" indent="1" wrapText="false"/>
    </xf>
    <xf numFmtId="0" fontId="205" fillId="8" borderId="6" xfId="0" applyFill="true" applyFont="true" applyBorder="true">
      <alignment horizontal="general" vertical="top" indent="1" wrapText="false"/>
    </xf>
    <xf numFmtId="0" fontId="206" fillId="8" borderId="6" xfId="0" applyFill="true" applyFont="true" applyBorder="true">
      <alignment horizontal="general" vertical="top" indent="1" wrapText="false"/>
    </xf>
    <xf numFmtId="0" fontId="207" fillId="8" borderId="6" xfId="0" applyFill="true" applyFont="true" applyBorder="true">
      <alignment horizontal="general" vertical="top" indent="1" wrapText="false"/>
    </xf>
    <xf numFmtId="0" fontId="208" fillId="8" borderId="6" xfId="0" applyFill="true" applyFont="true" applyBorder="true">
      <alignment horizontal="general" vertical="top" indent="1" wrapText="false"/>
    </xf>
    <xf numFmtId="169" fontId="209" fillId="8" borderId="6" xfId="0" applyFill="true" applyFont="true" applyBorder="true" applyNumberFormat="true">
      <alignment horizontal="right" vertical="top" indent="1" wrapText="false"/>
    </xf>
    <xf numFmtId="165" fontId="210" fillId="8" borderId="6" xfId="0" applyFill="true" applyFont="true" applyBorder="true" applyNumberFormat="true">
      <alignment horizontal="right" vertical="top" indent="1" wrapText="false"/>
    </xf>
    <xf numFmtId="0" fontId="211" fillId="8" borderId="6" xfId="0" applyFill="true" applyFont="true" applyBorder="true">
      <alignment horizontal="general" vertical="top" indent="1" wrapText="false"/>
    </xf>
    <xf numFmtId="165" fontId="212" fillId="8" borderId="6" xfId="0" applyFill="true" applyFont="true" applyBorder="true" applyNumberFormat="true">
      <alignment horizontal="right" vertical="top" indent="1" wrapText="false"/>
    </xf>
    <xf numFmtId="0" fontId="213" fillId="8" borderId="6" xfId="0" applyFill="true" applyFont="true" applyBorder="true">
      <alignment horizontal="general" vertical="top" indent="1" wrapText="false"/>
    </xf>
    <xf numFmtId="0" fontId="214" fillId="8" borderId="6" xfId="0" applyFill="true" applyFont="true" applyBorder="true">
      <alignment horizontal="general" vertical="top" indent="1" wrapText="false"/>
    </xf>
    <xf numFmtId="0" fontId="215" fillId="8" borderId="6" xfId="0" applyFill="true" applyFont="true" applyBorder="true">
      <alignment horizontal="general" vertical="top" indent="1" wrapText="false"/>
    </xf>
    <xf numFmtId="0" fontId="216" fillId="8" borderId="6" xfId="0" applyFill="true" applyFont="true" applyBorder="true">
      <alignment horizontal="general" vertical="top" indent="1" wrapText="false"/>
    </xf>
    <xf numFmtId="0" fontId="217" fillId="8" borderId="6" xfId="0" applyFill="true" applyFont="true" applyBorder="true">
      <alignment horizontal="general" vertical="top" indent="1" wrapText="false"/>
    </xf>
    <xf numFmtId="0" fontId="218" fillId="8" borderId="6" xfId="0" applyFill="true" applyFont="true" applyBorder="true">
      <alignment horizontal="general" vertical="top" indent="1" wrapText="false"/>
    </xf>
    <xf numFmtId="0" fontId="219" fillId="8" borderId="6" xfId="0" applyFill="true" applyFont="true" applyBorder="true">
      <alignment horizontal="general" vertical="top" indent="1" wrapText="false"/>
    </xf>
    <xf numFmtId="0" fontId="220" fillId="8" borderId="6" xfId="0" applyFill="true" applyFont="true" applyBorder="true">
      <alignment horizontal="general" vertical="top" indent="1" wrapText="false"/>
    </xf>
    <xf numFmtId="0" fontId="221" fillId="8" borderId="6" xfId="0" applyFill="true" applyFont="true" applyBorder="true">
      <alignment horizontal="general" vertical="top" indent="1" wrapText="false"/>
    </xf>
    <xf numFmtId="169" fontId="222" fillId="8" borderId="6" xfId="0" applyFill="true" applyFont="true" applyBorder="true" applyNumberFormat="true">
      <alignment horizontal="right" vertical="top" indent="1" wrapText="false"/>
    </xf>
    <xf numFmtId="165" fontId="223" fillId="8" borderId="6" xfId="0" applyFill="true" applyFont="true" applyBorder="true" applyNumberFormat="true">
      <alignment horizontal="right" vertical="top" indent="1" wrapText="false"/>
    </xf>
    <xf numFmtId="0" fontId="224" fillId="8" borderId="6" xfId="0" applyFill="true" applyFont="true" applyBorder="true">
      <alignment horizontal="general" vertical="top" indent="1" wrapText="false"/>
    </xf>
    <xf numFmtId="165" fontId="225" fillId="8" borderId="6" xfId="0" applyFill="true" applyFont="true" applyBorder="true" applyNumberFormat="true">
      <alignment horizontal="right" vertical="top" indent="1" wrapText="false"/>
    </xf>
    <xf numFmtId="0" fontId="226" fillId="8" borderId="6" xfId="0" applyFill="true" applyFont="true" applyBorder="true">
      <alignment horizontal="general" vertical="top" indent="1" wrapText="false"/>
    </xf>
    <xf numFmtId="0" fontId="227" fillId="8" borderId="6" xfId="0" applyFill="true" applyFont="true" applyBorder="true">
      <alignment horizontal="general" vertical="top" indent="1" wrapText="false"/>
    </xf>
    <xf numFmtId="0" fontId="228" fillId="8" borderId="6" xfId="0" applyFill="true" applyFont="true" applyBorder="true">
      <alignment horizontal="general" vertical="top" indent="1" wrapText="false"/>
    </xf>
    <xf numFmtId="0" fontId="229" fillId="8" borderId="6" xfId="0" applyFill="true" applyFont="true" applyBorder="true">
      <alignment horizontal="general" vertical="top" indent="1" wrapText="false"/>
    </xf>
    <xf numFmtId="0" fontId="230" fillId="8" borderId="6" xfId="0" applyFill="true" applyFont="true" applyBorder="true">
      <alignment horizontal="general" vertical="top" indent="1" wrapText="false"/>
    </xf>
    <xf numFmtId="0" fontId="231" fillId="8" borderId="6" xfId="0" applyFill="true" applyFont="true" applyBorder="true">
      <alignment horizontal="general" vertical="top" indent="1" wrapText="false"/>
    </xf>
    <xf numFmtId="0" fontId="232" fillId="8" borderId="6" xfId="0" applyFill="true" applyFont="true" applyBorder="true">
      <alignment horizontal="general" vertical="top" indent="1" wrapText="false"/>
    </xf>
    <xf numFmtId="0" fontId="233" fillId="8" borderId="6" xfId="0" applyFill="true" applyFont="true" applyBorder="true">
      <alignment horizontal="general" vertical="top" indent="1" wrapText="false"/>
    </xf>
    <xf numFmtId="0" fontId="234" fillId="8" borderId="6" xfId="0" applyFill="true" applyFont="true" applyBorder="true">
      <alignment horizontal="general" vertical="top" indent="1" wrapText="false"/>
    </xf>
    <xf numFmtId="169" fontId="235" fillId="8" borderId="6" xfId="0" applyFill="true" applyFont="true" applyBorder="true" applyNumberFormat="true">
      <alignment horizontal="right" vertical="top" indent="1" wrapText="false"/>
    </xf>
    <xf numFmtId="165" fontId="236" fillId="8" borderId="6" xfId="0" applyFill="true" applyFont="true" applyBorder="true" applyNumberFormat="true">
      <alignment horizontal="right" vertical="top" indent="1" wrapText="false"/>
    </xf>
    <xf numFmtId="170" fontId="237" fillId="8" borderId="6" xfId="0" applyFill="true" applyFont="true" applyBorder="true" applyNumberFormat="true">
      <alignment horizontal="right" vertical="top" indent="1" wrapText="false"/>
    </xf>
    <xf numFmtId="171" fontId="238" fillId="8" borderId="6" xfId="0" applyFill="true" applyFont="true" applyBorder="true" applyNumberFormat="true">
      <alignment horizontal="right" vertical="top" indent="1" wrapText="false"/>
    </xf>
    <xf numFmtId="170" fontId="239" fillId="8" borderId="6" xfId="0" applyFill="true" applyFont="true" applyBorder="true" applyNumberFormat="true">
      <alignment horizontal="right" vertical="top" indent="1" wrapText="false"/>
    </xf>
    <xf numFmtId="170" fontId="240" fillId="8" borderId="6" xfId="0" applyFill="true" applyFont="true" applyBorder="true" applyNumberFormat="true">
      <alignment horizontal="right" vertical="top" indent="1" wrapText="false"/>
    </xf>
    <xf numFmtId="170" fontId="241" fillId="8" borderId="6" xfId="0" applyFill="true" applyFont="true" applyBorder="true" applyNumberFormat="true">
      <alignment horizontal="right" vertical="top" indent="1" wrapText="false"/>
    </xf>
    <xf numFmtId="171" fontId="242" fillId="8" borderId="6" xfId="0" applyFill="true" applyFont="true" applyBorder="true" applyNumberFormat="true">
      <alignment horizontal="right" vertical="top" indent="1" wrapText="false"/>
    </xf>
    <xf numFmtId="170" fontId="243" fillId="8" borderId="6" xfId="0" applyFill="true" applyFont="true" applyBorder="true" applyNumberFormat="true">
      <alignment horizontal="right" vertical="top" indent="1" wrapText="false"/>
    </xf>
    <xf numFmtId="171" fontId="244" fillId="8" borderId="6" xfId="0" applyFill="true" applyFont="true" applyBorder="true" applyNumberFormat="true">
      <alignment horizontal="right" vertical="top" indent="1" wrapText="false"/>
    </xf>
    <xf numFmtId="170" fontId="245" fillId="8" borderId="6" xfId="0" applyFill="true" applyFont="true" applyBorder="true" applyNumberFormat="true">
      <alignment horizontal="right" vertical="top" indent="1" wrapText="false"/>
    </xf>
    <xf numFmtId="171" fontId="246" fillId="8" borderId="6" xfId="0" applyFill="true" applyFont="true" applyBorder="true" applyNumberFormat="true">
      <alignment horizontal="right" vertical="top" indent="1" wrapText="false"/>
    </xf>
    <xf numFmtId="170" fontId="247" fillId="8" borderId="6" xfId="0" applyFill="true" applyFont="true" applyBorder="true" applyNumberFormat="true">
      <alignment horizontal="right" vertical="top" indent="1" wrapText="false"/>
    </xf>
    <xf numFmtId="171" fontId="248" fillId="8" borderId="6" xfId="0" applyFill="true" applyFont="true" applyBorder="true" applyNumberFormat="true">
      <alignment horizontal="right" vertical="top" indent="1" wrapText="false"/>
    </xf>
    <xf numFmtId="170" fontId="249" fillId="8" borderId="6" xfId="0" applyFill="true" applyFont="true" applyBorder="true" applyNumberFormat="true">
      <alignment horizontal="right" vertical="top" indent="1" wrapText="false"/>
    </xf>
    <xf numFmtId="171" fontId="250" fillId="8" borderId="6" xfId="0" applyFill="true" applyFont="true" applyBorder="true" applyNumberFormat="true">
      <alignment horizontal="right" vertical="top" indent="1" wrapText="false"/>
    </xf>
    <xf numFmtId="172" fontId="251" fillId="8" borderId="6" xfId="0" applyFill="true" applyFont="true" applyBorder="true" applyNumberFormat="true">
      <alignment horizontal="right" vertical="top" indent="1" wrapText="false"/>
    </xf>
    <xf numFmtId="171" fontId="252" fillId="8" borderId="6" xfId="0" applyFill="true" applyFont="true" applyBorder="true" applyNumberFormat="true">
      <alignment horizontal="right" vertical="top" indent="1" wrapText="false"/>
    </xf>
    <xf numFmtId="172" fontId="253" fillId="8" borderId="6" xfId="0" applyFill="true" applyFont="true" applyBorder="true" applyNumberFormat="true">
      <alignment horizontal="right" vertical="top" indent="1" wrapText="false"/>
    </xf>
    <xf numFmtId="170" fontId="254" fillId="8" borderId="6" xfId="0" applyFill="true" applyFont="true" applyBorder="true" applyNumberFormat="true">
      <alignment horizontal="right" vertical="top" indent="1" wrapText="false"/>
    </xf>
    <xf numFmtId="172" fontId="255" fillId="8" borderId="6" xfId="0" applyFill="true" applyFont="true" applyBorder="true" applyNumberFormat="true">
      <alignment horizontal="right" vertical="top" indent="1" wrapText="false"/>
    </xf>
    <xf numFmtId="171" fontId="256" fillId="8" borderId="6" xfId="0" applyFill="true" applyFont="true" applyBorder="true" applyNumberFormat="true">
      <alignment horizontal="right" vertical="top" indent="1" wrapText="false"/>
    </xf>
    <xf numFmtId="172" fontId="257" fillId="8" borderId="6" xfId="0" applyFill="true" applyFont="true" applyBorder="true" applyNumberFormat="true">
      <alignment horizontal="right" vertical="top" indent="1" wrapText="false"/>
    </xf>
    <xf numFmtId="171" fontId="258" fillId="8" borderId="6" xfId="0" applyFill="true" applyFont="true" applyBorder="true" applyNumberFormat="true">
      <alignment horizontal="right" vertical="top" indent="1" wrapText="false"/>
    </xf>
    <xf numFmtId="172" fontId="259" fillId="8" borderId="6" xfId="0" applyFill="true" applyFont="true" applyBorder="true" applyNumberFormat="true">
      <alignment horizontal="right" vertical="top" indent="1" wrapText="false"/>
    </xf>
    <xf numFmtId="171" fontId="260" fillId="8" borderId="6" xfId="0" applyFill="true" applyFont="true" applyBorder="true" applyNumberFormat="true">
      <alignment horizontal="right" vertical="top" indent="1" wrapText="false"/>
    </xf>
    <xf numFmtId="172" fontId="261" fillId="8" borderId="6" xfId="0" applyFill="true" applyFont="true" applyBorder="true" applyNumberFormat="true">
      <alignment horizontal="right" vertical="top" indent="1" wrapText="false"/>
    </xf>
    <xf numFmtId="171" fontId="262" fillId="8" borderId="6" xfId="0" applyFill="true" applyFont="true" applyBorder="true" applyNumberFormat="true">
      <alignment horizontal="right" vertical="top" indent="1" wrapText="false"/>
    </xf>
    <xf numFmtId="172" fontId="263" fillId="8" borderId="6" xfId="0" applyFill="true" applyFont="true" applyBorder="true" applyNumberFormat="true">
      <alignment horizontal="right" vertical="top" indent="1" wrapText="false"/>
    </xf>
    <xf numFmtId="171" fontId="264" fillId="8" borderId="6" xfId="0" applyFill="true" applyFont="true" applyBorder="true" applyNumberFormat="true">
      <alignment horizontal="right" vertical="top" indent="1" wrapText="false"/>
    </xf>
    <xf numFmtId="171" fontId="265" fillId="8" borderId="6" xfId="0" applyFill="true" applyFont="true" applyBorder="true" applyNumberFormat="true">
      <alignment horizontal="right" vertical="top" indent="1" wrapText="false"/>
    </xf>
    <xf numFmtId="173" fontId="266" fillId="8" borderId="6" xfId="0" applyFill="true" applyFont="true" applyBorder="true" applyNumberFormat="true">
      <alignment horizontal="right" vertical="top" indent="1" wrapText="false"/>
    </xf>
    <xf numFmtId="170" fontId="267" fillId="8" borderId="6" xfId="0" applyFill="true" applyFont="true" applyBorder="true" applyNumberFormat="true">
      <alignment horizontal="right" vertical="top" indent="1" wrapText="false"/>
    </xf>
    <xf numFmtId="171" fontId="268" fillId="8" borderId="6" xfId="0" applyFill="true" applyFont="true" applyBorder="true" applyNumberFormat="true">
      <alignment horizontal="right" vertical="top" indent="1" wrapText="false"/>
    </xf>
    <xf numFmtId="173" fontId="269" fillId="8" borderId="6" xfId="0" applyFill="true" applyFont="true" applyBorder="true" applyNumberFormat="true">
      <alignment horizontal="right" vertical="top" indent="1" wrapText="false"/>
    </xf>
    <xf numFmtId="170" fontId="270" fillId="8" borderId="6" xfId="0" applyFill="true" applyFont="true" applyBorder="true" applyNumberFormat="true">
      <alignment horizontal="right" vertical="top" indent="1" wrapText="false"/>
    </xf>
    <xf numFmtId="171" fontId="271" fillId="8" borderId="6" xfId="0" applyFill="true" applyFont="true" applyBorder="true" applyNumberFormat="true">
      <alignment horizontal="right" vertical="top" indent="1" wrapText="false"/>
    </xf>
    <xf numFmtId="174" fontId="272" fillId="8" borderId="6" xfId="0" applyFill="true" applyFont="true" applyBorder="true" applyNumberFormat="true">
      <alignment horizontal="right" vertical="top" indent="1" wrapText="false"/>
    </xf>
    <xf numFmtId="170" fontId="273" fillId="8" borderId="6" xfId="0" applyFill="true" applyFont="true" applyBorder="true" applyNumberFormat="true">
      <alignment horizontal="right" vertical="top" indent="1" wrapText="false"/>
    </xf>
    <xf numFmtId="0" fontId="274" fillId="8" borderId="6" xfId="0" applyFill="true" applyFont="true" applyBorder="true">
      <alignment horizontal="general" vertical="top" indent="1" wrapText="false"/>
    </xf>
    <xf numFmtId="169" fontId="275" fillId="8" borderId="6" xfId="0" applyFill="true" applyFont="true" applyBorder="true" applyNumberFormat="true">
      <alignment horizontal="right" vertical="top" indent="1" wrapText="false"/>
    </xf>
    <xf numFmtId="165" fontId="276" fillId="8" borderId="6" xfId="0" applyFill="true" applyFont="true" applyBorder="true" applyNumberFormat="true">
      <alignment horizontal="right" vertical="top" indent="1" wrapText="false"/>
    </xf>
    <xf numFmtId="169" fontId="277" fillId="8" borderId="6" xfId="0" applyFill="true" applyFont="true" applyBorder="true" applyNumberFormat="true">
      <alignment horizontal="right" vertical="top" indent="1" wrapText="false"/>
    </xf>
    <xf numFmtId="0" fontId="278" fillId="8" borderId="6" xfId="0" applyFill="true" applyFont="true" applyBorder="true">
      <alignment horizontal="general" vertical="top" indent="1" wrapText="false"/>
    </xf>
    <xf numFmtId="0" fontId="279" fillId="8" borderId="6" xfId="0" applyFill="true" applyFont="true" applyBorder="true">
      <alignment horizontal="general" vertical="top" indent="1" wrapText="false"/>
    </xf>
    <xf numFmtId="0" fontId="280" fillId="6" borderId="6" xfId="0" applyFill="true" applyFont="true" applyBorder="true">
      <alignment horizontal="left" vertical="top" indent="1" wrapText="false"/>
    </xf>
    <xf numFmtId="0" fontId="281" fillId="8" borderId="6" xfId="0" applyFill="true" applyFont="true" applyBorder="true">
      <alignment horizontal="left" vertical="top" indent="1" wrapText="false"/>
    </xf>
    <xf numFmtId="0" fontId="282" fillId="6" borderId="6" xfId="0" applyFill="true" applyFont="true" applyBorder="true">
      <alignment horizontal="left" vertical="top" indent="1" wrapText="false"/>
    </xf>
    <xf numFmtId="0" fontId="283" fillId="8" borderId="6" xfId="0" applyFill="true" applyFont="true" applyBorder="true">
      <alignment horizontal="left" vertical="top" indent="1" wrapText="false"/>
    </xf>
    <xf numFmtId="0" fontId="284" fillId="6" borderId="6" xfId="0" applyFill="true" applyFont="true" applyBorder="true">
      <alignment horizontal="left" vertical="top" indent="1" wrapText="false"/>
    </xf>
    <xf numFmtId="0" fontId="285" fillId="8" borderId="6" xfId="0" applyFill="true" applyFont="true" applyBorder="true">
      <alignment horizontal="left" vertical="top" indent="1" wrapText="false"/>
    </xf>
    <xf numFmtId="0" fontId="286" fillId="6" borderId="6" xfId="0" applyFill="true" applyFont="true" applyBorder="true">
      <alignment horizontal="left" vertical="top" indent="1" wrapText="false"/>
    </xf>
    <xf numFmtId="0" fontId="287" fillId="8" borderId="6" xfId="0" applyFill="true" applyFont="true" applyBorder="true">
      <alignment horizontal="left" vertical="top" indent="1" wrapText="false"/>
    </xf>
    <xf numFmtId="0" fontId="288" fillId="6" borderId="6" xfId="0" applyFill="true" applyFont="true" applyBorder="true">
      <alignment horizontal="left" vertical="top" indent="1" wrapText="false"/>
    </xf>
    <xf numFmtId="0" fontId="289" fillId="8" borderId="6" xfId="0" applyFill="true" applyFont="true" applyBorder="true">
      <alignment horizontal="left" vertical="top" indent="1" wrapText="false"/>
    </xf>
    <xf numFmtId="0" fontId="290" fillId="6" borderId="6" xfId="0" applyFill="true" applyFont="true" applyBorder="true">
      <alignment horizontal="left" vertical="top" indent="1" wrapText="false"/>
    </xf>
    <xf numFmtId="0" fontId="291" fillId="8" borderId="6" xfId="0" applyFill="true" applyFont="true" applyBorder="true">
      <alignment horizontal="left" vertical="top" indent="1" wrapText="false"/>
    </xf>
    <xf numFmtId="0" fontId="292" fillId="6" borderId="6" xfId="0" applyFill="true" applyFont="true" applyBorder="true">
      <alignment horizontal="left" vertical="top" indent="1" wrapText="false"/>
    </xf>
    <xf numFmtId="0" fontId="293" fillId="8" borderId="6" xfId="0" applyFill="true" applyFont="true" applyBorder="true">
      <alignment horizontal="left" vertical="top" indent="1" wrapText="false"/>
    </xf>
    <xf numFmtId="0" fontId="294" fillId="6" borderId="6" xfId="0" applyFill="true" applyFont="true" applyBorder="true">
      <alignment horizontal="left" vertical="top" indent="1" wrapText="false"/>
    </xf>
    <xf numFmtId="0" fontId="295" fillId="8" borderId="6" xfId="0" applyFill="true" applyFont="true" applyBorder="true">
      <alignment horizontal="left" vertical="top" indent="1" wrapText="false"/>
    </xf>
    <xf numFmtId="0" fontId="296" fillId="6" borderId="6" xfId="0" applyFill="true" applyFont="true" applyBorder="true">
      <alignment horizontal="left" vertical="top" indent="1" wrapText="false"/>
    </xf>
    <xf numFmtId="0" fontId="297" fillId="8" borderId="6" xfId="0" applyFill="true" applyFont="true" applyBorder="true">
      <alignment horizontal="left" vertical="top" indent="1" wrapText="false"/>
    </xf>
    <xf numFmtId="0" fontId="298" fillId="6" borderId="6" xfId="0" applyFill="true" applyFont="true" applyBorder="true">
      <alignment horizontal="left" vertical="top" indent="1" wrapText="false"/>
    </xf>
    <xf numFmtId="0" fontId="299" fillId="8" borderId="6" xfId="0" applyFill="true" applyFont="true" applyBorder="true">
      <alignment horizontal="left" vertical="top" indent="1" wrapText="false"/>
    </xf>
    <xf numFmtId="0" fontId="300" fillId="6" borderId="6" xfId="0" applyFill="true" applyFont="true" applyBorder="true">
      <alignment horizontal="left" vertical="top" indent="1" wrapText="false"/>
    </xf>
    <xf numFmtId="0" fontId="301" fillId="8" borderId="6" xfId="0" applyFill="true" applyFont="true" applyBorder="true">
      <alignment horizontal="left" vertical="top" indent="1" wrapText="false"/>
    </xf>
    <xf numFmtId="0" fontId="302" fillId="6" borderId="6" xfId="0" applyFill="true" applyFont="true" applyBorder="true">
      <alignment horizontal="left" vertical="top" indent="1" wrapText="false"/>
    </xf>
    <xf numFmtId="0" fontId="303" fillId="8" borderId="6" xfId="0" applyFill="true" applyFont="true" applyBorder="true">
      <alignment horizontal="left" vertical="top" indent="1" wrapText="false"/>
    </xf>
    <xf numFmtId="0" fontId="304" fillId="6" borderId="6" xfId="0" applyFill="true" applyFont="true" applyBorder="true">
      <alignment horizontal="left" vertical="top" indent="1" wrapText="false"/>
    </xf>
    <xf numFmtId="0" fontId="305" fillId="8" borderId="6" xfId="0" applyFill="true" applyFont="true" applyBorder="true">
      <alignment horizontal="left" vertical="top" indent="1" wrapText="false"/>
    </xf>
    <xf numFmtId="165" fontId="306" fillId="6" borderId="6" xfId="0" applyFill="true" applyFont="true" applyBorder="true" applyNumberFormat="true">
      <alignment horizontal="left" vertical="top" indent="1" wrapText="false"/>
    </xf>
    <xf numFmtId="165" fontId="307" fillId="8" borderId="6" xfId="0" applyFill="true" applyFont="true" applyBorder="true" applyNumberFormat="true">
      <alignment horizontal="left" vertical="top" indent="1" wrapText="false"/>
    </xf>
    <xf numFmtId="0" fontId="308" fillId="6" borderId="6" xfId="0" applyFill="true" applyFont="true" applyBorder="true">
      <alignment horizontal="left" vertical="top" indent="1" wrapText="false"/>
    </xf>
    <xf numFmtId="0" fontId="309" fillId="8" borderId="6" xfId="0" applyFill="true" applyFont="true" applyBorder="true">
      <alignment horizontal="left" vertical="top" indent="1" wrapText="false"/>
    </xf>
    <xf numFmtId="0" fontId="310" fillId="6" borderId="6" xfId="0" applyFill="true" applyFont="true" applyBorder="true">
      <alignment horizontal="left" vertical="top" indent="1" wrapText="false"/>
    </xf>
    <xf numFmtId="0" fontId="311" fillId="8" borderId="6" xfId="0" applyFill="true" applyFont="true" applyBorder="true">
      <alignment horizontal="left" vertical="top" indent="1" wrapText="false"/>
    </xf>
    <xf numFmtId="0" fontId="312" fillId="6" borderId="6" xfId="0" applyFill="true" applyFont="true" applyBorder="true">
      <alignment horizontal="left" vertical="top" indent="1" wrapText="false"/>
    </xf>
    <xf numFmtId="0" fontId="313" fillId="8" borderId="6" xfId="0" applyFill="true" applyFont="true" applyBorder="true">
      <alignment horizontal="left" vertical="top" indent="1" wrapText="false"/>
    </xf>
    <xf numFmtId="0" fontId="314" fillId="6" borderId="6" xfId="0" applyFill="true" applyFont="true" applyBorder="true">
      <alignment horizontal="left" vertical="top" indent="1" wrapText="false"/>
    </xf>
    <xf numFmtId="0" fontId="315" fillId="8" borderId="6" xfId="0" applyFill="true" applyFont="true" applyBorder="true">
      <alignment horizontal="left" vertical="top" indent="1" wrapText="false"/>
    </xf>
    <xf numFmtId="166" fontId="316" fillId="6" borderId="6" xfId="0" applyFill="true" applyFont="true" applyBorder="true" applyNumberFormat="true">
      <alignment horizontal="left" vertical="top" indent="1" wrapText="false"/>
    </xf>
    <xf numFmtId="166" fontId="317" fillId="8" borderId="6" xfId="0" applyFill="true" applyFont="true" applyBorder="true" applyNumberFormat="true">
      <alignment horizontal="left" vertical="top" indent="1" wrapText="false"/>
    </xf>
    <xf numFmtId="0" fontId="318" fillId="6" borderId="6" xfId="0" applyFill="true" applyFont="true" applyBorder="true">
      <alignment horizontal="left" vertical="top" indent="1" wrapText="false"/>
    </xf>
    <xf numFmtId="0" fontId="319" fillId="8" borderId="6" xfId="0" applyFill="true" applyFont="true" applyBorder="true">
      <alignment horizontal="left" vertical="top" indent="1" wrapText="false"/>
    </xf>
    <xf numFmtId="0" fontId="320" fillId="6" borderId="6" xfId="0" applyFill="true" applyFont="true" applyBorder="true">
      <alignment horizontal="left" vertical="top" indent="1" wrapText="false"/>
    </xf>
    <xf numFmtId="0" fontId="321" fillId="8" borderId="6" xfId="0" applyFill="true" applyFont="true" applyBorder="true">
      <alignment horizontal="left" vertical="top" indent="1" wrapText="false"/>
    </xf>
    <xf numFmtId="0" fontId="322" fillId="6" borderId="6" xfId="0" applyFill="true" applyFont="true" applyBorder="true">
      <alignment horizontal="left" vertical="top" indent="1" wrapText="false"/>
    </xf>
    <xf numFmtId="0" fontId="323" fillId="8" borderId="6" xfId="0" applyFill="true" applyFont="true" applyBorder="true">
      <alignment horizontal="left" vertical="top" indent="1" wrapText="false"/>
    </xf>
    <xf numFmtId="167" fontId="324" fillId="6" borderId="6" xfId="0" applyFill="true" applyFont="true" applyBorder="true" applyNumberFormat="true">
      <alignment horizontal="left" vertical="top" indent="1" wrapText="false"/>
    </xf>
    <xf numFmtId="167" fontId="325" fillId="8" borderId="6" xfId="0" applyFill="true" applyFont="true" applyBorder="true" applyNumberFormat="true">
      <alignment horizontal="left" vertical="top" indent="1" wrapText="false"/>
    </xf>
    <xf numFmtId="0" fontId="326" fillId="6" borderId="6" xfId="0" applyFill="true" applyFont="true" applyBorder="true">
      <alignment horizontal="left" vertical="top" indent="1" wrapText="false"/>
    </xf>
    <xf numFmtId="0" fontId="327" fillId="8" borderId="6" xfId="0" applyFill="true" applyFont="true" applyBorder="true">
      <alignment horizontal="left" vertical="top" indent="1" wrapText="false"/>
    </xf>
    <xf numFmtId="0" fontId="328" fillId="6" borderId="6" xfId="0" applyFill="true" applyFont="true" applyBorder="true">
      <alignment horizontal="left" vertical="top" indent="1" wrapText="false"/>
    </xf>
    <xf numFmtId="0" fontId="329" fillId="8" borderId="6" xfId="0" applyFill="true" applyFont="true" applyBorder="true">
      <alignment horizontal="left" vertical="top" indent="1" wrapText="false"/>
    </xf>
    <xf numFmtId="0" fontId="330" fillId="6" borderId="6" xfId="0" applyFill="true" applyFont="true" applyBorder="true">
      <alignment horizontal="left" vertical="top" indent="1" wrapText="false"/>
    </xf>
    <xf numFmtId="0" fontId="331" fillId="8" borderId="6" xfId="0" applyFill="true" applyFont="true" applyBorder="true">
      <alignment horizontal="left" vertical="top" indent="1" wrapText="false"/>
    </xf>
    <xf numFmtId="4" fontId="332" fillId="6" borderId="6" xfId="0" applyFill="true" applyFont="true" applyBorder="true" applyNumberFormat="true">
      <alignment horizontal="left" vertical="top" indent="1" wrapText="false"/>
    </xf>
    <xf numFmtId="4" fontId="333" fillId="8" borderId="6" xfId="0" applyFill="true" applyFont="true" applyBorder="true" applyNumberFormat="true">
      <alignment horizontal="left" vertical="top" indent="1" wrapText="false"/>
    </xf>
    <xf numFmtId="4" fontId="334" fillId="6" borderId="6" xfId="0" applyFill="true" applyFont="true" applyBorder="true" applyNumberFormat="true">
      <alignment horizontal="left" vertical="top" indent="1" wrapText="false"/>
    </xf>
    <xf numFmtId="4" fontId="335" fillId="8" borderId="6" xfId="0" applyFill="true" applyFont="true" applyBorder="true" applyNumberFormat="true">
      <alignment horizontal="left" vertical="top" indent="1" wrapText="false"/>
    </xf>
    <xf numFmtId="4" fontId="336" fillId="6" borderId="6" xfId="0" applyFill="true" applyFont="true" applyBorder="true" applyNumberFormat="true">
      <alignment horizontal="left" vertical="top" indent="1" wrapText="false"/>
    </xf>
    <xf numFmtId="4" fontId="337" fillId="8" borderId="6" xfId="0" applyFill="true" applyFont="true" applyBorder="true" applyNumberFormat="true">
      <alignment horizontal="left" vertical="top" indent="1" wrapText="false"/>
    </xf>
    <xf numFmtId="4" fontId="338" fillId="6" borderId="6" xfId="0" applyFill="true" applyFont="true" applyBorder="true" applyNumberFormat="true">
      <alignment horizontal="left" vertical="top" indent="1" wrapText="false"/>
    </xf>
    <xf numFmtId="4" fontId="339" fillId="8" borderId="6" xfId="0" applyFill="true" applyFont="true" applyBorder="true" applyNumberFormat="true">
      <alignment horizontal="left" vertical="top" indent="1" wrapText="false"/>
    </xf>
    <xf numFmtId="4" fontId="340" fillId="6" borderId="6" xfId="0" applyFill="true" applyFont="true" applyBorder="true" applyNumberFormat="true">
      <alignment horizontal="left" vertical="top" indent="1" wrapText="false"/>
    </xf>
    <xf numFmtId="4" fontId="341" fillId="8" borderId="6" xfId="0" applyFill="true" applyFont="true" applyBorder="true" applyNumberFormat="true">
      <alignment horizontal="left" vertical="top" indent="1" wrapText="false"/>
    </xf>
    <xf numFmtId="0" fontId="342" fillId="6" borderId="6" xfId="0" applyFill="true" applyFont="true" applyBorder="true">
      <alignment horizontal="left" vertical="top" indent="1" wrapText="false"/>
    </xf>
    <xf numFmtId="0" fontId="343" fillId="8" borderId="6" xfId="0" applyFill="true" applyFont="true" applyBorder="true">
      <alignment horizontal="left" vertical="top" indent="1" wrapText="false"/>
    </xf>
    <xf numFmtId="4" fontId="344" fillId="6" borderId="6" xfId="0" applyFill="true" applyFont="true" applyBorder="true" applyNumberFormat="true">
      <alignment horizontal="left" vertical="top" indent="1" wrapText="false"/>
    </xf>
    <xf numFmtId="4" fontId="345" fillId="8" borderId="6" xfId="0" applyFill="true" applyFont="true" applyBorder="true" applyNumberFormat="true">
      <alignment horizontal="left" vertical="top" indent="1" wrapText="false"/>
    </xf>
    <xf numFmtId="4" fontId="346" fillId="6" borderId="6" xfId="0" applyFill="true" applyFont="true" applyBorder="true" applyNumberFormat="true">
      <alignment horizontal="left" vertical="top" indent="1" wrapText="false"/>
    </xf>
    <xf numFmtId="4" fontId="347" fillId="8" borderId="6" xfId="0" applyFill="true" applyFont="true" applyBorder="true" applyNumberFormat="true">
      <alignment horizontal="left" vertical="top" indent="1" wrapText="false"/>
    </xf>
    <xf numFmtId="4" fontId="348" fillId="6" borderId="6" xfId="0" applyFill="true" applyFont="true" applyBorder="true" applyNumberFormat="true">
      <alignment horizontal="left" vertical="top" indent="1" wrapText="false"/>
    </xf>
    <xf numFmtId="4" fontId="349" fillId="8" borderId="6" xfId="0" applyFill="true" applyFont="true" applyBorder="true" applyNumberFormat="true">
      <alignment horizontal="left" vertical="top" indent="1" wrapText="false"/>
    </xf>
    <xf numFmtId="0" fontId="350" fillId="6" borderId="6" xfId="0" applyFill="true" applyFont="true" applyBorder="true">
      <alignment horizontal="left" vertical="top" indent="1" wrapText="false"/>
    </xf>
    <xf numFmtId="0" fontId="351" fillId="8" borderId="6" xfId="0" applyFill="true" applyFont="true" applyBorder="true">
      <alignment horizontal="left" vertical="top" indent="1" wrapText="false"/>
    </xf>
    <xf numFmtId="0" fontId="352" fillId="6" borderId="6" xfId="0" applyFill="true" applyFont="true" applyBorder="true">
      <alignment horizontal="left" vertical="top" indent="1" wrapText="false"/>
    </xf>
    <xf numFmtId="0" fontId="353" fillId="8" borderId="6" xfId="0" applyFill="true" applyFont="true" applyBorder="true">
      <alignment horizontal="left" vertical="top" indent="1" wrapText="false"/>
    </xf>
    <xf numFmtId="0" fontId="354" fillId="6" borderId="6" xfId="0" applyFill="true" applyFont="true" applyBorder="true">
      <alignment horizontal="left" vertical="top" indent="1" wrapText="false"/>
    </xf>
    <xf numFmtId="0" fontId="355" fillId="8" borderId="6" xfId="0" applyFill="true" applyFont="true" applyBorder="true">
      <alignment horizontal="left" vertical="top" indent="1" wrapText="false"/>
    </xf>
    <xf numFmtId="0" fontId="356" fillId="6" borderId="6" xfId="0" applyFill="true" applyFont="true" applyBorder="true">
      <alignment horizontal="left" vertical="top" indent="1" wrapText="false"/>
    </xf>
    <xf numFmtId="0" fontId="357" fillId="8" borderId="6" xfId="0" applyFill="true" applyFont="true" applyBorder="true">
      <alignment horizontal="left" vertical="top" indent="1" wrapText="false"/>
    </xf>
    <xf numFmtId="0" fontId="358" fillId="6" borderId="6" xfId="0" applyFill="true" applyFont="true" applyBorder="true">
      <alignment horizontal="left" vertical="top" indent="1" wrapText="false"/>
    </xf>
    <xf numFmtId="0" fontId="359" fillId="8" borderId="6" xfId="0" applyFill="true" applyFont="true" applyBorder="true">
      <alignment horizontal="left" vertical="top" indent="1" wrapText="false"/>
    </xf>
    <xf numFmtId="0" fontId="360" fillId="6" borderId="6" xfId="0" applyFill="true" applyFont="true" applyBorder="true">
      <alignment horizontal="left" vertical="top" indent="1" wrapText="false"/>
    </xf>
    <xf numFmtId="0" fontId="361" fillId="8" borderId="6" xfId="0" applyFill="true" applyFont="true" applyBorder="true">
      <alignment horizontal="left" vertical="top" indent="1" wrapText="false"/>
    </xf>
    <xf numFmtId="0" fontId="362" fillId="6" borderId="6" xfId="0" applyFill="true" applyFont="true" applyBorder="true">
      <alignment horizontal="left" vertical="top" indent="1" wrapText="false"/>
    </xf>
    <xf numFmtId="0" fontId="363" fillId="8" borderId="6" xfId="0" applyFill="true" applyFont="true" applyBorder="true">
      <alignment horizontal="left" vertical="top" indent="1" wrapText="false"/>
    </xf>
    <xf numFmtId="0" fontId="364" fillId="6" borderId="6" xfId="0" applyFill="true" applyFont="true" applyBorder="true">
      <alignment horizontal="left" vertical="top" indent="1" wrapText="false"/>
    </xf>
    <xf numFmtId="0" fontId="365" fillId="8" borderId="6" xfId="0" applyFill="true" applyFont="true" applyBorder="true">
      <alignment horizontal="left" vertical="top" indent="1" wrapText="false"/>
    </xf>
    <xf numFmtId="0" fontId="366" fillId="6" borderId="6" xfId="0" applyFill="true" applyFont="true" applyBorder="true">
      <alignment horizontal="left" vertical="top" indent="1" wrapText="false"/>
    </xf>
    <xf numFmtId="0" fontId="367" fillId="8" borderId="6" xfId="0" applyFill="true" applyFont="true" applyBorder="true">
      <alignment horizontal="left" vertical="top" indent="1" wrapText="false"/>
    </xf>
    <xf numFmtId="0" fontId="368" fillId="6" borderId="6" xfId="0" applyFill="true" applyFont="true" applyBorder="true">
      <alignment horizontal="left" vertical="top" indent="1" wrapText="false"/>
    </xf>
    <xf numFmtId="0" fontId="369" fillId="8" borderId="6" xfId="0" applyFill="true" applyFont="true" applyBorder="true">
      <alignment horizontal="left" vertical="top" indent="1" wrapText="false"/>
    </xf>
    <xf numFmtId="0" fontId="370" fillId="6" borderId="6" xfId="0" applyFill="true" applyFont="true" applyBorder="true">
      <alignment horizontal="left" vertical="top" indent="1" wrapText="false"/>
    </xf>
    <xf numFmtId="0" fontId="371" fillId="8" borderId="6" xfId="0" applyFill="true" applyFont="true" applyBorder="true">
      <alignment horizontal="left" vertical="top" indent="1" wrapText="false"/>
    </xf>
    <xf numFmtId="0" fontId="372" fillId="6" borderId="6" xfId="0" applyFill="true" applyFont="true" applyBorder="true">
      <alignment horizontal="left" vertical="top" indent="1" wrapText="false"/>
    </xf>
    <xf numFmtId="0" fontId="373" fillId="8" borderId="6" xfId="0" applyFill="true" applyFont="true" applyBorder="true">
      <alignment horizontal="left" vertical="top" indent="1" wrapText="false"/>
    </xf>
    <xf numFmtId="0" fontId="374" fillId="6" borderId="6" xfId="0" applyFill="true" applyFont="true" applyBorder="true">
      <alignment horizontal="left" vertical="top" indent="1" wrapText="false"/>
    </xf>
    <xf numFmtId="0" fontId="375" fillId="8" borderId="6" xfId="0" applyFill="true" applyFont="true" applyBorder="true">
      <alignment horizontal="left" vertical="top" indent="1" wrapText="false"/>
    </xf>
    <xf numFmtId="0" fontId="376" fillId="6" borderId="6" xfId="0" applyFill="true" applyFont="true" applyBorder="true">
      <alignment horizontal="left" vertical="top" indent="1" wrapText="false"/>
    </xf>
    <xf numFmtId="0" fontId="377" fillId="8" borderId="6" xfId="0" applyFill="true" applyFont="true" applyBorder="true">
      <alignment horizontal="left" vertical="top" indent="1" wrapText="false"/>
    </xf>
    <xf numFmtId="0" fontId="378" fillId="6" borderId="6" xfId="0" applyFill="true" applyFont="true" applyBorder="true">
      <alignment horizontal="left" vertical="top" indent="1" wrapText="false"/>
    </xf>
    <xf numFmtId="0" fontId="379" fillId="8" borderId="6" xfId="0" applyFill="true" applyFont="true" applyBorder="true">
      <alignment horizontal="left" vertical="top" indent="1" wrapText="false"/>
    </xf>
    <xf numFmtId="0" fontId="380" fillId="6" borderId="6" xfId="0" applyFill="true" applyFont="true" applyBorder="true">
      <alignment horizontal="left" vertical="top" indent="1" wrapText="false"/>
    </xf>
    <xf numFmtId="0" fontId="381" fillId="8" borderId="6" xfId="0" applyFill="true" applyFont="true" applyBorder="true">
      <alignment horizontal="left" vertical="top" indent="1" wrapText="false"/>
    </xf>
    <xf numFmtId="0" fontId="382" fillId="6" borderId="6" xfId="0" applyFill="true" applyFont="true" applyBorder="true">
      <alignment horizontal="left" vertical="top" indent="1" wrapText="false"/>
    </xf>
    <xf numFmtId="0" fontId="383" fillId="8" borderId="6" xfId="0" applyFill="true" applyFont="true" applyBorder="true">
      <alignment horizontal="left" vertical="top" indent="1" wrapText="false"/>
    </xf>
    <xf numFmtId="0" fontId="384" fillId="6" borderId="6" xfId="0" applyFill="true" applyFont="true" applyBorder="true">
      <alignment horizontal="left" vertical="top" indent="1" wrapText="false"/>
    </xf>
    <xf numFmtId="0" fontId="385" fillId="8" borderId="6" xfId="0" applyFill="true" applyFont="true" applyBorder="true">
      <alignment horizontal="left" vertical="top" indent="1" wrapText="false"/>
    </xf>
    <xf numFmtId="0" fontId="386" fillId="6" borderId="6" xfId="0" applyFill="true" applyFont="true" applyBorder="true">
      <alignment horizontal="left" vertical="top" indent="1" wrapText="false"/>
    </xf>
    <xf numFmtId="0" fontId="387" fillId="8" borderId="6" xfId="0" applyFill="true" applyFont="true" applyBorder="true">
      <alignment horizontal="left" vertical="top" indent="1" wrapText="false"/>
    </xf>
    <xf numFmtId="168" fontId="388" fillId="6" borderId="6" xfId="0" applyFill="true" applyFont="true" applyBorder="true" applyNumberFormat="true">
      <alignment horizontal="left" vertical="top" indent="1" wrapText="false"/>
    </xf>
    <xf numFmtId="168" fontId="389" fillId="8" borderId="6" xfId="0" applyFill="true" applyFont="true" applyBorder="true" applyNumberFormat="true">
      <alignment horizontal="left" vertical="top" indent="1" wrapText="false"/>
    </xf>
    <xf numFmtId="0" fontId="390" fillId="6" borderId="6" xfId="0" applyFill="true" applyFont="true" applyBorder="true">
      <alignment horizontal="left" vertical="top" indent="1" wrapText="false"/>
    </xf>
    <xf numFmtId="0" fontId="391" fillId="8" borderId="6" xfId="0" applyFill="true" applyFont="true" applyBorder="true">
      <alignment horizontal="left" vertical="top" indent="1" wrapText="false"/>
    </xf>
    <xf numFmtId="0" fontId="392" fillId="6" borderId="6" xfId="0" applyFill="true" applyFont="true" applyBorder="true">
      <alignment horizontal="left" vertical="top" indent="1" wrapText="false"/>
    </xf>
    <xf numFmtId="0" fontId="393" fillId="8" borderId="6" xfId="0" applyFill="true" applyFont="true" applyBorder="true">
      <alignment horizontal="left" vertical="top" indent="1" wrapText="false"/>
    </xf>
    <xf numFmtId="0" fontId="394" fillId="6" borderId="6" xfId="0" applyFill="true" applyFont="true" applyBorder="true">
      <alignment horizontal="left" vertical="top" indent="1" wrapText="false"/>
    </xf>
    <xf numFmtId="0" fontId="395" fillId="8" borderId="6" xfId="0" applyFill="true" applyFont="true" applyBorder="true">
      <alignment horizontal="left" vertical="top" indent="1" wrapText="false"/>
    </xf>
    <xf numFmtId="0" fontId="396" fillId="6" borderId="6" xfId="0" applyFill="true" applyFont="true" applyBorder="true">
      <alignment horizontal="left" vertical="top" indent="1" wrapText="false"/>
    </xf>
    <xf numFmtId="0" fontId="397" fillId="8" borderId="6" xfId="0" applyFill="true" applyFont="true" applyBorder="true">
      <alignment horizontal="left" vertical="top" indent="1" wrapText="false"/>
    </xf>
    <xf numFmtId="0" fontId="398" fillId="6" borderId="6" xfId="0" applyFill="true" applyFont="true" applyBorder="true">
      <alignment horizontal="left" vertical="top" indent="1" wrapText="false"/>
    </xf>
    <xf numFmtId="0" fontId="399" fillId="8" borderId="6" xfId="0" applyFill="true" applyFont="true" applyBorder="true">
      <alignment horizontal="left" vertical="top" indent="1" wrapText="false"/>
    </xf>
    <xf numFmtId="0" fontId="400" fillId="6" borderId="6" xfId="0" applyFill="true" applyFont="true" applyBorder="true">
      <alignment horizontal="left" vertical="top" indent="1" wrapText="false"/>
    </xf>
    <xf numFmtId="0" fontId="401" fillId="8" borderId="6" xfId="0" applyFill="true" applyFont="true" applyBorder="true">
      <alignment horizontal="left" vertical="top" indent="1" wrapText="false"/>
    </xf>
    <xf numFmtId="0" fontId="402" fillId="6" borderId="6" xfId="0" applyFill="true" applyFont="true" applyBorder="true">
      <alignment horizontal="left" vertical="top" indent="1" wrapText="false"/>
    </xf>
    <xf numFmtId="0" fontId="403" fillId="8" borderId="6" xfId="0" applyFill="true" applyFont="true" applyBorder="true">
      <alignment horizontal="left" vertical="top" indent="1" wrapText="false"/>
    </xf>
    <xf numFmtId="0" fontId="404" fillId="6" borderId="6" xfId="0" applyFill="true" applyFont="true" applyBorder="true">
      <alignment horizontal="left" vertical="top" indent="1" wrapText="false"/>
    </xf>
    <xf numFmtId="0" fontId="405" fillId="8" borderId="6" xfId="0" applyFill="true" applyFont="true" applyBorder="true">
      <alignment horizontal="left" vertical="top" indent="1" wrapText="false"/>
    </xf>
    <xf numFmtId="169" fontId="406" fillId="6" borderId="6" xfId="0" applyFill="true" applyFont="true" applyBorder="true" applyNumberFormat="true">
      <alignment horizontal="left" vertical="top" indent="1" wrapText="false"/>
    </xf>
    <xf numFmtId="169" fontId="407" fillId="8" borderId="6" xfId="0" applyFill="true" applyFont="true" applyBorder="true" applyNumberFormat="true">
      <alignment horizontal="left" vertical="top" indent="1" wrapText="false"/>
    </xf>
    <xf numFmtId="165" fontId="408" fillId="6" borderId="6" xfId="0" applyFill="true" applyFont="true" applyBorder="true" applyNumberFormat="true">
      <alignment horizontal="left" vertical="top" indent="1" wrapText="false"/>
    </xf>
    <xf numFmtId="165" fontId="409" fillId="8" borderId="6" xfId="0" applyFill="true" applyFont="true" applyBorder="true" applyNumberFormat="true">
      <alignment horizontal="left" vertical="top" indent="1" wrapText="false"/>
    </xf>
    <xf numFmtId="0" fontId="410" fillId="6" borderId="6" xfId="0" applyFill="true" applyFont="true" applyBorder="true">
      <alignment horizontal="left" vertical="top" indent="1" wrapText="false"/>
    </xf>
    <xf numFmtId="0" fontId="411" fillId="8" borderId="6" xfId="0" applyFill="true" applyFont="true" applyBorder="true">
      <alignment horizontal="left" vertical="top" indent="1" wrapText="false"/>
    </xf>
    <xf numFmtId="165" fontId="412" fillId="6" borderId="6" xfId="0" applyFill="true" applyFont="true" applyBorder="true" applyNumberFormat="true">
      <alignment horizontal="left" vertical="top" indent="1" wrapText="false"/>
    </xf>
    <xf numFmtId="165" fontId="413" fillId="8" borderId="6" xfId="0" applyFill="true" applyFont="true" applyBorder="true" applyNumberFormat="true">
      <alignment horizontal="left" vertical="top" indent="1" wrapText="false"/>
    </xf>
    <xf numFmtId="0" fontId="414" fillId="6" borderId="6" xfId="0" applyFill="true" applyFont="true" applyBorder="true">
      <alignment horizontal="left" vertical="top" indent="1" wrapText="false"/>
    </xf>
    <xf numFmtId="0" fontId="415" fillId="8" borderId="6" xfId="0" applyFill="true" applyFont="true" applyBorder="true">
      <alignment horizontal="left" vertical="top" indent="1" wrapText="false"/>
    </xf>
    <xf numFmtId="0" fontId="416" fillId="6" borderId="6" xfId="0" applyFill="true" applyFont="true" applyBorder="true">
      <alignment horizontal="left" vertical="top" indent="1" wrapText="false"/>
    </xf>
    <xf numFmtId="0" fontId="417" fillId="8" borderId="6" xfId="0" applyFill="true" applyFont="true" applyBorder="true">
      <alignment horizontal="left" vertical="top" indent="1" wrapText="false"/>
    </xf>
    <xf numFmtId="0" fontId="418" fillId="6" borderId="6" xfId="0" applyFill="true" applyFont="true" applyBorder="true">
      <alignment horizontal="left" vertical="top" indent="1" wrapText="false"/>
    </xf>
    <xf numFmtId="0" fontId="419" fillId="8" borderId="6" xfId="0" applyFill="true" applyFont="true" applyBorder="true">
      <alignment horizontal="left" vertical="top" indent="1" wrapText="false"/>
    </xf>
    <xf numFmtId="0" fontId="420" fillId="6" borderId="6" xfId="0" applyFill="true" applyFont="true" applyBorder="true">
      <alignment horizontal="left" vertical="top" indent="1" wrapText="false"/>
    </xf>
    <xf numFmtId="0" fontId="421" fillId="8" borderId="6" xfId="0" applyFill="true" applyFont="true" applyBorder="true">
      <alignment horizontal="left" vertical="top" indent="1" wrapText="false"/>
    </xf>
    <xf numFmtId="0" fontId="422" fillId="6" borderId="6" xfId="0" applyFill="true" applyFont="true" applyBorder="true">
      <alignment horizontal="left" vertical="top" indent="1" wrapText="false"/>
    </xf>
    <xf numFmtId="0" fontId="423" fillId="8" borderId="6" xfId="0" applyFill="true" applyFont="true" applyBorder="true">
      <alignment horizontal="left" vertical="top" indent="1" wrapText="false"/>
    </xf>
    <xf numFmtId="0" fontId="424" fillId="6" borderId="6" xfId="0" applyFill="true" applyFont="true" applyBorder="true">
      <alignment horizontal="left" vertical="top" indent="1" wrapText="false"/>
    </xf>
    <xf numFmtId="0" fontId="425" fillId="8" borderId="6" xfId="0" applyFill="true" applyFont="true" applyBorder="true">
      <alignment horizontal="left" vertical="top" indent="1" wrapText="false"/>
    </xf>
    <xf numFmtId="0" fontId="426" fillId="6" borderId="6" xfId="0" applyFill="true" applyFont="true" applyBorder="true">
      <alignment horizontal="left" vertical="top" indent="1" wrapText="false"/>
    </xf>
    <xf numFmtId="0" fontId="427" fillId="8" borderId="6" xfId="0" applyFill="true" applyFont="true" applyBorder="true">
      <alignment horizontal="left" vertical="top" indent="1" wrapText="false"/>
    </xf>
    <xf numFmtId="0" fontId="428" fillId="6" borderId="6" xfId="0" applyFill="true" applyFont="true" applyBorder="true">
      <alignment horizontal="left" vertical="top" indent="1" wrapText="false"/>
    </xf>
    <xf numFmtId="0" fontId="429" fillId="8" borderId="6" xfId="0" applyFill="true" applyFont="true" applyBorder="true">
      <alignment horizontal="left" vertical="top" indent="1" wrapText="false"/>
    </xf>
    <xf numFmtId="0" fontId="430" fillId="6" borderId="6" xfId="0" applyFill="true" applyFont="true" applyBorder="true">
      <alignment horizontal="left" vertical="top" indent="1" wrapText="false"/>
    </xf>
    <xf numFmtId="0" fontId="431" fillId="8" borderId="6" xfId="0" applyFill="true" applyFont="true" applyBorder="true">
      <alignment horizontal="left" vertical="top" indent="1" wrapText="false"/>
    </xf>
    <xf numFmtId="169" fontId="432" fillId="6" borderId="6" xfId="0" applyFill="true" applyFont="true" applyBorder="true" applyNumberFormat="true">
      <alignment horizontal="left" vertical="top" indent="1" wrapText="false"/>
    </xf>
    <xf numFmtId="169" fontId="433" fillId="8" borderId="6" xfId="0" applyFill="true" applyFont="true" applyBorder="true" applyNumberFormat="true">
      <alignment horizontal="left" vertical="top" indent="1" wrapText="false"/>
    </xf>
    <xf numFmtId="165" fontId="434" fillId="6" borderId="6" xfId="0" applyFill="true" applyFont="true" applyBorder="true" applyNumberFormat="true">
      <alignment horizontal="left" vertical="top" indent="1" wrapText="false"/>
    </xf>
    <xf numFmtId="165" fontId="435" fillId="8" borderId="6" xfId="0" applyFill="true" applyFont="true" applyBorder="true" applyNumberFormat="true">
      <alignment horizontal="left" vertical="top" indent="1" wrapText="false"/>
    </xf>
    <xf numFmtId="0" fontId="436" fillId="6" borderId="6" xfId="0" applyFill="true" applyFont="true" applyBorder="true">
      <alignment horizontal="left" vertical="top" indent="1" wrapText="false"/>
    </xf>
    <xf numFmtId="0" fontId="437" fillId="8" borderId="6" xfId="0" applyFill="true" applyFont="true" applyBorder="true">
      <alignment horizontal="left" vertical="top" indent="1" wrapText="false"/>
    </xf>
    <xf numFmtId="165" fontId="438" fillId="6" borderId="6" xfId="0" applyFill="true" applyFont="true" applyBorder="true" applyNumberFormat="true">
      <alignment horizontal="left" vertical="top" indent="1" wrapText="false"/>
    </xf>
    <xf numFmtId="165" fontId="439" fillId="8" borderId="6" xfId="0" applyFill="true" applyFont="true" applyBorder="true" applyNumberFormat="true">
      <alignment horizontal="left" vertical="top" indent="1" wrapText="false"/>
    </xf>
    <xf numFmtId="0" fontId="440" fillId="6" borderId="6" xfId="0" applyFill="true" applyFont="true" applyBorder="true">
      <alignment horizontal="left" vertical="top" indent="1" wrapText="false"/>
    </xf>
    <xf numFmtId="0" fontId="441" fillId="8" borderId="6" xfId="0" applyFill="true" applyFont="true" applyBorder="true">
      <alignment horizontal="left" vertical="top" indent="1" wrapText="false"/>
    </xf>
    <xf numFmtId="0" fontId="442" fillId="6" borderId="6" xfId="0" applyFill="true" applyFont="true" applyBorder="true">
      <alignment horizontal="left" vertical="top" indent="1" wrapText="false"/>
    </xf>
    <xf numFmtId="0" fontId="443" fillId="8" borderId="6" xfId="0" applyFill="true" applyFont="true" applyBorder="true">
      <alignment horizontal="left" vertical="top" indent="1" wrapText="false"/>
    </xf>
    <xf numFmtId="0" fontId="444" fillId="6" borderId="6" xfId="0" applyFill="true" applyFont="true" applyBorder="true">
      <alignment horizontal="left" vertical="top" indent="1" wrapText="false"/>
    </xf>
    <xf numFmtId="0" fontId="445" fillId="8" borderId="6" xfId="0" applyFill="true" applyFont="true" applyBorder="true">
      <alignment horizontal="left" vertical="top" indent="1" wrapText="false"/>
    </xf>
    <xf numFmtId="0" fontId="446" fillId="6" borderId="6" xfId="0" applyFill="true" applyFont="true" applyBorder="true">
      <alignment horizontal="left" vertical="top" indent="1" wrapText="false"/>
    </xf>
    <xf numFmtId="0" fontId="447" fillId="8" borderId="6" xfId="0" applyFill="true" applyFont="true" applyBorder="true">
      <alignment horizontal="left" vertical="top" indent="1" wrapText="false"/>
    </xf>
    <xf numFmtId="0" fontId="448" fillId="6" borderId="6" xfId="0" applyFill="true" applyFont="true" applyBorder="true">
      <alignment horizontal="left" vertical="top" indent="1" wrapText="false"/>
    </xf>
    <xf numFmtId="0" fontId="449" fillId="8" borderId="6" xfId="0" applyFill="true" applyFont="true" applyBorder="true">
      <alignment horizontal="left" vertical="top" indent="1" wrapText="false"/>
    </xf>
    <xf numFmtId="0" fontId="450" fillId="6" borderId="6" xfId="0" applyFill="true" applyFont="true" applyBorder="true">
      <alignment horizontal="left" vertical="top" indent="1" wrapText="false"/>
    </xf>
    <xf numFmtId="0" fontId="451" fillId="8" borderId="6" xfId="0" applyFill="true" applyFont="true" applyBorder="true">
      <alignment horizontal="left" vertical="top" indent="1" wrapText="false"/>
    </xf>
    <xf numFmtId="0" fontId="452" fillId="6" borderId="6" xfId="0" applyFill="true" applyFont="true" applyBorder="true">
      <alignment horizontal="left" vertical="top" indent="1" wrapText="false"/>
    </xf>
    <xf numFmtId="0" fontId="453" fillId="8" borderId="6" xfId="0" applyFill="true" applyFont="true" applyBorder="true">
      <alignment horizontal="left" vertical="top" indent="1" wrapText="false"/>
    </xf>
    <xf numFmtId="0" fontId="454" fillId="6" borderId="6" xfId="0" applyFill="true" applyFont="true" applyBorder="true">
      <alignment horizontal="left" vertical="top" indent="1" wrapText="false"/>
    </xf>
    <xf numFmtId="0" fontId="455" fillId="8" borderId="6" xfId="0" applyFill="true" applyFont="true" applyBorder="true">
      <alignment horizontal="left" vertical="top" indent="1" wrapText="false"/>
    </xf>
    <xf numFmtId="0" fontId="456" fillId="6" borderId="6" xfId="0" applyFill="true" applyFont="true" applyBorder="true">
      <alignment horizontal="left" vertical="top" indent="1" wrapText="false"/>
    </xf>
    <xf numFmtId="0" fontId="457" fillId="8" borderId="6" xfId="0" applyFill="true" applyFont="true" applyBorder="true">
      <alignment horizontal="left" vertical="top" indent="1" wrapText="false"/>
    </xf>
    <xf numFmtId="169" fontId="458" fillId="6" borderId="6" xfId="0" applyFill="true" applyFont="true" applyBorder="true" applyNumberFormat="true">
      <alignment horizontal="left" vertical="top" indent="1" wrapText="false"/>
    </xf>
    <xf numFmtId="169" fontId="459" fillId="8" borderId="6" xfId="0" applyFill="true" applyFont="true" applyBorder="true" applyNumberFormat="true">
      <alignment horizontal="left" vertical="top" indent="1" wrapText="false"/>
    </xf>
    <xf numFmtId="165" fontId="460" fillId="6" borderId="6" xfId="0" applyFill="true" applyFont="true" applyBorder="true" applyNumberFormat="true">
      <alignment horizontal="left" vertical="top" indent="1" wrapText="false"/>
    </xf>
    <xf numFmtId="165" fontId="461" fillId="8" borderId="6" xfId="0" applyFill="true" applyFont="true" applyBorder="true" applyNumberFormat="true">
      <alignment horizontal="left" vertical="top" indent="1" wrapText="false"/>
    </xf>
    <xf numFmtId="170" fontId="462" fillId="6" borderId="6" xfId="0" applyFill="true" applyFont="true" applyBorder="true" applyNumberFormat="true">
      <alignment horizontal="left" vertical="top" indent="1" wrapText="false"/>
    </xf>
    <xf numFmtId="170" fontId="463" fillId="8" borderId="6" xfId="0" applyFill="true" applyFont="true" applyBorder="true" applyNumberFormat="true">
      <alignment horizontal="left" vertical="top" indent="1" wrapText="false"/>
    </xf>
    <xf numFmtId="171" fontId="464" fillId="6" borderId="6" xfId="0" applyFill="true" applyFont="true" applyBorder="true" applyNumberFormat="true">
      <alignment horizontal="left" vertical="top" indent="1" wrapText="false"/>
    </xf>
    <xf numFmtId="171" fontId="465" fillId="8" borderId="6" xfId="0" applyFill="true" applyFont="true" applyBorder="true" applyNumberFormat="true">
      <alignment horizontal="left" vertical="top" indent="1" wrapText="false"/>
    </xf>
    <xf numFmtId="170" fontId="466" fillId="6" borderId="6" xfId="0" applyFill="true" applyFont="true" applyBorder="true" applyNumberFormat="true">
      <alignment horizontal="left" vertical="top" indent="1" wrapText="false"/>
    </xf>
    <xf numFmtId="170" fontId="467" fillId="8" borderId="6" xfId="0" applyFill="true" applyFont="true" applyBorder="true" applyNumberFormat="true">
      <alignment horizontal="left" vertical="top" indent="1" wrapText="false"/>
    </xf>
    <xf numFmtId="170" fontId="468" fillId="6" borderId="6" xfId="0" applyFill="true" applyFont="true" applyBorder="true" applyNumberFormat="true">
      <alignment horizontal="left" vertical="top" indent="1" wrapText="false"/>
    </xf>
    <xf numFmtId="170" fontId="469" fillId="8" borderId="6" xfId="0" applyFill="true" applyFont="true" applyBorder="true" applyNumberFormat="true">
      <alignment horizontal="left" vertical="top" indent="1" wrapText="false"/>
    </xf>
    <xf numFmtId="170" fontId="470" fillId="6" borderId="6" xfId="0" applyFill="true" applyFont="true" applyBorder="true" applyNumberFormat="true">
      <alignment horizontal="left" vertical="top" indent="1" wrapText="false"/>
    </xf>
    <xf numFmtId="170" fontId="471" fillId="8" borderId="6" xfId="0" applyFill="true" applyFont="true" applyBorder="true" applyNumberFormat="true">
      <alignment horizontal="left" vertical="top" indent="1" wrapText="false"/>
    </xf>
    <xf numFmtId="171" fontId="472" fillId="6" borderId="6" xfId="0" applyFill="true" applyFont="true" applyBorder="true" applyNumberFormat="true">
      <alignment horizontal="left" vertical="top" indent="1" wrapText="false"/>
    </xf>
    <xf numFmtId="171" fontId="473" fillId="8" borderId="6" xfId="0" applyFill="true" applyFont="true" applyBorder="true" applyNumberFormat="true">
      <alignment horizontal="left" vertical="top" indent="1" wrapText="false"/>
    </xf>
    <xf numFmtId="170" fontId="474" fillId="6" borderId="6" xfId="0" applyFill="true" applyFont="true" applyBorder="true" applyNumberFormat="true">
      <alignment horizontal="left" vertical="top" indent="1" wrapText="false"/>
    </xf>
    <xf numFmtId="170" fontId="475" fillId="8" borderId="6" xfId="0" applyFill="true" applyFont="true" applyBorder="true" applyNumberFormat="true">
      <alignment horizontal="left" vertical="top" indent="1" wrapText="false"/>
    </xf>
    <xf numFmtId="171" fontId="476" fillId="6" borderId="6" xfId="0" applyFill="true" applyFont="true" applyBorder="true" applyNumberFormat="true">
      <alignment horizontal="left" vertical="top" indent="1" wrapText="false"/>
    </xf>
    <xf numFmtId="171" fontId="477" fillId="8" borderId="6" xfId="0" applyFill="true" applyFont="true" applyBorder="true" applyNumberFormat="true">
      <alignment horizontal="left" vertical="top" indent="1" wrapText="false"/>
    </xf>
    <xf numFmtId="170" fontId="478" fillId="6" borderId="6" xfId="0" applyFill="true" applyFont="true" applyBorder="true" applyNumberFormat="true">
      <alignment horizontal="left" vertical="top" indent="1" wrapText="false"/>
    </xf>
    <xf numFmtId="170" fontId="479" fillId="8" borderId="6" xfId="0" applyFill="true" applyFont="true" applyBorder="true" applyNumberFormat="true">
      <alignment horizontal="left" vertical="top" indent="1" wrapText="false"/>
    </xf>
    <xf numFmtId="171" fontId="480" fillId="6" borderId="6" xfId="0" applyFill="true" applyFont="true" applyBorder="true" applyNumberFormat="true">
      <alignment horizontal="left" vertical="top" indent="1" wrapText="false"/>
    </xf>
    <xf numFmtId="171" fontId="481" fillId="8" borderId="6" xfId="0" applyFill="true" applyFont="true" applyBorder="true" applyNumberFormat="true">
      <alignment horizontal="left" vertical="top" indent="1" wrapText="false"/>
    </xf>
    <xf numFmtId="170" fontId="482" fillId="6" borderId="6" xfId="0" applyFill="true" applyFont="true" applyBorder="true" applyNumberFormat="true">
      <alignment horizontal="left" vertical="top" indent="1" wrapText="false"/>
    </xf>
    <xf numFmtId="170" fontId="483" fillId="8" borderId="6" xfId="0" applyFill="true" applyFont="true" applyBorder="true" applyNumberFormat="true">
      <alignment horizontal="left" vertical="top" indent="1" wrapText="false"/>
    </xf>
    <xf numFmtId="171" fontId="484" fillId="6" borderId="6" xfId="0" applyFill="true" applyFont="true" applyBorder="true" applyNumberFormat="true">
      <alignment horizontal="left" vertical="top" indent="1" wrapText="false"/>
    </xf>
    <xf numFmtId="171" fontId="485" fillId="8" borderId="6" xfId="0" applyFill="true" applyFont="true" applyBorder="true" applyNumberFormat="true">
      <alignment horizontal="left" vertical="top" indent="1" wrapText="false"/>
    </xf>
    <xf numFmtId="170" fontId="486" fillId="6" borderId="6" xfId="0" applyFill="true" applyFont="true" applyBorder="true" applyNumberFormat="true">
      <alignment horizontal="left" vertical="top" indent="1" wrapText="false"/>
    </xf>
    <xf numFmtId="170" fontId="487" fillId="8" borderId="6" xfId="0" applyFill="true" applyFont="true" applyBorder="true" applyNumberFormat="true">
      <alignment horizontal="left" vertical="top" indent="1" wrapText="false"/>
    </xf>
    <xf numFmtId="171" fontId="488" fillId="6" borderId="6" xfId="0" applyFill="true" applyFont="true" applyBorder="true" applyNumberFormat="true">
      <alignment horizontal="left" vertical="top" indent="1" wrapText="false"/>
    </xf>
    <xf numFmtId="171" fontId="489" fillId="8" borderId="6" xfId="0" applyFill="true" applyFont="true" applyBorder="true" applyNumberFormat="true">
      <alignment horizontal="left" vertical="top" indent="1" wrapText="false"/>
    </xf>
    <xf numFmtId="172" fontId="490" fillId="6" borderId="6" xfId="0" applyFill="true" applyFont="true" applyBorder="true" applyNumberFormat="true">
      <alignment horizontal="left" vertical="top" indent="1" wrapText="false"/>
    </xf>
    <xf numFmtId="172" fontId="491" fillId="8" borderId="6" xfId="0" applyFill="true" applyFont="true" applyBorder="true" applyNumberFormat="true">
      <alignment horizontal="left" vertical="top" indent="1" wrapText="false"/>
    </xf>
    <xf numFmtId="171" fontId="492" fillId="6" borderId="6" xfId="0" applyFill="true" applyFont="true" applyBorder="true" applyNumberFormat="true">
      <alignment horizontal="left" vertical="top" indent="1" wrapText="false"/>
    </xf>
    <xf numFmtId="171" fontId="493" fillId="8" borderId="6" xfId="0" applyFill="true" applyFont="true" applyBorder="true" applyNumberFormat="true">
      <alignment horizontal="left" vertical="top" indent="1" wrapText="false"/>
    </xf>
    <xf numFmtId="172" fontId="494" fillId="6" borderId="6" xfId="0" applyFill="true" applyFont="true" applyBorder="true" applyNumberFormat="true">
      <alignment horizontal="left" vertical="top" indent="1" wrapText="false"/>
    </xf>
    <xf numFmtId="172" fontId="495" fillId="8" borderId="6" xfId="0" applyFill="true" applyFont="true" applyBorder="true" applyNumberFormat="true">
      <alignment horizontal="left" vertical="top" indent="1" wrapText="false"/>
    </xf>
    <xf numFmtId="170" fontId="496" fillId="6" borderId="6" xfId="0" applyFill="true" applyFont="true" applyBorder="true" applyNumberFormat="true">
      <alignment horizontal="left" vertical="top" indent="1" wrapText="false"/>
    </xf>
    <xf numFmtId="170" fontId="497" fillId="8" borderId="6" xfId="0" applyFill="true" applyFont="true" applyBorder="true" applyNumberFormat="true">
      <alignment horizontal="left" vertical="top" indent="1" wrapText="false"/>
    </xf>
    <xf numFmtId="172" fontId="498" fillId="6" borderId="6" xfId="0" applyFill="true" applyFont="true" applyBorder="true" applyNumberFormat="true">
      <alignment horizontal="left" vertical="top" indent="1" wrapText="false"/>
    </xf>
    <xf numFmtId="172" fontId="499" fillId="8" borderId="6" xfId="0" applyFill="true" applyFont="true" applyBorder="true" applyNumberFormat="true">
      <alignment horizontal="left" vertical="top" indent="1" wrapText="false"/>
    </xf>
    <xf numFmtId="171" fontId="500" fillId="6" borderId="6" xfId="0" applyFill="true" applyFont="true" applyBorder="true" applyNumberFormat="true">
      <alignment horizontal="left" vertical="top" indent="1" wrapText="false"/>
    </xf>
    <xf numFmtId="171" fontId="501" fillId="8" borderId="6" xfId="0" applyFill="true" applyFont="true" applyBorder="true" applyNumberFormat="true">
      <alignment horizontal="left" vertical="top" indent="1" wrapText="false"/>
    </xf>
    <xf numFmtId="172" fontId="502" fillId="6" borderId="6" xfId="0" applyFill="true" applyFont="true" applyBorder="true" applyNumberFormat="true">
      <alignment horizontal="left" vertical="top" indent="1" wrapText="false"/>
    </xf>
    <xf numFmtId="172" fontId="503" fillId="8" borderId="6" xfId="0" applyFill="true" applyFont="true" applyBorder="true" applyNumberFormat="true">
      <alignment horizontal="left" vertical="top" indent="1" wrapText="false"/>
    </xf>
    <xf numFmtId="171" fontId="504" fillId="6" borderId="6" xfId="0" applyFill="true" applyFont="true" applyBorder="true" applyNumberFormat="true">
      <alignment horizontal="left" vertical="top" indent="1" wrapText="false"/>
    </xf>
    <xf numFmtId="171" fontId="505" fillId="8" borderId="6" xfId="0" applyFill="true" applyFont="true" applyBorder="true" applyNumberFormat="true">
      <alignment horizontal="left" vertical="top" indent="1" wrapText="false"/>
    </xf>
    <xf numFmtId="172" fontId="506" fillId="6" borderId="6" xfId="0" applyFill="true" applyFont="true" applyBorder="true" applyNumberFormat="true">
      <alignment horizontal="left" vertical="top" indent="1" wrapText="false"/>
    </xf>
    <xf numFmtId="172" fontId="507" fillId="8" borderId="6" xfId="0" applyFill="true" applyFont="true" applyBorder="true" applyNumberFormat="true">
      <alignment horizontal="left" vertical="top" indent="1" wrapText="false"/>
    </xf>
    <xf numFmtId="171" fontId="508" fillId="6" borderId="6" xfId="0" applyFill="true" applyFont="true" applyBorder="true" applyNumberFormat="true">
      <alignment horizontal="left" vertical="top" indent="1" wrapText="false"/>
    </xf>
    <xf numFmtId="171" fontId="509" fillId="8" borderId="6" xfId="0" applyFill="true" applyFont="true" applyBorder="true" applyNumberFormat="true">
      <alignment horizontal="left" vertical="top" indent="1" wrapText="false"/>
    </xf>
    <xf numFmtId="172" fontId="510" fillId="6" borderId="6" xfId="0" applyFill="true" applyFont="true" applyBorder="true" applyNumberFormat="true">
      <alignment horizontal="left" vertical="top" indent="1" wrapText="false"/>
    </xf>
    <xf numFmtId="172" fontId="511" fillId="8" borderId="6" xfId="0" applyFill="true" applyFont="true" applyBorder="true" applyNumberFormat="true">
      <alignment horizontal="left" vertical="top" indent="1" wrapText="false"/>
    </xf>
    <xf numFmtId="171" fontId="512" fillId="6" borderId="6" xfId="0" applyFill="true" applyFont="true" applyBorder="true" applyNumberFormat="true">
      <alignment horizontal="left" vertical="top" indent="1" wrapText="false"/>
    </xf>
    <xf numFmtId="171" fontId="513" fillId="8" borderId="6" xfId="0" applyFill="true" applyFont="true" applyBorder="true" applyNumberFormat="true">
      <alignment horizontal="left" vertical="top" indent="1" wrapText="false"/>
    </xf>
    <xf numFmtId="172" fontId="514" fillId="6" borderId="6" xfId="0" applyFill="true" applyFont="true" applyBorder="true" applyNumberFormat="true">
      <alignment horizontal="left" vertical="top" indent="1" wrapText="false"/>
    </xf>
    <xf numFmtId="172" fontId="515" fillId="8" borderId="6" xfId="0" applyFill="true" applyFont="true" applyBorder="true" applyNumberFormat="true">
      <alignment horizontal="left" vertical="top" indent="1" wrapText="false"/>
    </xf>
    <xf numFmtId="171" fontId="516" fillId="6" borderId="6" xfId="0" applyFill="true" applyFont="true" applyBorder="true" applyNumberFormat="true">
      <alignment horizontal="left" vertical="top" indent="1" wrapText="false"/>
    </xf>
    <xf numFmtId="171" fontId="517" fillId="8" borderId="6" xfId="0" applyFill="true" applyFont="true" applyBorder="true" applyNumberFormat="true">
      <alignment horizontal="left" vertical="top" indent="1" wrapText="false"/>
    </xf>
    <xf numFmtId="171" fontId="518" fillId="6" borderId="6" xfId="0" applyFill="true" applyFont="true" applyBorder="true" applyNumberFormat="true">
      <alignment horizontal="left" vertical="top" indent="1" wrapText="false"/>
    </xf>
    <xf numFmtId="171" fontId="519" fillId="8" borderId="6" xfId="0" applyFill="true" applyFont="true" applyBorder="true" applyNumberFormat="true">
      <alignment horizontal="left" vertical="top" indent="1" wrapText="false"/>
    </xf>
    <xf numFmtId="173" fontId="520" fillId="6" borderId="6" xfId="0" applyFill="true" applyFont="true" applyBorder="true" applyNumberFormat="true">
      <alignment horizontal="left" vertical="top" indent="1" wrapText="false"/>
    </xf>
    <xf numFmtId="173" fontId="521" fillId="8" borderId="6" xfId="0" applyFill="true" applyFont="true" applyBorder="true" applyNumberFormat="true">
      <alignment horizontal="left" vertical="top" indent="1" wrapText="false"/>
    </xf>
    <xf numFmtId="170" fontId="522" fillId="6" borderId="6" xfId="0" applyFill="true" applyFont="true" applyBorder="true" applyNumberFormat="true">
      <alignment horizontal="left" vertical="top" indent="1" wrapText="false"/>
    </xf>
    <xf numFmtId="170" fontId="523" fillId="8" borderId="6" xfId="0" applyFill="true" applyFont="true" applyBorder="true" applyNumberFormat="true">
      <alignment horizontal="left" vertical="top" indent="1" wrapText="false"/>
    </xf>
    <xf numFmtId="171" fontId="524" fillId="6" borderId="6" xfId="0" applyFill="true" applyFont="true" applyBorder="true" applyNumberFormat="true">
      <alignment horizontal="left" vertical="top" indent="1" wrapText="false"/>
    </xf>
    <xf numFmtId="171" fontId="525" fillId="8" borderId="6" xfId="0" applyFill="true" applyFont="true" applyBorder="true" applyNumberFormat="true">
      <alignment horizontal="left" vertical="top" indent="1" wrapText="false"/>
    </xf>
    <xf numFmtId="173" fontId="526" fillId="6" borderId="6" xfId="0" applyFill="true" applyFont="true" applyBorder="true" applyNumberFormat="true">
      <alignment horizontal="left" vertical="top" indent="1" wrapText="false"/>
    </xf>
    <xf numFmtId="173" fontId="527" fillId="8" borderId="6" xfId="0" applyFill="true" applyFont="true" applyBorder="true" applyNumberFormat="true">
      <alignment horizontal="left" vertical="top" indent="1" wrapText="false"/>
    </xf>
    <xf numFmtId="170" fontId="528" fillId="6" borderId="6" xfId="0" applyFill="true" applyFont="true" applyBorder="true" applyNumberFormat="true">
      <alignment horizontal="left" vertical="top" indent="1" wrapText="false"/>
    </xf>
    <xf numFmtId="170" fontId="529" fillId="8" borderId="6" xfId="0" applyFill="true" applyFont="true" applyBorder="true" applyNumberFormat="true">
      <alignment horizontal="left" vertical="top" indent="1" wrapText="false"/>
    </xf>
    <xf numFmtId="171" fontId="530" fillId="6" borderId="6" xfId="0" applyFill="true" applyFont="true" applyBorder="true" applyNumberFormat="true">
      <alignment horizontal="left" vertical="top" indent="1" wrapText="false"/>
    </xf>
    <xf numFmtId="171" fontId="531" fillId="8" borderId="6" xfId="0" applyFill="true" applyFont="true" applyBorder="true" applyNumberFormat="true">
      <alignment horizontal="left" vertical="top" indent="1" wrapText="false"/>
    </xf>
    <xf numFmtId="174" fontId="532" fillId="6" borderId="6" xfId="0" applyFill="true" applyFont="true" applyBorder="true" applyNumberFormat="true">
      <alignment horizontal="left" vertical="top" indent="1" wrapText="false"/>
    </xf>
    <xf numFmtId="174" fontId="533" fillId="8" borderId="6" xfId="0" applyFill="true" applyFont="true" applyBorder="true" applyNumberFormat="true">
      <alignment horizontal="left" vertical="top" indent="1" wrapText="false"/>
    </xf>
    <xf numFmtId="170" fontId="534" fillId="6" borderId="6" xfId="0" applyFill="true" applyFont="true" applyBorder="true" applyNumberFormat="true">
      <alignment horizontal="left" vertical="top" indent="1" wrapText="false"/>
    </xf>
    <xf numFmtId="170" fontId="535" fillId="8" borderId="6" xfId="0" applyFill="true" applyFont="true" applyBorder="true" applyNumberFormat="true">
      <alignment horizontal="left" vertical="top" indent="1" wrapText="false"/>
    </xf>
    <xf numFmtId="0" fontId="536" fillId="6" borderId="6" xfId="0" applyFill="true" applyFont="true" applyBorder="true">
      <alignment horizontal="left" vertical="top" indent="1" wrapText="false"/>
    </xf>
    <xf numFmtId="0" fontId="537" fillId="8" borderId="6" xfId="0" applyFill="true" applyFont="true" applyBorder="true">
      <alignment horizontal="left" vertical="top" indent="1" wrapText="false"/>
    </xf>
    <xf numFmtId="169" fontId="538" fillId="6" borderId="6" xfId="0" applyFill="true" applyFont="true" applyBorder="true" applyNumberFormat="true">
      <alignment horizontal="left" vertical="top" indent="1" wrapText="false"/>
    </xf>
    <xf numFmtId="169" fontId="539" fillId="8" borderId="6" xfId="0" applyFill="true" applyFont="true" applyBorder="true" applyNumberFormat="true">
      <alignment horizontal="left" vertical="top" indent="1" wrapText="false"/>
    </xf>
    <xf numFmtId="165" fontId="540" fillId="6" borderId="6" xfId="0" applyFill="true" applyFont="true" applyBorder="true" applyNumberFormat="true">
      <alignment horizontal="left" vertical="top" indent="1" wrapText="false"/>
    </xf>
    <xf numFmtId="165" fontId="541" fillId="8" borderId="6" xfId="0" applyFill="true" applyFont="true" applyBorder="true" applyNumberFormat="true">
      <alignment horizontal="left" vertical="top" indent="1" wrapText="false"/>
    </xf>
    <xf numFmtId="169" fontId="542" fillId="6" borderId="6" xfId="0" applyFill="true" applyFont="true" applyBorder="true" applyNumberFormat="true">
      <alignment horizontal="left" vertical="top" indent="1" wrapText="false"/>
    </xf>
    <xf numFmtId="169" fontId="543" fillId="8" borderId="6" xfId="0" applyFill="true" applyFont="true" applyBorder="true" applyNumberFormat="true">
      <alignment horizontal="left" vertical="top" indent="1" wrapText="false"/>
    </xf>
    <xf numFmtId="0" fontId="544" fillId="6" borderId="6" xfId="0" applyFill="true" applyFont="true" applyBorder="true">
      <alignment horizontal="left" vertical="top" indent="1" wrapText="false"/>
    </xf>
    <xf numFmtId="0" fontId="545" fillId="8" borderId="6" xfId="0" applyFill="true" applyFont="true" applyBorder="true">
      <alignment horizontal="left" vertical="top" indent="1" wrapText="false"/>
    </xf>
    <xf numFmtId="0" fontId="546" fillId="6" borderId="6" xfId="0" applyFill="true" applyFont="true" applyBorder="true">
      <alignment horizontal="left" vertical="top" indent="1" wrapText="false"/>
    </xf>
    <xf numFmtId="0" fontId="547" fillId="8" borderId="6" xfId="0" applyFill="true" applyFont="true" applyBorder="true">
      <alignment horizontal="left" vertical="top" indent="1" wrapText="false"/>
    </xf>
    <xf numFmtId="0" fontId="548" fillId="9" borderId="0" xfId="0" applyFont="true" applyFill="true" applyNumberFormat="true"/>
    <xf numFmtId="0" fontId="549" fillId="9" borderId="0" xfId="0" applyFont="true" applyFill="true" applyNumberFormat="true"/>
    <xf numFmtId="0" fontId="550" fillId="9" borderId="0" xfId="1" applyFont="true" applyFill="true" applyAlignment="1" applyProtection="1" applyNumberFormat="true"/>
    <xf numFmtId="0" fontId="551" fillId="9" borderId="0" xfId="0" applyFont="true" applyFill="true" applyNumberFormat="true"/>
    <xf numFmtId="0" fontId="552" fillId="9" borderId="0" xfId="2" applyFont="true" applyFill="true" applyAlignment="1" applyProtection="1" applyNumberFormat="true"/>
    <xf numFmtId="0" fontId="553" fillId="9" borderId="0" xfId="0" applyFont="true" applyFill="true" applyNumberFormat="true"/>
    <xf numFmtId="0" fontId="554" fillId="9" borderId="0" xfId="0" applyFont="true" applyFill="true" applyNumberFormat="true"/>
    <xf numFmtId="0" fontId="555" fillId="9" borderId="0" xfId="2" applyFont="true" applyFill="true" applyAlignment="1" applyProtection="1" applyNumberFormat="true"/>
    <xf numFmtId="0" fontId="556" fillId="9" borderId="0" xfId="2" applyFont="true" applyFill="true" applyAlignment="1" applyProtection="1" applyNumberFormat="true"/>
    <xf numFmtId="0" fontId="557" fillId="9" borderId="0" xfId="1" applyFont="true" applyFill="true" applyAlignment="1" applyProtection="1" applyNumberFormat="true"/>
    <xf numFmtId="0" fontId="558" fillId="9" borderId="0" xfId="2" applyFont="true" applyFill="true" applyAlignment="1" applyProtection="1" applyNumberFormat="true"/>
    <xf numFmtId="0" fontId="559" fillId="0" borderId="0" xfId="0" applyFont="true">
      <alignment horizontal="general" vertical="bottom"/>
    </xf>
  </cellXfs>
  <cellStyles count="2">
    <cellStyle name="Normal 2" xfId="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1105877</xdr:colOff>
      <xdr:row>0</xdr:row>
      <xdr:rowOff>314325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hyperlink" TargetMode="External" Target="https://my.pitchbook.com/?pcc=205436-26"/>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tabSelected="false" workbookViewId="0">
      <selection activeCell="A1" sqref="A1"/>
    </sheetView>
  </sheetViews>
  <sheetFormatPr defaultRowHeight="15" x14ac:dyDescent="0.25"/>
  <cols>
    <col min="4" max="4" customWidth="true" width="29.33984375" collapsed="true"/>
    <col min="3" max="3" customWidth="true" width="30.3515625" collapsed="true"/>
    <col min="1" max="1" customWidth="true" width="10.83984375" collapsed="true"/>
    <col min="2" max="2" customWidth="true" width="54.48828125" collapsed="true"/>
    <col min="7" max="7" customWidth="true" width="30.640625" collapsed="true"/>
    <col min="5" max="5" width="14.453125" customWidth="true"/>
    <col min="6" max="6" width="39.0234375" customWidth="true"/>
    <col min="8" max="8" width="30.640625" customWidth="true"/>
    <col min="9" max="9" width="29.1953125" customWidth="true"/>
    <col min="10" max="10" width="33.2421875" customWidth="true"/>
    <col min="11" max="11" width="28.47265625" customWidth="true"/>
    <col min="12" max="12" width="28.90625" customWidth="true"/>
    <col min="13" max="13" width="31.07421875" customWidth="true"/>
    <col min="14" max="14" width="22.546875" customWidth="true"/>
    <col min="15" max="15" width="21.390625" customWidth="true"/>
    <col min="16" max="16" width="23.26953125" customWidth="true"/>
    <col min="17" max="17" width="26.015625" customWidth="true"/>
    <col min="18" max="18" width="21.6796875" customWidth="true"/>
    <col min="19" max="19" width="18.06640625" customWidth="true"/>
    <col min="20" max="20" width="17.77734375" customWidth="true"/>
    <col min="21" max="21" width="17.0546875" customWidth="true"/>
    <col min="22" max="22" width="14.453125" customWidth="true"/>
    <col min="23" max="23" width="19.9453125" customWidth="true"/>
    <col min="24" max="24" width="22.2578125" customWidth="true"/>
    <col min="25" max="25" width="26.73828125" customWidth="true"/>
    <col min="26" max="26" width="26.73828125" customWidth="true"/>
    <col min="27" max="27" width="17.34375" customWidth="true"/>
    <col min="28" max="28" width="18.06640625" customWidth="true"/>
    <col min="29" max="29" width="17.77734375" customWidth="true"/>
    <col min="30" max="30" width="22.2578125" customWidth="true"/>
    <col min="31" max="31" width="15.17578125" customWidth="true"/>
    <col min="32" max="32" width="18.7890625" customWidth="true"/>
    <col min="33" max="33" width="15.17578125" customWidth="true"/>
    <col min="34" max="34" width="15.17578125" customWidth="true"/>
    <col min="35" max="35" width="15.17578125" customWidth="true"/>
    <col min="36" max="36" width="26.44921875" customWidth="true"/>
    <col min="37" max="37" width="21.96875" customWidth="true"/>
    <col min="38" max="38" width="26.8828125" customWidth="true"/>
    <col min="39" max="39" width="27.31640625" customWidth="true"/>
    <col min="40" max="40" width="28.0390625" customWidth="true"/>
    <col min="41" max="41" width="23.125" customWidth="true"/>
    <col min="42" max="42" width="23.703125" customWidth="true"/>
    <col min="43" max="43" width="23.703125" customWidth="true"/>
    <col min="44" max="44" width="15.8984375" customWidth="true"/>
    <col min="45" max="45" width="23.84765625" customWidth="true"/>
    <col min="46" max="46" width="19.65625" customWidth="true"/>
    <col min="47" max="47" width="17.921875" customWidth="true"/>
    <col min="48" max="48" width="16.4765625" customWidth="true"/>
    <col min="49" max="49" width="14.453125" customWidth="true"/>
    <col min="50" max="50" width="23.9921875" customWidth="true"/>
    <col min="51" max="51" width="23.125" customWidth="true"/>
    <col min="52" max="52" width="26.8828125" customWidth="true"/>
    <col min="53" max="53" width="37.578125" customWidth="true"/>
    <col min="54" max="54" width="28.90625" customWidth="true"/>
    <col min="55" max="55" width="23.4140625" customWidth="true"/>
    <col min="56" max="56" width="28.90625" customWidth="true"/>
    <col min="57" max="57" width="28.90625" customWidth="true"/>
    <col min="58" max="58" width="28.90625" customWidth="true"/>
    <col min="59" max="59" width="34.109375" customWidth="true"/>
    <col min="60" max="60" width="34.109375" customWidth="true"/>
    <col min="61" max="61" width="34.109375" customWidth="true"/>
    <col min="62" max="62" width="28.90625" customWidth="true"/>
    <col min="63" max="63" width="28.90625" customWidth="true"/>
    <col min="64" max="64" width="25.1484375" customWidth="true"/>
    <col min="65" max="65" width="24.5703125" customWidth="true"/>
    <col min="66" max="66" width="30.640625" customWidth="true"/>
    <col min="67" max="67" width="29.484375" customWidth="true"/>
    <col min="68" max="68" width="35.69921875" customWidth="true"/>
    <col min="69" max="69" width="29.7734375" customWidth="true"/>
    <col min="70" max="70" width="31.36328125" customWidth="true"/>
    <col min="71" max="71" width="31.36328125" customWidth="true"/>
    <col min="72" max="72" width="30.0625" customWidth="true"/>
    <col min="73" max="73" width="30.0625" customWidth="true"/>
    <col min="74" max="74" width="31.65234375" customWidth="true"/>
    <col min="75" max="75" width="31.65234375" customWidth="true"/>
    <col min="76" max="76" width="26.59375" customWidth="true"/>
    <col min="77" max="77" width="26.8828125" customWidth="true"/>
    <col min="78" max="78" width="24.28125" customWidth="true"/>
    <col min="79" max="79" width="30.3515625" customWidth="true"/>
    <col min="80" max="80" width="29.33984375" customWidth="true"/>
    <col min="81" max="81" width="35.41015625" customWidth="true"/>
    <col min="82" max="82" width="29.484375" customWidth="true"/>
    <col min="83" max="83" width="31.07421875" customWidth="true"/>
    <col min="84" max="84" width="31.07421875" customWidth="true"/>
    <col min="85" max="85" width="29.7734375" customWidth="true"/>
    <col min="86" max="86" width="29.7734375" customWidth="true"/>
    <col min="87" max="87" width="31.36328125" customWidth="true"/>
    <col min="88" max="88" width="31.36328125" customWidth="true"/>
    <col min="89" max="89" width="26.44921875" customWidth="true"/>
    <col min="90" max="90" width="25.1484375" customWidth="true"/>
    <col min="91" max="91" width="25.1484375" customWidth="true"/>
    <col min="92" max="92" width="18.64453125" customWidth="true"/>
    <col min="93" max="93" width="28.18359375" customWidth="true"/>
    <col min="94" max="94" width="25.7265625" customWidth="true"/>
    <col min="95" max="95" width="27.89453125" customWidth="true"/>
    <col min="96" max="96" width="22.98046875" customWidth="true"/>
    <col min="97" max="97" width="32.51953125" customWidth="true"/>
    <col min="98" max="98" width="24.28125" customWidth="true"/>
    <col min="99" max="99" width="33.8203125" customWidth="true"/>
    <col min="100" max="100" width="29.33984375" customWidth="true"/>
    <col min="101" max="101" width="38.734375" customWidth="true"/>
    <col min="102" max="102" width="26.59375" customWidth="true"/>
    <col min="103" max="103" width="36.1328125" customWidth="true"/>
    <col min="104" max="104" width="25.58203125" customWidth="true"/>
    <col min="105" max="105" width="35.12109375" customWidth="true"/>
    <col min="106" max="106" width="18.93359375" customWidth="true"/>
    <col min="107" max="107" width="28.328125" customWidth="true"/>
    <col min="108" max="108" width="26.015625" customWidth="true"/>
    <col min="109" max="109" width="28.0390625" customWidth="true"/>
    <col min="110" max="110" width="23.26953125" customWidth="true"/>
    <col min="111" max="111" width="32.80859375" customWidth="true"/>
    <col min="112" max="112" width="24.5703125" customWidth="true"/>
    <col min="113" max="113" width="34.109375" customWidth="true"/>
    <col min="114" max="114" width="29.484375" customWidth="true"/>
    <col min="115" max="115" width="39.0234375" customWidth="true"/>
    <col min="116" max="116" width="26.73828125" customWidth="true"/>
    <col min="117" max="117" width="36.27734375" customWidth="true"/>
    <col min="118" max="118" width="25.7265625" customWidth="true"/>
    <col min="119" max="119" width="35.265625" customWidth="true"/>
    <col min="120" max="120" width="31.65234375" customWidth="true"/>
    <col min="121" max="121" width="38.87890625" customWidth="true"/>
    <col min="122" max="122" width="40.90234375" customWidth="true"/>
    <col min="123" max="123" width="32.0859375" customWidth="true"/>
    <col min="124" max="124" width="39.16796875" customWidth="true"/>
    <col min="125" max="125" width="41.19140625" customWidth="true"/>
    <col min="126" max="126" width="22.98046875" customWidth="true"/>
    <col min="127" max="127" width="30.0625" customWidth="true"/>
    <col min="128" max="128" width="32.0859375" customWidth="true"/>
    <col min="129" max="129" width="28.90625" customWidth="true"/>
    <col min="130" max="130" width="25.1484375" customWidth="true"/>
    <col min="131" max="131" width="24.28125" customWidth="true"/>
    <col min="132" max="132" width="26.8828125" customWidth="true"/>
    <col min="133" max="133" width="29.484375" customWidth="true"/>
    <col min="134" max="134" width="19.80078125" customWidth="true"/>
  </cols>
  <sheetData>
    <row r="1" spans="1:7" ht="26.25" customHeight="1" x14ac:dyDescent="0.3">
      <c r="E1" s="4" t="s">
        <v>4</v>
      </c>
      <c r="F1" s="4"/>
      <c r="G1" s="4"/>
    </row>
    <row r="2" spans="1:7" ht="12" customHeight="1" x14ac:dyDescent="0.25"/>
    <row r="3" spans="1:7" ht="9.75" customHeight="1" x14ac:dyDescent="0.25">
      <c r="A3" s="6" t="s">
        <v>3</v>
      </c>
      <c r="B3" s="9" t="s">
        <v>6</v>
      </c>
      <c r="C3" s="8"/>
    </row>
    <row r="4" spans="1:7" x14ac:dyDescent="0.25">
      <c r="A4" s="5" t="s">
        <v>0</v>
      </c>
      <c r="B4" s="7" t="s">
        <v>5</v>
      </c>
      <c r="C4" s="7"/>
      <c r="D4" s="7"/>
    </row>
    <row r="5" spans="1:7" x14ac:dyDescent="0.25">
      <c r="B5" s="7"/>
      <c r="C5" s="7"/>
      <c r="D5" s="7"/>
      <c r="F5" s="1" t="s">
        <v>1</v>
      </c>
      <c r="G5" s="2" t="s">
        <v>7</v>
      </c>
    </row>
    <row r="6" spans="1:7" x14ac:dyDescent="0.25">
      <c r="B6" s="7"/>
      <c r="C6" s="7"/>
      <c r="D6" s="7"/>
      <c r="F6" s="1" t="s">
        <v>8</v>
      </c>
      <c r="G6" s="3" t="s">
        <v>9</v>
      </c>
    </row>
    <row r="8" spans="1:7" ht="35.0" customHeight="true" x14ac:dyDescent="0.25">
      <c r="A8" t="s" s="10">
        <v>10</v>
      </c>
      <c r="B8" t="s" s="10">
        <v>11</v>
      </c>
      <c r="C8" t="s" s="10">
        <v>12</v>
      </c>
      <c r="D8" t="s" s="10">
        <v>13</v>
      </c>
      <c r="E8" t="s" s="10">
        <v>14</v>
      </c>
      <c r="F8" t="s" s="10">
        <v>15</v>
      </c>
      <c r="G8" t="s" s="10">
        <v>16</v>
      </c>
      <c r="H8" t="s" s="10">
        <v>17</v>
      </c>
      <c r="I8" t="s" s="10">
        <v>18</v>
      </c>
      <c r="J8" t="s" s="10">
        <v>19</v>
      </c>
      <c r="K8" t="s" s="10">
        <v>20</v>
      </c>
      <c r="L8" t="s" s="10">
        <v>21</v>
      </c>
      <c r="M8" t="s" s="10">
        <v>22</v>
      </c>
      <c r="N8" t="s" s="10">
        <v>23</v>
      </c>
      <c r="O8" t="s" s="10">
        <v>24</v>
      </c>
      <c r="P8" t="s" s="10">
        <v>25</v>
      </c>
      <c r="Q8" t="s" s="10">
        <v>26</v>
      </c>
      <c r="R8" t="s" s="10">
        <v>27</v>
      </c>
      <c r="S8" t="s" s="10">
        <v>28</v>
      </c>
      <c r="T8" t="s" s="10">
        <v>29</v>
      </c>
      <c r="U8" t="s" s="10">
        <v>30</v>
      </c>
      <c r="V8" t="s" s="10">
        <v>31</v>
      </c>
      <c r="W8" t="s" s="10">
        <v>32</v>
      </c>
      <c r="X8" t="s" s="10">
        <v>33</v>
      </c>
      <c r="Y8" t="s" s="10">
        <v>34</v>
      </c>
      <c r="Z8" t="s" s="10">
        <v>35</v>
      </c>
      <c r="AA8" t="s" s="10">
        <v>36</v>
      </c>
      <c r="AB8" t="s" s="10">
        <v>37</v>
      </c>
      <c r="AC8" t="s" s="10">
        <v>38</v>
      </c>
      <c r="AD8" t="s" s="10">
        <v>39</v>
      </c>
      <c r="AE8" t="s" s="10">
        <v>40</v>
      </c>
      <c r="AF8" t="s" s="10">
        <v>41</v>
      </c>
      <c r="AG8" t="s" s="10">
        <v>42</v>
      </c>
      <c r="AH8" t="s" s="10">
        <v>43</v>
      </c>
      <c r="AI8" t="s" s="10">
        <v>44</v>
      </c>
      <c r="AJ8" t="s" s="10">
        <v>45</v>
      </c>
      <c r="AK8" t="s" s="10">
        <v>46</v>
      </c>
      <c r="AL8" t="s" s="10">
        <v>47</v>
      </c>
      <c r="AM8" t="s" s="10">
        <v>48</v>
      </c>
      <c r="AN8" t="s" s="10">
        <v>49</v>
      </c>
      <c r="AO8" t="s" s="10">
        <v>50</v>
      </c>
      <c r="AP8" t="s" s="10">
        <v>51</v>
      </c>
      <c r="AQ8" t="s" s="10">
        <v>52</v>
      </c>
      <c r="AR8" t="s" s="10">
        <v>53</v>
      </c>
      <c r="AS8" t="s" s="10">
        <v>54</v>
      </c>
      <c r="AT8" t="s" s="10">
        <v>55</v>
      </c>
      <c r="AU8" t="s" s="10">
        <v>56</v>
      </c>
      <c r="AV8" t="s" s="10">
        <v>57</v>
      </c>
      <c r="AW8" t="s" s="10">
        <v>58</v>
      </c>
      <c r="AX8" t="s" s="10">
        <v>59</v>
      </c>
      <c r="AY8" t="s" s="10">
        <v>60</v>
      </c>
      <c r="AZ8" t="s" s="10">
        <v>61</v>
      </c>
      <c r="BA8" t="s" s="10">
        <v>62</v>
      </c>
      <c r="BB8" t="s" s="10">
        <v>63</v>
      </c>
      <c r="BC8" t="s" s="10">
        <v>64</v>
      </c>
      <c r="BD8" t="s" s="10">
        <v>65</v>
      </c>
      <c r="BE8" t="s" s="10">
        <v>66</v>
      </c>
      <c r="BF8" t="s" s="10">
        <v>67</v>
      </c>
      <c r="BG8" t="s" s="10">
        <v>68</v>
      </c>
      <c r="BH8" t="s" s="10">
        <v>69</v>
      </c>
      <c r="BI8" t="s" s="10">
        <v>70</v>
      </c>
      <c r="BJ8" t="s" s="10">
        <v>71</v>
      </c>
      <c r="BK8" t="s" s="10">
        <v>72</v>
      </c>
      <c r="BL8" t="s" s="10">
        <v>73</v>
      </c>
      <c r="BM8" t="s" s="10">
        <v>74</v>
      </c>
      <c r="BN8" t="s" s="10">
        <v>75</v>
      </c>
      <c r="BO8" t="s" s="10">
        <v>76</v>
      </c>
      <c r="BP8" t="s" s="10">
        <v>77</v>
      </c>
      <c r="BQ8" t="s" s="10">
        <v>78</v>
      </c>
      <c r="BR8" t="s" s="10">
        <v>79</v>
      </c>
      <c r="BS8" t="s" s="10">
        <v>80</v>
      </c>
      <c r="BT8" t="s" s="10">
        <v>81</v>
      </c>
      <c r="BU8" t="s" s="10">
        <v>82</v>
      </c>
      <c r="BV8" t="s" s="10">
        <v>83</v>
      </c>
      <c r="BW8" t="s" s="10">
        <v>84</v>
      </c>
      <c r="BX8" t="s" s="10">
        <v>85</v>
      </c>
      <c r="BY8" t="s" s="10">
        <v>86</v>
      </c>
      <c r="BZ8" t="s" s="10">
        <v>87</v>
      </c>
      <c r="CA8" t="s" s="10">
        <v>88</v>
      </c>
      <c r="CB8" t="s" s="10">
        <v>89</v>
      </c>
      <c r="CC8" t="s" s="10">
        <v>90</v>
      </c>
      <c r="CD8" t="s" s="10">
        <v>91</v>
      </c>
      <c r="CE8" t="s" s="10">
        <v>92</v>
      </c>
      <c r="CF8" t="s" s="10">
        <v>93</v>
      </c>
      <c r="CG8" t="s" s="10">
        <v>94</v>
      </c>
      <c r="CH8" t="s" s="10">
        <v>95</v>
      </c>
      <c r="CI8" t="s" s="10">
        <v>96</v>
      </c>
      <c r="CJ8" t="s" s="10">
        <v>97</v>
      </c>
      <c r="CK8" t="s" s="10">
        <v>98</v>
      </c>
      <c r="CL8" t="s" s="10">
        <v>99</v>
      </c>
      <c r="CM8" t="s" s="10">
        <v>100</v>
      </c>
      <c r="CN8" t="s" s="10">
        <v>101</v>
      </c>
      <c r="CO8" t="s" s="10">
        <v>102</v>
      </c>
      <c r="CP8" t="s" s="10">
        <v>103</v>
      </c>
      <c r="CQ8" t="s" s="10">
        <v>104</v>
      </c>
      <c r="CR8" t="s" s="10">
        <v>105</v>
      </c>
      <c r="CS8" t="s" s="10">
        <v>106</v>
      </c>
      <c r="CT8" t="s" s="10">
        <v>107</v>
      </c>
      <c r="CU8" t="s" s="10">
        <v>108</v>
      </c>
      <c r="CV8" t="s" s="10">
        <v>109</v>
      </c>
      <c r="CW8" t="s" s="10">
        <v>110</v>
      </c>
      <c r="CX8" t="s" s="10">
        <v>111</v>
      </c>
      <c r="CY8" t="s" s="10">
        <v>112</v>
      </c>
      <c r="CZ8" t="s" s="10">
        <v>113</v>
      </c>
      <c r="DA8" t="s" s="10">
        <v>114</v>
      </c>
      <c r="DB8" t="s" s="10">
        <v>115</v>
      </c>
      <c r="DC8" t="s" s="10">
        <v>116</v>
      </c>
      <c r="DD8" t="s" s="10">
        <v>117</v>
      </c>
      <c r="DE8" t="s" s="10">
        <v>118</v>
      </c>
      <c r="DF8" t="s" s="10">
        <v>119</v>
      </c>
      <c r="DG8" t="s" s="10">
        <v>120</v>
      </c>
      <c r="DH8" t="s" s="10">
        <v>121</v>
      </c>
      <c r="DI8" t="s" s="10">
        <v>122</v>
      </c>
      <c r="DJ8" t="s" s="10">
        <v>123</v>
      </c>
      <c r="DK8" t="s" s="10">
        <v>124</v>
      </c>
      <c r="DL8" t="s" s="10">
        <v>125</v>
      </c>
      <c r="DM8" t="s" s="10">
        <v>126</v>
      </c>
      <c r="DN8" t="s" s="10">
        <v>127</v>
      </c>
      <c r="DO8" t="s" s="10">
        <v>128</v>
      </c>
      <c r="DP8" t="s" s="10">
        <v>129</v>
      </c>
      <c r="DQ8" t="s" s="10">
        <v>130</v>
      </c>
      <c r="DR8" t="s" s="10">
        <v>131</v>
      </c>
      <c r="DS8" t="s" s="10">
        <v>132</v>
      </c>
      <c r="DT8" t="s" s="10">
        <v>133</v>
      </c>
      <c r="DU8" t="s" s="10">
        <v>134</v>
      </c>
      <c r="DV8" t="s" s="10">
        <v>135</v>
      </c>
      <c r="DW8" t="s" s="10">
        <v>136</v>
      </c>
      <c r="DX8" t="s" s="10">
        <v>137</v>
      </c>
      <c r="DY8" t="s" s="10">
        <v>138</v>
      </c>
      <c r="DZ8" t="s" s="10">
        <v>139</v>
      </c>
      <c r="EA8" t="s" s="10">
        <v>140</v>
      </c>
      <c r="EB8" t="s" s="10">
        <v>141</v>
      </c>
      <c r="EC8" t="s" s="10">
        <v>142</v>
      </c>
      <c r="ED8" t="s" s="11">
        <v>143</v>
      </c>
    </row>
    <row r="9">
      <c r="A9" s="13" t="inlineStr">
        <is>
          <t>62052-94</t>
        </is>
      </c>
      <c r="B9" s="14" t="inlineStr">
        <is>
          <t>Christian Dior (PAR: CDI)</t>
        </is>
      </c>
      <c r="C9" s="15" t="inlineStr">
        <is>
          <t/>
        </is>
      </c>
      <c r="D9" s="16" t="inlineStr">
        <is>
          <t>Dior</t>
        </is>
      </c>
      <c r="E9" s="17" t="inlineStr">
        <is>
          <t>62052-94</t>
        </is>
      </c>
      <c r="F9" s="18" t="inlineStr">
        <is>
          <t>Christian Dior is a holding company with full ownership of Christian Dior Couture and a controlling interest in LVMH. Christian Dior Couture sells apparel, leather goods, jewelry, and accessories under various Dior brands. Most sales are through its own retail stores. Through LVMH, the company operates the following business groups: wines and spirits, fashion and leather goods, watches and jewelry, perfumes and cosmetics, and selective retailing. LVMH has dozens of well-known brands throughout its businesses, including Dom Perignon, Hennessy, Louis Vuitton, Fendi, TAG Heuer, and Sephora. The company's revenue is distributed throughout Europe, Asia, and the United States.</t>
        </is>
      </c>
      <c r="G9" s="19" t="inlineStr">
        <is>
          <t>Consumer Products and Services (B2C)</t>
        </is>
      </c>
      <c r="H9" s="20" t="inlineStr">
        <is>
          <t>Apparel and Accessories</t>
        </is>
      </c>
      <c r="I9" s="21" t="inlineStr">
        <is>
          <t>Clothing</t>
        </is>
      </c>
      <c r="J9" s="22" t="inlineStr">
        <is>
          <t>Accessories, Clothing*, Footwear</t>
        </is>
      </c>
      <c r="K9" s="23" t="inlineStr">
        <is>
          <t/>
        </is>
      </c>
      <c r="L9" s="24" t="inlineStr">
        <is>
          <t>accessories, accessories designer, apparel and accessories, apparel designer, fashion accessories, fashion apparel, haute couture, jewelry design, leather goods, perfumes</t>
        </is>
      </c>
      <c r="M9" s="25" t="inlineStr">
        <is>
          <t>Private Equity-Backed</t>
        </is>
      </c>
      <c r="N9" s="26" t="inlineStr">
        <is>
          <t/>
        </is>
      </c>
      <c r="O9" s="27" t="inlineStr">
        <is>
          <t>Profitable</t>
        </is>
      </c>
      <c r="P9" s="28" t="inlineStr">
        <is>
          <t>Publicly Held</t>
        </is>
      </c>
      <c r="Q9" s="29" t="inlineStr">
        <is>
          <t>Private Equity, Publicly Listed</t>
        </is>
      </c>
      <c r="R9" s="30" t="inlineStr">
        <is>
          <t>www.dior.com</t>
        </is>
      </c>
      <c r="S9" s="31" t="n">
        <v>145247.0</v>
      </c>
      <c r="T9" s="32" t="inlineStr">
        <is>
          <t>2008: 72619, 2009: 80510, 2010: 86818, 2011: 101154, 2012: 100755, 2013: 108837, 2014: 117806, 2015: 122736, 2016: 139838, 2017: 145247</t>
        </is>
      </c>
      <c r="U9" s="33" t="inlineStr">
        <is>
          <t>PAR</t>
        </is>
      </c>
      <c r="V9" s="34" t="inlineStr">
        <is>
          <t>CDI</t>
        </is>
      </c>
      <c r="W9" s="35" t="n">
        <v>1946.0</v>
      </c>
      <c r="X9" s="36" t="inlineStr">
        <is>
          <t/>
        </is>
      </c>
      <c r="Y9" s="37" t="inlineStr">
        <is>
          <t/>
        </is>
      </c>
      <c r="Z9" s="38" t="inlineStr">
        <is>
          <t>News (New) </t>
        </is>
      </c>
      <c r="AA9" s="39" t="n">
        <v>53282.44</v>
      </c>
      <c r="AB9" s="40" t="n">
        <v>35345.9</v>
      </c>
      <c r="AC9" s="41" t="n">
        <v>3036.74</v>
      </c>
      <c r="AD9" s="42" t="n">
        <v>100965.37</v>
      </c>
      <c r="AE9" s="43" t="n">
        <v>13671.28</v>
      </c>
      <c r="AF9" s="44" t="inlineStr">
        <is>
          <t>TTM 2Q2018</t>
        </is>
      </c>
      <c r="AG9" s="45" t="n">
        <v>10777.67</v>
      </c>
      <c r="AH9" s="46" t="n">
        <v>83552.08</v>
      </c>
      <c r="AI9" s="47" t="n">
        <v>2660.45</v>
      </c>
      <c r="AJ9" s="48" t="inlineStr">
        <is>
          <t>51232-06P</t>
        </is>
      </c>
      <c r="AK9" s="49" t="inlineStr">
        <is>
          <t>Florian Ollivier</t>
        </is>
      </c>
      <c r="AL9" s="50" t="inlineStr">
        <is>
          <t>Chief Financial Officer</t>
        </is>
      </c>
      <c r="AM9" s="51" t="inlineStr">
        <is>
          <t>florian@dior.com</t>
        </is>
      </c>
      <c r="AN9" s="52" t="inlineStr">
        <is>
          <t>+33 (0)1 40 73 73 73</t>
        </is>
      </c>
      <c r="AO9" s="53" t="inlineStr">
        <is>
          <t>Paris, France</t>
        </is>
      </c>
      <c r="AP9" s="54" t="inlineStr">
        <is>
          <t>30, avenue Montaigne</t>
        </is>
      </c>
      <c r="AQ9" s="55" t="inlineStr">
        <is>
          <t/>
        </is>
      </c>
      <c r="AR9" s="56" t="inlineStr">
        <is>
          <t>Paris</t>
        </is>
      </c>
      <c r="AS9" s="57" t="inlineStr">
        <is>
          <t/>
        </is>
      </c>
      <c r="AT9" s="58" t="inlineStr">
        <is>
          <t>75008</t>
        </is>
      </c>
      <c r="AU9" s="59" t="inlineStr">
        <is>
          <t>France</t>
        </is>
      </c>
      <c r="AV9" s="60" t="inlineStr">
        <is>
          <t>+33 (0)1 40 73 73 73</t>
        </is>
      </c>
      <c r="AW9" s="61" t="inlineStr">
        <is>
          <t>+33 (0)1 44 13 27 86</t>
        </is>
      </c>
      <c r="AX9" s="62" t="inlineStr">
        <is>
          <t>info@dior.com</t>
        </is>
      </c>
      <c r="AY9" s="63" t="inlineStr">
        <is>
          <t>Europe</t>
        </is>
      </c>
      <c r="AZ9" s="64" t="inlineStr">
        <is>
          <t>Western Europe</t>
        </is>
      </c>
      <c r="BA9" s="65" t="inlineStr">
        <is>
          <t>Existing shareholders sold their shares of the company's (PAR: CDI) common stock, raising EUR 12.1 billion in July 2017.</t>
        </is>
      </c>
      <c r="BB9" s="66" t="inlineStr">
        <is>
          <t>Groupe Arnault</t>
        </is>
      </c>
      <c r="BC9" s="67" t="n">
        <v>1.0</v>
      </c>
      <c r="BD9" s="68" t="inlineStr">
        <is>
          <t/>
        </is>
      </c>
      <c r="BE9" s="69" t="inlineStr">
        <is>
          <t/>
        </is>
      </c>
      <c r="BF9" s="70" t="inlineStr">
        <is>
          <t/>
        </is>
      </c>
      <c r="BG9" s="71" t="inlineStr">
        <is>
          <t/>
        </is>
      </c>
      <c r="BH9" s="72" t="inlineStr">
        <is>
          <t/>
        </is>
      </c>
      <c r="BI9" s="73" t="inlineStr">
        <is>
          <t/>
        </is>
      </c>
      <c r="BJ9" s="74" t="inlineStr">
        <is>
          <t>Accuracy(Advisor: Commercial Due Diligence), Barack Ferrazzano Kirschbaum &amp; Nagelberg(Legal Advisor), Bukhash Brothers(Consulting), Marvin Traub Associates(Consulting), Montfort Communications(Advisor: General), Sprim(Consulting), Washington Search Partners(Consulting)</t>
        </is>
      </c>
      <c r="BK9" s="75" t="inlineStr">
        <is>
          <t/>
        </is>
      </c>
      <c r="BL9" s="76" t="n">
        <v>30682.0</v>
      </c>
      <c r="BM9" s="77" t="inlineStr">
        <is>
          <t/>
        </is>
      </c>
      <c r="BN9" s="78" t="inlineStr">
        <is>
          <t/>
        </is>
      </c>
      <c r="BO9" s="79" t="inlineStr">
        <is>
          <t/>
        </is>
      </c>
      <c r="BP9" s="80" t="inlineStr">
        <is>
          <t/>
        </is>
      </c>
      <c r="BQ9" s="81" t="inlineStr">
        <is>
          <t>Buyout/LBO</t>
        </is>
      </c>
      <c r="BR9" s="82" t="inlineStr">
        <is>
          <t/>
        </is>
      </c>
      <c r="BS9" s="83" t="inlineStr">
        <is>
          <t/>
        </is>
      </c>
      <c r="BT9" s="84" t="inlineStr">
        <is>
          <t>Private Equity</t>
        </is>
      </c>
      <c r="BU9" s="85" t="inlineStr">
        <is>
          <t/>
        </is>
      </c>
      <c r="BV9" s="86" t="inlineStr">
        <is>
          <t/>
        </is>
      </c>
      <c r="BW9" s="87" t="inlineStr">
        <is>
          <t/>
        </is>
      </c>
      <c r="BX9" s="88" t="inlineStr">
        <is>
          <t>Completed</t>
        </is>
      </c>
      <c r="BY9" s="89" t="n">
        <v>42917.0</v>
      </c>
      <c r="BZ9" s="90" t="n">
        <v>13931.91</v>
      </c>
      <c r="CA9" s="91" t="inlineStr">
        <is>
          <t>Actual</t>
        </is>
      </c>
      <c r="CB9" s="92" t="n">
        <v>66659.84</v>
      </c>
      <c r="CC9" s="93" t="inlineStr">
        <is>
          <t>Estimated</t>
        </is>
      </c>
      <c r="CD9" s="94" t="inlineStr">
        <is>
          <t>Secondary Transaction - Open Market</t>
        </is>
      </c>
      <c r="CE9" s="95" t="inlineStr">
        <is>
          <t/>
        </is>
      </c>
      <c r="CF9" s="96" t="inlineStr">
        <is>
          <t/>
        </is>
      </c>
      <c r="CG9" s="97" t="inlineStr">
        <is>
          <t>Private Equity</t>
        </is>
      </c>
      <c r="CH9" s="98" t="inlineStr">
        <is>
          <t/>
        </is>
      </c>
      <c r="CI9" s="99" t="inlineStr">
        <is>
          <t/>
        </is>
      </c>
      <c r="CJ9" s="100" t="inlineStr">
        <is>
          <t/>
        </is>
      </c>
      <c r="CK9" s="101" t="inlineStr">
        <is>
          <t>Completed</t>
        </is>
      </c>
      <c r="CL9" s="102" t="inlineStr">
        <is>
          <t/>
        </is>
      </c>
      <c r="CM9" s="103" t="inlineStr">
        <is>
          <t/>
        </is>
      </c>
      <c r="CN9" s="104" t="n">
        <v>0.66</v>
      </c>
      <c r="CO9" s="105" t="n">
        <v>96.0</v>
      </c>
      <c r="CP9" s="106" t="n">
        <v>0.01</v>
      </c>
      <c r="CQ9" s="107" t="n">
        <v>1.13</v>
      </c>
      <c r="CR9" s="108" t="n">
        <v>1.34</v>
      </c>
      <c r="CS9" s="109" t="n">
        <v>98.0</v>
      </c>
      <c r="CT9" s="110" t="n">
        <v>-0.01</v>
      </c>
      <c r="CU9" s="111" t="n">
        <v>25.0</v>
      </c>
      <c r="CV9" s="112" t="n">
        <v>2.44</v>
      </c>
      <c r="CW9" s="113" t="n">
        <v>92.0</v>
      </c>
      <c r="CX9" s="114" t="n">
        <v>0.25</v>
      </c>
      <c r="CY9" s="115" t="n">
        <v>90.0</v>
      </c>
      <c r="CZ9" s="116" t="n">
        <v>-0.01</v>
      </c>
      <c r="DA9" s="117" t="n">
        <v>27.0</v>
      </c>
      <c r="DB9" s="118" t="n">
        <v>11484.18</v>
      </c>
      <c r="DC9" s="119" t="n">
        <v>100.0</v>
      </c>
      <c r="DD9" s="120" t="n">
        <v>116.15</v>
      </c>
      <c r="DE9" s="121" t="n">
        <v>1.02</v>
      </c>
      <c r="DF9" s="122" t="n">
        <v>592.89</v>
      </c>
      <c r="DG9" s="123" t="n">
        <v>100.0</v>
      </c>
      <c r="DH9" s="124" t="n">
        <v>22375.47</v>
      </c>
      <c r="DI9" s="125" t="n">
        <v>100.0</v>
      </c>
      <c r="DJ9" s="126" t="n">
        <v>224.7</v>
      </c>
      <c r="DK9" s="127" t="n">
        <v>99.0</v>
      </c>
      <c r="DL9" s="128" t="n">
        <v>961.09</v>
      </c>
      <c r="DM9" s="129" t="n">
        <v>100.0</v>
      </c>
      <c r="DN9" s="130" t="n">
        <v>22375.47</v>
      </c>
      <c r="DO9" s="131" t="n">
        <v>100.0</v>
      </c>
      <c r="DP9" s="132" t="n">
        <v>160078.0</v>
      </c>
      <c r="DQ9" s="133" t="n">
        <v>1172.0</v>
      </c>
      <c r="DR9" s="134" t="n">
        <v>0.74</v>
      </c>
      <c r="DS9" s="135" t="n">
        <v>32588.0</v>
      </c>
      <c r="DT9" s="136" t="n">
        <v>199.0</v>
      </c>
      <c r="DU9" s="137" t="n">
        <v>0.61</v>
      </c>
      <c r="DV9" s="138" t="n">
        <v>8035181.0</v>
      </c>
      <c r="DW9" s="139" t="n">
        <v>-3523.0</v>
      </c>
      <c r="DX9" s="140" t="n">
        <v>-0.04</v>
      </c>
      <c r="DY9" s="141" t="inlineStr">
        <is>
          <t>PitchBook Research</t>
        </is>
      </c>
      <c r="DZ9" s="142" t="n">
        <v>43532.0</v>
      </c>
      <c r="EA9" s="143" t="n">
        <v>66659.84</v>
      </c>
      <c r="EB9" s="144" t="n">
        <v>42917.0</v>
      </c>
      <c r="EC9" s="145" t="inlineStr">
        <is>
          <t>Secondary Transaction - Open Market</t>
        </is>
      </c>
      <c r="ED9" s="547">
        <f>HYPERLINK("https://my.pitchbook.com?c=62052-94", "View company online")</f>
      </c>
    </row>
    <row r="10">
      <c r="A10" s="147" t="inlineStr">
        <is>
          <t>41279-05</t>
        </is>
      </c>
      <c r="B10" s="148" t="inlineStr">
        <is>
          <t>TJX (NYS: TJX)</t>
        </is>
      </c>
      <c r="C10" s="149" t="inlineStr">
        <is>
          <t/>
        </is>
      </c>
      <c r="D10" s="150" t="inlineStr">
        <is>
          <t/>
        </is>
      </c>
      <c r="E10" s="151" t="inlineStr">
        <is>
          <t>41279-05</t>
        </is>
      </c>
      <c r="F10" s="152" t="inlineStr">
        <is>
          <t>TJX is a leading off-price retailer of apparel, home fashions, and other merchandise. It sells a variety of branded goods, opportunistically buying inventory from a network of over 20,000 vendors worldwide. TJX targets undercutting conventional retailers' regular prices by 20%-60%, capitalizing on a flexible merchandising network, relatively low-frills stores, and a treasure-hunt shopping experience to drive margins and inventory turnover. TJX derived 70% of fiscal 2018 revenue from the United States, with 23% from Europe (mostly the United Kingdom and Germany), 6% from Canada, and the remainder from Australia. The company operates over 4,000 stores under the T.J. Maxx, T.K. Maxx, Marshalls, HomeGoods, Winners, Homesense, and Sierra Trading Post banners.</t>
        </is>
      </c>
      <c r="G10" s="153" t="inlineStr">
        <is>
          <t>Consumer Products and Services (B2C)</t>
        </is>
      </c>
      <c r="H10" s="154" t="inlineStr">
        <is>
          <t>Retail</t>
        </is>
      </c>
      <c r="I10" s="155" t="inlineStr">
        <is>
          <t>Specialty Retail</t>
        </is>
      </c>
      <c r="J10" s="156" t="inlineStr">
        <is>
          <t>Clothing, Other Apparel, Specialty Retail*</t>
        </is>
      </c>
      <c r="K10" s="157" t="inlineStr">
        <is>
          <t/>
        </is>
      </c>
      <c r="L10" s="158" t="inlineStr">
        <is>
          <t>accent furniture, discount fashion, discount home fashions, family apparel, fashion retailer, home decor</t>
        </is>
      </c>
      <c r="M10" s="159" t="inlineStr">
        <is>
          <t>Corporate Backed or Acquired</t>
        </is>
      </c>
      <c r="N10" s="160" t="inlineStr">
        <is>
          <t/>
        </is>
      </c>
      <c r="O10" s="161" t="inlineStr">
        <is>
          <t>Profitable</t>
        </is>
      </c>
      <c r="P10" s="162" t="inlineStr">
        <is>
          <t>Publicly Held</t>
        </is>
      </c>
      <c r="Q10" s="163" t="inlineStr">
        <is>
          <t>Debt Financed, M&amp;A, Publicly Listed, Venture Capital</t>
        </is>
      </c>
      <c r="R10" s="164" t="inlineStr">
        <is>
          <t>www.tjx.com</t>
        </is>
      </c>
      <c r="S10" s="165" t="n">
        <v>249000.0</v>
      </c>
      <c r="T10" s="166" t="inlineStr">
        <is>
          <t>1990: 26000, 1991: 28000, 1992: 28000, 1993: 33000, 1994: 36000, 1995: 38000, 1996: 58000, 1997: 56000, 1998: 59000, 1999: 62000, 2000: 67000, 2001: 77000, 2002: 89000, 2003: 94000, 2004: 105000, 2005: 113000, 2006: 119000, 2007: 125000, 2008: 129000, 2009: 133000, 2010: 154000, 2011: 166000, 2012: 168000, 2013: 179000, 2014: 191000, 2015: 198000, 2016: 216000, 2017: 235000, 2018: 249000</t>
        </is>
      </c>
      <c r="U10" s="167" t="inlineStr">
        <is>
          <t>NYS</t>
        </is>
      </c>
      <c r="V10" s="168" t="inlineStr">
        <is>
          <t>TJX</t>
        </is>
      </c>
      <c r="W10" s="169" t="n">
        <v>1957.0</v>
      </c>
      <c r="X10" s="170" t="inlineStr">
        <is>
          <t/>
        </is>
      </c>
      <c r="Y10" s="171" t="inlineStr">
        <is>
          <t>News (New) </t>
        </is>
      </c>
      <c r="Z10" s="172" t="inlineStr">
        <is>
          <t>News (New) </t>
        </is>
      </c>
      <c r="AA10" s="173" t="n">
        <v>38972.93</v>
      </c>
      <c r="AB10" s="174" t="n">
        <v>11141.76</v>
      </c>
      <c r="AC10" s="175" t="n">
        <v>3059.8</v>
      </c>
      <c r="AD10" s="176" t="n">
        <v>60845.41</v>
      </c>
      <c r="AE10" s="177" t="n">
        <v>4999.97</v>
      </c>
      <c r="AF10" s="178" t="inlineStr">
        <is>
          <t>FY 2019</t>
        </is>
      </c>
      <c r="AG10" s="179" t="n">
        <v>4182.07</v>
      </c>
      <c r="AH10" s="180" t="n">
        <v>64542.82</v>
      </c>
      <c r="AI10" s="181" t="n">
        <v>-796.6</v>
      </c>
      <c r="AJ10" s="182" t="inlineStr">
        <is>
          <t>16833-25P</t>
        </is>
      </c>
      <c r="AK10" s="183" t="inlineStr">
        <is>
          <t>Matthew Brochu</t>
        </is>
      </c>
      <c r="AL10" s="184" t="inlineStr">
        <is>
          <t>Senior Analyst</t>
        </is>
      </c>
      <c r="AM10" s="185" t="inlineStr">
        <is>
          <t>matthew_brochu@tjx.com</t>
        </is>
      </c>
      <c r="AN10" s="186" t="inlineStr">
        <is>
          <t>+1 (508) 390-2323</t>
        </is>
      </c>
      <c r="AO10" s="187" t="inlineStr">
        <is>
          <t>Framingham, MA</t>
        </is>
      </c>
      <c r="AP10" s="188" t="inlineStr">
        <is>
          <t>770 Cochituate Road</t>
        </is>
      </c>
      <c r="AQ10" s="189" t="inlineStr">
        <is>
          <t/>
        </is>
      </c>
      <c r="AR10" s="190" t="inlineStr">
        <is>
          <t>Framingham</t>
        </is>
      </c>
      <c r="AS10" s="191" t="inlineStr">
        <is>
          <t>Massachusetts</t>
        </is>
      </c>
      <c r="AT10" s="192" t="inlineStr">
        <is>
          <t>01701</t>
        </is>
      </c>
      <c r="AU10" s="193" t="inlineStr">
        <is>
          <t>United States</t>
        </is>
      </c>
      <c r="AV10" s="194" t="inlineStr">
        <is>
          <t>+1 (508) 390-2323</t>
        </is>
      </c>
      <c r="AW10" s="195" t="inlineStr">
        <is>
          <t/>
        </is>
      </c>
      <c r="AX10" s="196" t="inlineStr">
        <is>
          <t/>
        </is>
      </c>
      <c r="AY10" s="197" t="inlineStr">
        <is>
          <t>Americas</t>
        </is>
      </c>
      <c r="AZ10" s="198" t="inlineStr">
        <is>
          <t>North America</t>
        </is>
      </c>
      <c r="BA10" s="199" t="inlineStr">
        <is>
          <t>The company repurchased 11,300,000 shares worth $1000 million on August 22, 2018.</t>
        </is>
      </c>
      <c r="BB10" s="200" t="inlineStr">
        <is>
          <t/>
        </is>
      </c>
      <c r="BC10" s="201" t="inlineStr">
        <is>
          <t/>
        </is>
      </c>
      <c r="BD10" s="202" t="inlineStr">
        <is>
          <t/>
        </is>
      </c>
      <c r="BE10" s="203" t="inlineStr">
        <is>
          <t/>
        </is>
      </c>
      <c r="BF10" s="204" t="inlineStr">
        <is>
          <t/>
        </is>
      </c>
      <c r="BG10" s="205" t="inlineStr">
        <is>
          <t/>
        </is>
      </c>
      <c r="BH10" s="206" t="inlineStr">
        <is>
          <t/>
        </is>
      </c>
      <c r="BI10" s="207" t="inlineStr">
        <is>
          <t/>
        </is>
      </c>
      <c r="BJ10" s="208" t="inlineStr">
        <is>
          <t>BarkerGilmore(Consulting), Bronzegate(Advisor: General), Carpedia International(Consulting), La Fosse Associates(Consulting), Morrow Sodali(Consulting), Odeon Capital Group(Advisor: General), RCS Real Estate Advisors(Advisor: General), Telsey Advisory Group(Advisor: General)</t>
        </is>
      </c>
      <c r="BK10" s="209" t="inlineStr">
        <is>
          <t/>
        </is>
      </c>
      <c r="BL10" s="210" t="n">
        <v>22647.0</v>
      </c>
      <c r="BM10" s="211" t="inlineStr">
        <is>
          <t/>
        </is>
      </c>
      <c r="BN10" s="212" t="inlineStr">
        <is>
          <t/>
        </is>
      </c>
      <c r="BO10" s="213" t="inlineStr">
        <is>
          <t/>
        </is>
      </c>
      <c r="BP10" s="214" t="inlineStr">
        <is>
          <t/>
        </is>
      </c>
      <c r="BQ10" s="215" t="inlineStr">
        <is>
          <t>IPO</t>
        </is>
      </c>
      <c r="BR10" s="216" t="inlineStr">
        <is>
          <t/>
        </is>
      </c>
      <c r="BS10" s="217" t="inlineStr">
        <is>
          <t/>
        </is>
      </c>
      <c r="BT10" s="218" t="inlineStr">
        <is>
          <t>Public Investment</t>
        </is>
      </c>
      <c r="BU10" s="219" t="inlineStr">
        <is>
          <t/>
        </is>
      </c>
      <c r="BV10" s="220" t="inlineStr">
        <is>
          <t/>
        </is>
      </c>
      <c r="BW10" s="221" t="inlineStr">
        <is>
          <t/>
        </is>
      </c>
      <c r="BX10" s="222" t="inlineStr">
        <is>
          <t>Completed</t>
        </is>
      </c>
      <c r="BY10" s="223" t="n">
        <v>43334.0</v>
      </c>
      <c r="BZ10" s="224" t="n">
        <v>1000.0</v>
      </c>
      <c r="CA10" s="225" t="inlineStr">
        <is>
          <t>Actual</t>
        </is>
      </c>
      <c r="CB10" s="226" t="inlineStr">
        <is>
          <t/>
        </is>
      </c>
      <c r="CC10" s="227" t="inlineStr">
        <is>
          <t/>
        </is>
      </c>
      <c r="CD10" s="228" t="inlineStr">
        <is>
          <t>Share Repurchase</t>
        </is>
      </c>
      <c r="CE10" s="229" t="inlineStr">
        <is>
          <t/>
        </is>
      </c>
      <c r="CF10" s="230" t="inlineStr">
        <is>
          <t/>
        </is>
      </c>
      <c r="CG10" s="231" t="inlineStr">
        <is>
          <t>Other</t>
        </is>
      </c>
      <c r="CH10" s="232" t="inlineStr">
        <is>
          <t/>
        </is>
      </c>
      <c r="CI10" s="233" t="inlineStr">
        <is>
          <t/>
        </is>
      </c>
      <c r="CJ10" s="234" t="inlineStr">
        <is>
          <t/>
        </is>
      </c>
      <c r="CK10" s="235" t="inlineStr">
        <is>
          <t>Completed</t>
        </is>
      </c>
      <c r="CL10" s="236" t="inlineStr">
        <is>
          <t/>
        </is>
      </c>
      <c r="CM10" s="237" t="inlineStr">
        <is>
          <t/>
        </is>
      </c>
      <c r="CN10" s="238" t="n">
        <v>0.19</v>
      </c>
      <c r="CO10" s="239" t="n">
        <v>88.0</v>
      </c>
      <c r="CP10" s="240" t="n">
        <v>0.01</v>
      </c>
      <c r="CQ10" s="241" t="n">
        <v>5.15</v>
      </c>
      <c r="CR10" s="242" t="n">
        <v>-1.05</v>
      </c>
      <c r="CS10" s="243" t="n">
        <v>6.0</v>
      </c>
      <c r="CT10" s="244" t="n">
        <v>0.06</v>
      </c>
      <c r="CU10" s="245" t="n">
        <v>66.0</v>
      </c>
      <c r="CV10" s="246" t="n">
        <v>-1.61</v>
      </c>
      <c r="CW10" s="247" t="n">
        <v>23.0</v>
      </c>
      <c r="CX10" s="248" t="n">
        <v>-0.5</v>
      </c>
      <c r="CY10" s="249" t="n">
        <v>6.0</v>
      </c>
      <c r="CZ10" s="250" t="inlineStr">
        <is>
          <t/>
        </is>
      </c>
      <c r="DA10" s="251" t="inlineStr">
        <is>
          <t/>
        </is>
      </c>
      <c r="DB10" s="252" t="n">
        <v>38.16</v>
      </c>
      <c r="DC10" s="253" t="n">
        <v>97.0</v>
      </c>
      <c r="DD10" s="254" t="n">
        <v>3.41</v>
      </c>
      <c r="DE10" s="255" t="n">
        <v>9.81</v>
      </c>
      <c r="DF10" s="256" t="n">
        <v>92.3</v>
      </c>
      <c r="DG10" s="257" t="n">
        <v>99.0</v>
      </c>
      <c r="DH10" s="258" t="n">
        <v>13.67</v>
      </c>
      <c r="DI10" s="259" t="n">
        <v>89.0</v>
      </c>
      <c r="DJ10" s="260" t="n">
        <v>105.78</v>
      </c>
      <c r="DK10" s="261" t="n">
        <v>97.0</v>
      </c>
      <c r="DL10" s="262" t="n">
        <v>78.82</v>
      </c>
      <c r="DM10" s="263" t="n">
        <v>99.0</v>
      </c>
      <c r="DN10" s="264" t="inlineStr">
        <is>
          <t/>
        </is>
      </c>
      <c r="DO10" s="265" t="inlineStr">
        <is>
          <t/>
        </is>
      </c>
      <c r="DP10" s="266" t="n">
        <v>75669.0</v>
      </c>
      <c r="DQ10" s="267" t="n">
        <v>-2211.0</v>
      </c>
      <c r="DR10" s="268" t="n">
        <v>-2.84</v>
      </c>
      <c r="DS10" s="269" t="n">
        <v>2673.0</v>
      </c>
      <c r="DT10" s="270" t="n">
        <v>15.0</v>
      </c>
      <c r="DU10" s="271" t="n">
        <v>0.56</v>
      </c>
      <c r="DV10" s="272" t="n">
        <v>1568.0</v>
      </c>
      <c r="DW10" s="273" t="n">
        <v>1.0</v>
      </c>
      <c r="DX10" s="274" t="n">
        <v>0.06</v>
      </c>
      <c r="DY10" s="275" t="inlineStr">
        <is>
          <t>PitchBook Research</t>
        </is>
      </c>
      <c r="DZ10" s="276" t="n">
        <v>43493.0</v>
      </c>
      <c r="EA10" s="277" t="inlineStr">
        <is>
          <t/>
        </is>
      </c>
      <c r="EB10" s="278" t="inlineStr">
        <is>
          <t/>
        </is>
      </c>
      <c r="EC10" s="279" t="inlineStr">
        <is>
          <t/>
        </is>
      </c>
      <c r="ED10" s="548">
        <f>HYPERLINK("https://my.pitchbook.com?c=41279-05", "View company online")</f>
      </c>
    </row>
    <row r="11">
      <c r="A11" s="13" t="inlineStr">
        <is>
          <t>25280-11</t>
        </is>
      </c>
      <c r="B11" s="14" t="inlineStr">
        <is>
          <t>Nike (NYS: NKE)</t>
        </is>
      </c>
      <c r="C11" s="15" t="inlineStr">
        <is>
          <t/>
        </is>
      </c>
      <c r="D11" s="16" t="inlineStr">
        <is>
          <t/>
        </is>
      </c>
      <c r="E11" s="17" t="inlineStr">
        <is>
          <t>25280-11</t>
        </is>
      </c>
      <c r="F11" s="18" t="inlineStr">
        <is>
          <t>Nike is the world's largest designer and wholesaler of athletic footwear and apparel. The firm sells through more than 20,000 accounts and 110,000 retail doors, including a network of more than 1,182 company-owned stores (about 30% of revenue including online sales), and independent distributors and licensees in 170 countries. Nike brand sales in North America account for 41% of revenue, followed by Europe, Middle East, and Africa (26%), Asia-Pacific and Latin America (14%), and China (14%). The Converse brand accounts for 5% of sales.</t>
        </is>
      </c>
      <c r="G11" s="19" t="inlineStr">
        <is>
          <t>Consumer Products and Services (B2C)</t>
        </is>
      </c>
      <c r="H11" s="20" t="inlineStr">
        <is>
          <t>Apparel and Accessories</t>
        </is>
      </c>
      <c r="I11" s="21" t="inlineStr">
        <is>
          <t>Footwear</t>
        </is>
      </c>
      <c r="J11" s="22" t="inlineStr">
        <is>
          <t>Footwear*</t>
        </is>
      </c>
      <c r="K11" s="23" t="inlineStr">
        <is>
          <t/>
        </is>
      </c>
      <c r="L11" s="24" t="inlineStr">
        <is>
          <t>athletic footwear, sports accessories, sports apparel, sports equipment, sports footwear</t>
        </is>
      </c>
      <c r="M11" s="25" t="inlineStr">
        <is>
          <t>Corporation</t>
        </is>
      </c>
      <c r="N11" s="26" t="inlineStr">
        <is>
          <t/>
        </is>
      </c>
      <c r="O11" s="27" t="inlineStr">
        <is>
          <t>Profitable</t>
        </is>
      </c>
      <c r="P11" s="28" t="inlineStr">
        <is>
          <t>Publicly Held</t>
        </is>
      </c>
      <c r="Q11" s="29" t="inlineStr">
        <is>
          <t>Publicly Listed</t>
        </is>
      </c>
      <c r="R11" s="30" t="inlineStr">
        <is>
          <t>www.nike.com</t>
        </is>
      </c>
      <c r="S11" s="31" t="n">
        <v>74400.0</v>
      </c>
      <c r="T11" s="32" t="inlineStr">
        <is>
          <t>1989: 4500, 1990: 4500, 1991: 4070, 1992: 5500, 1993: 5500, 1994: 9500, 1995: 14240, 1996: 17200, 1997: 21800, 1998: 22800, 1999: 20700, 2000: 21800, 2001: 22700, 2002: 22700, 2003: 23300, 2004: 24667, 2005: 26000, 2006: 28000, 2007: 30200, 2008: 32500, 2009: 34300, 2010: 34400, 2011: 38000, 2012: 44000, 2013: 48000, 2014: 56500, 2015: 62600, 2016: 70700, 2017: 74400, 2018: 74400</t>
        </is>
      </c>
      <c r="U11" s="33" t="inlineStr">
        <is>
          <t>NYS</t>
        </is>
      </c>
      <c r="V11" s="34" t="inlineStr">
        <is>
          <t>NKE</t>
        </is>
      </c>
      <c r="W11" s="35" t="n">
        <v>1964.0</v>
      </c>
      <c r="X11" s="36" t="inlineStr">
        <is>
          <t/>
        </is>
      </c>
      <c r="Y11" s="37" t="inlineStr">
        <is>
          <t>News (New) </t>
        </is>
      </c>
      <c r="Z11" s="38" t="inlineStr">
        <is>
          <t>News (New) , Filing (New) </t>
        </is>
      </c>
      <c r="AA11" s="39" t="n">
        <v>38722.0</v>
      </c>
      <c r="AB11" s="40" t="n">
        <v>17219.0</v>
      </c>
      <c r="AC11" s="41" t="n">
        <v>4177.0</v>
      </c>
      <c r="AD11" s="42" t="n">
        <v>134361.66</v>
      </c>
      <c r="AE11" s="43" t="n">
        <v>4822.0</v>
      </c>
      <c r="AF11" s="44" t="inlineStr">
        <is>
          <t>TTM 3Q2019</t>
        </is>
      </c>
      <c r="AG11" s="45" t="n">
        <v>4822.0</v>
      </c>
      <c r="AH11" s="46" t="n">
        <v>129350.42</v>
      </c>
      <c r="AI11" s="47" t="n">
        <v>-559.0</v>
      </c>
      <c r="AJ11" s="48" t="inlineStr">
        <is>
          <t>131657-23P</t>
        </is>
      </c>
      <c r="AK11" s="49" t="inlineStr">
        <is>
          <t>Andrew Campion</t>
        </is>
      </c>
      <c r="AL11" s="50" t="inlineStr">
        <is>
          <t>Chief Financial Officer &amp; Executive Vice President</t>
        </is>
      </c>
      <c r="AM11" s="51" t="inlineStr">
        <is>
          <t>andrew.campion@nike.com</t>
        </is>
      </c>
      <c r="AN11" s="52" t="inlineStr">
        <is>
          <t>+1 (503) 671-6453</t>
        </is>
      </c>
      <c r="AO11" s="53" t="inlineStr">
        <is>
          <t>Beaverton, OR</t>
        </is>
      </c>
      <c r="AP11" s="54" t="inlineStr">
        <is>
          <t>One Bowerman Drive</t>
        </is>
      </c>
      <c r="AQ11" s="55" t="inlineStr">
        <is>
          <t/>
        </is>
      </c>
      <c r="AR11" s="56" t="inlineStr">
        <is>
          <t>Beaverton</t>
        </is>
      </c>
      <c r="AS11" s="57" t="inlineStr">
        <is>
          <t>Oregon</t>
        </is>
      </c>
      <c r="AT11" s="58" t="inlineStr">
        <is>
          <t>97005</t>
        </is>
      </c>
      <c r="AU11" s="59" t="inlineStr">
        <is>
          <t>United States</t>
        </is>
      </c>
      <c r="AV11" s="60" t="inlineStr">
        <is>
          <t>+1 (503) 671-6453</t>
        </is>
      </c>
      <c r="AW11" s="61" t="inlineStr">
        <is>
          <t/>
        </is>
      </c>
      <c r="AX11" s="62" t="inlineStr">
        <is>
          <t/>
        </is>
      </c>
      <c r="AY11" s="63" t="inlineStr">
        <is>
          <t>Americas</t>
        </is>
      </c>
      <c r="AZ11" s="64" t="inlineStr">
        <is>
          <t>North America</t>
        </is>
      </c>
      <c r="BA11" s="65" t="inlineStr">
        <is>
          <t/>
        </is>
      </c>
      <c r="BB11" s="66" t="inlineStr">
        <is>
          <t/>
        </is>
      </c>
      <c r="BC11" s="67" t="inlineStr">
        <is>
          <t/>
        </is>
      </c>
      <c r="BD11" s="68" t="inlineStr">
        <is>
          <t/>
        </is>
      </c>
      <c r="BE11" s="69" t="inlineStr">
        <is>
          <t/>
        </is>
      </c>
      <c r="BF11" s="70" t="inlineStr">
        <is>
          <t/>
        </is>
      </c>
      <c r="BG11" s="71" t="inlineStr">
        <is>
          <t/>
        </is>
      </c>
      <c r="BH11" s="72" t="inlineStr">
        <is>
          <t/>
        </is>
      </c>
      <c r="BI11" s="73" t="inlineStr">
        <is>
          <t/>
        </is>
      </c>
      <c r="BJ11" s="74" t="inlineStr">
        <is>
          <t/>
        </is>
      </c>
      <c r="BK11" s="75" t="inlineStr">
        <is>
          <t/>
        </is>
      </c>
      <c r="BL11" s="76" t="inlineStr">
        <is>
          <t/>
        </is>
      </c>
      <c r="BM11" s="77" t="inlineStr">
        <is>
          <t/>
        </is>
      </c>
      <c r="BN11" s="78" t="inlineStr">
        <is>
          <t/>
        </is>
      </c>
      <c r="BO11" s="79" t="inlineStr">
        <is>
          <t/>
        </is>
      </c>
      <c r="BP11" s="80" t="inlineStr">
        <is>
          <t/>
        </is>
      </c>
      <c r="BQ11" s="81" t="inlineStr">
        <is>
          <t/>
        </is>
      </c>
      <c r="BR11" s="82" t="inlineStr">
        <is>
          <t/>
        </is>
      </c>
      <c r="BS11" s="83" t="inlineStr">
        <is>
          <t/>
        </is>
      </c>
      <c r="BT11" s="84" t="inlineStr">
        <is>
          <t/>
        </is>
      </c>
      <c r="BU11" s="85" t="inlineStr">
        <is>
          <t/>
        </is>
      </c>
      <c r="BV11" s="86" t="inlineStr">
        <is>
          <t/>
        </is>
      </c>
      <c r="BW11" s="87" t="inlineStr">
        <is>
          <t/>
        </is>
      </c>
      <c r="BX11" s="88" t="inlineStr">
        <is>
          <t/>
        </is>
      </c>
      <c r="BY11" s="89" t="inlineStr">
        <is>
          <t/>
        </is>
      </c>
      <c r="BZ11" s="90" t="inlineStr">
        <is>
          <t/>
        </is>
      </c>
      <c r="CA11" s="91" t="inlineStr">
        <is>
          <t/>
        </is>
      </c>
      <c r="CB11" s="92" t="inlineStr">
        <is>
          <t/>
        </is>
      </c>
      <c r="CC11" s="93" t="inlineStr">
        <is>
          <t/>
        </is>
      </c>
      <c r="CD11" s="94" t="inlineStr">
        <is>
          <t/>
        </is>
      </c>
      <c r="CE11" s="95" t="inlineStr">
        <is>
          <t/>
        </is>
      </c>
      <c r="CF11" s="96" t="inlineStr">
        <is>
          <t/>
        </is>
      </c>
      <c r="CG11" s="97" t="inlineStr">
        <is>
          <t/>
        </is>
      </c>
      <c r="CH11" s="98" t="inlineStr">
        <is>
          <t/>
        </is>
      </c>
      <c r="CI11" s="99" t="inlineStr">
        <is>
          <t/>
        </is>
      </c>
      <c r="CJ11" s="100" t="inlineStr">
        <is>
          <t/>
        </is>
      </c>
      <c r="CK11" s="101" t="inlineStr">
        <is>
          <t/>
        </is>
      </c>
      <c r="CL11" s="102" t="inlineStr">
        <is>
          <t/>
        </is>
      </c>
      <c r="CM11" s="103" t="inlineStr">
        <is>
          <t/>
        </is>
      </c>
      <c r="CN11" s="104" t="n">
        <v>0.71</v>
      </c>
      <c r="CO11" s="105" t="n">
        <v>96.0</v>
      </c>
      <c r="CP11" s="106" t="n">
        <v>0.0</v>
      </c>
      <c r="CQ11" s="107" t="n">
        <v>0.05</v>
      </c>
      <c r="CR11" s="108" t="n">
        <v>1.24</v>
      </c>
      <c r="CS11" s="109" t="n">
        <v>98.0</v>
      </c>
      <c r="CT11" s="110" t="n">
        <v>0.06</v>
      </c>
      <c r="CU11" s="111" t="n">
        <v>66.0</v>
      </c>
      <c r="CV11" s="112" t="n">
        <v>2.36</v>
      </c>
      <c r="CW11" s="113" t="n">
        <v>92.0</v>
      </c>
      <c r="CX11" s="114" t="n">
        <v>0.12</v>
      </c>
      <c r="CY11" s="115" t="n">
        <v>87.0</v>
      </c>
      <c r="CZ11" s="116" t="n">
        <v>0.04</v>
      </c>
      <c r="DA11" s="117" t="n">
        <v>67.0</v>
      </c>
      <c r="DB11" s="118" t="n">
        <v>12354.29</v>
      </c>
      <c r="DC11" s="119" t="n">
        <v>100.0</v>
      </c>
      <c r="DD11" s="120" t="n">
        <v>197.45</v>
      </c>
      <c r="DE11" s="121" t="n">
        <v>1.62</v>
      </c>
      <c r="DF11" s="122" t="n">
        <v>3758.61</v>
      </c>
      <c r="DG11" s="123" t="n">
        <v>100.0</v>
      </c>
      <c r="DH11" s="124" t="n">
        <v>28946.88</v>
      </c>
      <c r="DI11" s="125" t="n">
        <v>100.0</v>
      </c>
      <c r="DJ11" s="126" t="n">
        <v>5164.99</v>
      </c>
      <c r="DK11" s="127" t="n">
        <v>100.0</v>
      </c>
      <c r="DL11" s="128" t="n">
        <v>2352.24</v>
      </c>
      <c r="DM11" s="129" t="n">
        <v>100.0</v>
      </c>
      <c r="DN11" s="130" t="n">
        <v>21430.94</v>
      </c>
      <c r="DO11" s="131" t="n">
        <v>100.0</v>
      </c>
      <c r="DP11" s="132" t="n">
        <v>3694184.0</v>
      </c>
      <c r="DQ11" s="133" t="n">
        <v>-103947.0</v>
      </c>
      <c r="DR11" s="134" t="n">
        <v>-2.74</v>
      </c>
      <c r="DS11" s="135" t="n">
        <v>80004.0</v>
      </c>
      <c r="DT11" s="136" t="n">
        <v>91.0</v>
      </c>
      <c r="DU11" s="137" t="n">
        <v>0.11</v>
      </c>
      <c r="DV11" s="138" t="n">
        <v>7693507.0</v>
      </c>
      <c r="DW11" s="139" t="n">
        <v>331.0</v>
      </c>
      <c r="DX11" s="140" t="n">
        <v>0.0</v>
      </c>
      <c r="DY11" s="141" t="inlineStr">
        <is>
          <t>PitchBook Research</t>
        </is>
      </c>
      <c r="DZ11" s="142" t="n">
        <v>43531.0</v>
      </c>
      <c r="EA11" s="143" t="inlineStr">
        <is>
          <t/>
        </is>
      </c>
      <c r="EB11" s="144" t="inlineStr">
        <is>
          <t/>
        </is>
      </c>
      <c r="EC11" s="145" t="inlineStr">
        <is>
          <t/>
        </is>
      </c>
      <c r="ED11" s="547">
        <f>HYPERLINK("https://my.pitchbook.com?c=25280-11", "View company online")</f>
      </c>
    </row>
    <row r="12">
      <c r="A12" s="147" t="inlineStr">
        <is>
          <t>65384-65</t>
        </is>
      </c>
      <c r="B12" s="148" t="inlineStr">
        <is>
          <t>Rajesh Exports (BOM: 531500)</t>
        </is>
      </c>
      <c r="C12" s="149" t="inlineStr">
        <is>
          <t/>
        </is>
      </c>
      <c r="D12" s="150" t="inlineStr">
        <is>
          <t/>
        </is>
      </c>
      <c r="E12" s="151" t="inlineStr">
        <is>
          <t>65384-65</t>
        </is>
      </c>
      <c r="F12" s="152" t="inlineStr">
        <is>
          <t>Rajesh Exports Ltd is a gold refiner, manufacturer, and retailer of gold jewelry, medallions, and other products. The company's main refineries are in India and Switzerland. Rajesh exports its products from India and Switzerland to more than 60 countries. Exports account for roughly 90% of the company's revenue. Rajesh also sells its products through wholesale channels in India and the United Arab Emirates, and through its company-owned retail showrooms, Shubh Jewellers, in India.</t>
        </is>
      </c>
      <c r="G12" s="153" t="inlineStr">
        <is>
          <t>Consumer Products and Services (B2C)</t>
        </is>
      </c>
      <c r="H12" s="154" t="inlineStr">
        <is>
          <t>Apparel and Accessories</t>
        </is>
      </c>
      <c r="I12" s="155" t="inlineStr">
        <is>
          <t>Luxury Goods</t>
        </is>
      </c>
      <c r="J12" s="156" t="inlineStr">
        <is>
          <t>Luxury Goods*</t>
        </is>
      </c>
      <c r="K12" s="157" t="inlineStr">
        <is>
          <t>Manufacturing</t>
        </is>
      </c>
      <c r="L12" s="158" t="inlineStr">
        <is>
          <t>gold jewelry, gold refiner, medallions</t>
        </is>
      </c>
      <c r="M12" s="159" t="inlineStr">
        <is>
          <t>Venture Capital-Backed</t>
        </is>
      </c>
      <c r="N12" s="160" t="inlineStr">
        <is>
          <t/>
        </is>
      </c>
      <c r="O12" s="161" t="inlineStr">
        <is>
          <t>Profitable</t>
        </is>
      </c>
      <c r="P12" s="162" t="inlineStr">
        <is>
          <t>Publicly Held</t>
        </is>
      </c>
      <c r="Q12" s="163" t="inlineStr">
        <is>
          <t>Publicly Listed, Venture Capital</t>
        </is>
      </c>
      <c r="R12" s="164" t="inlineStr">
        <is>
          <t>www.rajeshindia.com</t>
        </is>
      </c>
      <c r="S12" s="165" t="n">
        <v>383.0</v>
      </c>
      <c r="T12" s="166" t="inlineStr">
        <is>
          <t>2015: 358, 2016: 328, 2017: 350, 2018: 383</t>
        </is>
      </c>
      <c r="U12" s="167" t="inlineStr">
        <is>
          <t>BOM</t>
        </is>
      </c>
      <c r="V12" s="168" t="inlineStr">
        <is>
          <t>531500</t>
        </is>
      </c>
      <c r="W12" s="169" t="n">
        <v>1989.0</v>
      </c>
      <c r="X12" s="170" t="inlineStr">
        <is>
          <t/>
        </is>
      </c>
      <c r="Y12" s="171" t="inlineStr">
        <is>
          <t/>
        </is>
      </c>
      <c r="Z12" s="172" t="inlineStr">
        <is>
          <t/>
        </is>
      </c>
      <c r="AA12" s="173" t="n">
        <v>27826.4</v>
      </c>
      <c r="AB12" s="174" t="n">
        <v>384.4</v>
      </c>
      <c r="AC12" s="175" t="n">
        <v>210.09</v>
      </c>
      <c r="AD12" s="176" t="n">
        <v>1704.49</v>
      </c>
      <c r="AE12" s="177" t="n">
        <v>319.28</v>
      </c>
      <c r="AF12" s="178" t="inlineStr">
        <is>
          <t>TTM 1Q2019</t>
        </is>
      </c>
      <c r="AG12" s="179" t="n">
        <v>277.34</v>
      </c>
      <c r="AH12" s="180" t="n">
        <v>2795.07</v>
      </c>
      <c r="AI12" s="181" t="n">
        <v>-882.03</v>
      </c>
      <c r="AJ12" s="182" t="inlineStr">
        <is>
          <t>108058-60P</t>
        </is>
      </c>
      <c r="AK12" s="183" t="inlineStr">
        <is>
          <t>Rajesh Mehta</t>
        </is>
      </c>
      <c r="AL12" s="184" t="inlineStr">
        <is>
          <t>Chairman</t>
        </is>
      </c>
      <c r="AM12" s="185" t="inlineStr">
        <is>
          <t/>
        </is>
      </c>
      <c r="AN12" s="186" t="inlineStr">
        <is>
          <t>+91 (0)80 4023 9999</t>
        </is>
      </c>
      <c r="AO12" s="187" t="inlineStr">
        <is>
          <t>Bangalore, India</t>
        </is>
      </c>
      <c r="AP12" s="188" t="inlineStr">
        <is>
          <t>No.1, Brunton Road, Off MG Road</t>
        </is>
      </c>
      <c r="AQ12" s="189" t="inlineStr">
        <is>
          <t>Opposite Old Passport Office</t>
        </is>
      </c>
      <c r="AR12" s="190" t="inlineStr">
        <is>
          <t>Bangalore</t>
        </is>
      </c>
      <c r="AS12" s="191" t="inlineStr">
        <is>
          <t>Karnataka</t>
        </is>
      </c>
      <c r="AT12" s="192" t="inlineStr">
        <is>
          <t>560001</t>
        </is>
      </c>
      <c r="AU12" s="193" t="inlineStr">
        <is>
          <t>India</t>
        </is>
      </c>
      <c r="AV12" s="194" t="inlineStr">
        <is>
          <t>+91 (0)80 4023 9999</t>
        </is>
      </c>
      <c r="AW12" s="195" t="inlineStr">
        <is>
          <t>+91 (0)80 4023 9930</t>
        </is>
      </c>
      <c r="AX12" s="196" t="inlineStr">
        <is>
          <t/>
        </is>
      </c>
      <c r="AY12" s="197" t="inlineStr">
        <is>
          <t>Asia</t>
        </is>
      </c>
      <c r="AZ12" s="198" t="inlineStr">
        <is>
          <t>South Asia</t>
        </is>
      </c>
      <c r="BA12" s="199" t="inlineStr">
        <is>
          <t/>
        </is>
      </c>
      <c r="BB12" s="200" t="inlineStr">
        <is>
          <t>Brand Capital</t>
        </is>
      </c>
      <c r="BC12" s="201" t="n">
        <v>1.0</v>
      </c>
      <c r="BD12" s="202" t="inlineStr">
        <is>
          <t/>
        </is>
      </c>
      <c r="BE12" s="203" t="inlineStr">
        <is>
          <t/>
        </is>
      </c>
      <c r="BF12" s="204" t="inlineStr">
        <is>
          <t/>
        </is>
      </c>
      <c r="BG12" s="205" t="inlineStr">
        <is>
          <t>Brand Capital(www.brandcapital.co.in)</t>
        </is>
      </c>
      <c r="BH12" s="206" t="inlineStr">
        <is>
          <t/>
        </is>
      </c>
      <c r="BI12" s="207" t="inlineStr">
        <is>
          <t/>
        </is>
      </c>
      <c r="BJ12" s="208" t="inlineStr">
        <is>
          <t/>
        </is>
      </c>
      <c r="BK12" s="209" t="inlineStr">
        <is>
          <t/>
        </is>
      </c>
      <c r="BL12" s="210" t="inlineStr">
        <is>
          <t/>
        </is>
      </c>
      <c r="BM12" s="211" t="inlineStr">
        <is>
          <t/>
        </is>
      </c>
      <c r="BN12" s="212" t="inlineStr">
        <is>
          <t/>
        </is>
      </c>
      <c r="BO12" s="213" t="inlineStr">
        <is>
          <t/>
        </is>
      </c>
      <c r="BP12" s="214" t="inlineStr">
        <is>
          <t/>
        </is>
      </c>
      <c r="BQ12" s="215" t="inlineStr">
        <is>
          <t/>
        </is>
      </c>
      <c r="BR12" s="216" t="inlineStr">
        <is>
          <t/>
        </is>
      </c>
      <c r="BS12" s="217" t="inlineStr">
        <is>
          <t/>
        </is>
      </c>
      <c r="BT12" s="218" t="inlineStr">
        <is>
          <t/>
        </is>
      </c>
      <c r="BU12" s="219" t="inlineStr">
        <is>
          <t/>
        </is>
      </c>
      <c r="BV12" s="220" t="inlineStr">
        <is>
          <t/>
        </is>
      </c>
      <c r="BW12" s="221" t="inlineStr">
        <is>
          <t/>
        </is>
      </c>
      <c r="BX12" s="222" t="inlineStr">
        <is>
          <t/>
        </is>
      </c>
      <c r="BY12" s="223" t="inlineStr">
        <is>
          <t/>
        </is>
      </c>
      <c r="BZ12" s="224" t="inlineStr">
        <is>
          <t/>
        </is>
      </c>
      <c r="CA12" s="225" t="inlineStr">
        <is>
          <t/>
        </is>
      </c>
      <c r="CB12" s="226" t="inlineStr">
        <is>
          <t/>
        </is>
      </c>
      <c r="CC12" s="227" t="inlineStr">
        <is>
          <t/>
        </is>
      </c>
      <c r="CD12" s="228" t="inlineStr">
        <is>
          <t/>
        </is>
      </c>
      <c r="CE12" s="229" t="inlineStr">
        <is>
          <t/>
        </is>
      </c>
      <c r="CF12" s="230" t="inlineStr">
        <is>
          <t/>
        </is>
      </c>
      <c r="CG12" s="231" t="inlineStr">
        <is>
          <t/>
        </is>
      </c>
      <c r="CH12" s="232" t="inlineStr">
        <is>
          <t/>
        </is>
      </c>
      <c r="CI12" s="233" t="inlineStr">
        <is>
          <t/>
        </is>
      </c>
      <c r="CJ12" s="234" t="inlineStr">
        <is>
          <t/>
        </is>
      </c>
      <c r="CK12" s="235" t="inlineStr">
        <is>
          <t/>
        </is>
      </c>
      <c r="CL12" s="236" t="inlineStr">
        <is>
          <t/>
        </is>
      </c>
      <c r="CM12" s="237" t="inlineStr">
        <is>
          <t/>
        </is>
      </c>
      <c r="CN12" s="238" t="n">
        <v>0.15</v>
      </c>
      <c r="CO12" s="239" t="n">
        <v>87.0</v>
      </c>
      <c r="CP12" s="240" t="n">
        <v>-0.03</v>
      </c>
      <c r="CQ12" s="241" t="n">
        <v>-14.99</v>
      </c>
      <c r="CR12" s="242" t="n">
        <v>0.24</v>
      </c>
      <c r="CS12" s="243" t="n">
        <v>90.0</v>
      </c>
      <c r="CT12" s="244" t="n">
        <v>0.06</v>
      </c>
      <c r="CU12" s="245" t="n">
        <v>66.0</v>
      </c>
      <c r="CV12" s="246" t="n">
        <v>0.0</v>
      </c>
      <c r="CW12" s="247" t="n">
        <v>33.0</v>
      </c>
      <c r="CX12" s="248" t="n">
        <v>0.48</v>
      </c>
      <c r="CY12" s="249" t="n">
        <v>94.0</v>
      </c>
      <c r="CZ12" s="250" t="n">
        <v>0.06</v>
      </c>
      <c r="DA12" s="251" t="n">
        <v>70.0</v>
      </c>
      <c r="DB12" s="252" t="n">
        <v>2.37</v>
      </c>
      <c r="DC12" s="253" t="n">
        <v>71.0</v>
      </c>
      <c r="DD12" s="254" t="n">
        <v>0.42</v>
      </c>
      <c r="DE12" s="255" t="n">
        <v>21.46</v>
      </c>
      <c r="DF12" s="256" t="n">
        <v>3.62</v>
      </c>
      <c r="DG12" s="257" t="n">
        <v>78.0</v>
      </c>
      <c r="DH12" s="258" t="n">
        <v>1.12</v>
      </c>
      <c r="DI12" s="259" t="n">
        <v>52.0</v>
      </c>
      <c r="DJ12" s="260" t="n">
        <v>0.22</v>
      </c>
      <c r="DK12" s="261" t="n">
        <v>17.0</v>
      </c>
      <c r="DL12" s="262" t="n">
        <v>7.03</v>
      </c>
      <c r="DM12" s="263" t="n">
        <v>86.0</v>
      </c>
      <c r="DN12" s="264" t="n">
        <v>1.12</v>
      </c>
      <c r="DO12" s="265" t="n">
        <v>53.0</v>
      </c>
      <c r="DP12" s="266" t="n">
        <v>156.0</v>
      </c>
      <c r="DQ12" s="267" t="n">
        <v>6.0</v>
      </c>
      <c r="DR12" s="268" t="n">
        <v>4.0</v>
      </c>
      <c r="DS12" s="269" t="n">
        <v>240.0</v>
      </c>
      <c r="DT12" s="270" t="n">
        <v>-1.0</v>
      </c>
      <c r="DU12" s="271" t="n">
        <v>-0.41</v>
      </c>
      <c r="DV12" s="272" t="n">
        <v>400.0</v>
      </c>
      <c r="DW12" s="273" t="n">
        <v>2.0</v>
      </c>
      <c r="DX12" s="274" t="n">
        <v>0.5</v>
      </c>
      <c r="DY12" s="275" t="inlineStr">
        <is>
          <t>PitchBook Research</t>
        </is>
      </c>
      <c r="DZ12" s="276" t="n">
        <v>43492.0</v>
      </c>
      <c r="EA12" s="277" t="inlineStr">
        <is>
          <t/>
        </is>
      </c>
      <c r="EB12" s="278" t="inlineStr">
        <is>
          <t/>
        </is>
      </c>
      <c r="EC12" s="279" t="inlineStr">
        <is>
          <t/>
        </is>
      </c>
      <c r="ED12" s="548">
        <f>HYPERLINK("https://my.pitchbook.com?c=65384-65", "View company online")</f>
      </c>
    </row>
    <row r="13">
      <c r="A13" s="13" t="inlineStr">
        <is>
          <t>97964-29</t>
        </is>
      </c>
      <c r="B13" s="14" t="inlineStr">
        <is>
          <t>CJ Corp (KRX: 001040)</t>
        </is>
      </c>
      <c r="C13" s="15" t="inlineStr">
        <is>
          <t/>
        </is>
      </c>
      <c r="D13" s="16" t="inlineStr">
        <is>
          <t/>
        </is>
      </c>
      <c r="E13" s="17" t="inlineStr">
        <is>
          <t>97964-29</t>
        </is>
      </c>
      <c r="F13" s="18" t="inlineStr">
        <is>
          <t>CJ Corp is a South Korean conglomerate. Its businesses operate in food and food services, biopharma, home shopping and logistics, entertainment and media, and infrastructure. The businesses include food manufacturer, restaurants, food material distributors, nucleic acid and lysine research companies, pharmaceutical companies, home shopping channels, logistic companies, digital content and advertisement producers, as well as construction companies for luxury housing, complex commercial facilities, and resorts. The largest two segments by operating profit are food and food services and home shopping and logistics.</t>
        </is>
      </c>
      <c r="G13" s="19" t="inlineStr">
        <is>
          <t>Business Products and Services (B2B)</t>
        </is>
      </c>
      <c r="H13" s="20" t="inlineStr">
        <is>
          <t>Other Business Products and Services</t>
        </is>
      </c>
      <c r="I13" s="21" t="inlineStr">
        <is>
          <t>Buildings and Property</t>
        </is>
      </c>
      <c r="J13" s="22" t="inlineStr">
        <is>
          <t>Accessories, Buildings and Property*, Food Products, Movies, Music and Entertainment, Pharmaceuticals</t>
        </is>
      </c>
      <c r="K13" s="23" t="inlineStr">
        <is>
          <t>TMT</t>
        </is>
      </c>
      <c r="L13" s="24" t="inlineStr">
        <is>
          <t/>
        </is>
      </c>
      <c r="M13" s="25" t="inlineStr">
        <is>
          <t>Corporation</t>
        </is>
      </c>
      <c r="N13" s="26" t="inlineStr">
        <is>
          <t/>
        </is>
      </c>
      <c r="O13" s="27" t="inlineStr">
        <is>
          <t>Profitable</t>
        </is>
      </c>
      <c r="P13" s="28" t="inlineStr">
        <is>
          <t>Publicly Held</t>
        </is>
      </c>
      <c r="Q13" s="29" t="inlineStr">
        <is>
          <t>Publicly Listed</t>
        </is>
      </c>
      <c r="R13" s="30" t="inlineStr">
        <is>
          <t>www.cj.co.kr</t>
        </is>
      </c>
      <c r="S13" s="31" t="n">
        <v>34.0</v>
      </c>
      <c r="T13" s="32" t="inlineStr">
        <is>
          <t>2007: 79, 2008: 71, 2009: 70, 2010: 92, 2011: 108, 2012: 65, 2013: 55, 2014: 50, 2015: 56, 2016: 34, 2017: 31, 2018: 34</t>
        </is>
      </c>
      <c r="U13" s="33" t="inlineStr">
        <is>
          <t>KRX</t>
        </is>
      </c>
      <c r="V13" s="34" t="inlineStr">
        <is>
          <t>001040</t>
        </is>
      </c>
      <c r="W13" s="35" t="inlineStr">
        <is>
          <t/>
        </is>
      </c>
      <c r="X13" s="36" t="inlineStr">
        <is>
          <t/>
        </is>
      </c>
      <c r="Y13" s="37" t="inlineStr">
        <is>
          <t/>
        </is>
      </c>
      <c r="Z13" s="38" t="inlineStr">
        <is>
          <t/>
        </is>
      </c>
      <c r="AA13" s="39" t="n">
        <v>26861.2</v>
      </c>
      <c r="AB13" s="40" t="n">
        <v>7599.98</v>
      </c>
      <c r="AC13" s="41" t="n">
        <v>251.16</v>
      </c>
      <c r="AD13" s="42" t="n">
        <v>20116.58</v>
      </c>
      <c r="AE13" s="43" t="n">
        <v>3027.32</v>
      </c>
      <c r="AF13" s="44" t="inlineStr">
        <is>
          <t>FY 2018</t>
        </is>
      </c>
      <c r="AG13" s="45" t="n">
        <v>1488.07</v>
      </c>
      <c r="AH13" s="46" t="n">
        <v>3483.39</v>
      </c>
      <c r="AI13" s="47" t="n">
        <v>9179.67</v>
      </c>
      <c r="AJ13" s="48" t="inlineStr">
        <is>
          <t>144429-85P</t>
        </is>
      </c>
      <c r="AK13" s="49" t="inlineStr">
        <is>
          <t>Jaewook Lee</t>
        </is>
      </c>
      <c r="AL13" s="50" t="inlineStr">
        <is>
          <t>Senior Manager, Strategy and Mergers &amp; Acquistions</t>
        </is>
      </c>
      <c r="AM13" s="51" t="inlineStr">
        <is>
          <t>jaewook.lee@cj.net</t>
        </is>
      </c>
      <c r="AN13" s="52" t="inlineStr">
        <is>
          <t/>
        </is>
      </c>
      <c r="AO13" s="53" t="inlineStr">
        <is>
          <t>Seoul, South Korea</t>
        </is>
      </c>
      <c r="AP13" s="54" t="inlineStr">
        <is>
          <t/>
        </is>
      </c>
      <c r="AQ13" s="55" t="inlineStr">
        <is>
          <t/>
        </is>
      </c>
      <c r="AR13" s="56" t="inlineStr">
        <is>
          <t>Seoul</t>
        </is>
      </c>
      <c r="AS13" s="57" t="inlineStr">
        <is>
          <t/>
        </is>
      </c>
      <c r="AT13" s="58" t="inlineStr">
        <is>
          <t/>
        </is>
      </c>
      <c r="AU13" s="59" t="inlineStr">
        <is>
          <t>South Korea</t>
        </is>
      </c>
      <c r="AV13" s="60" t="inlineStr">
        <is>
          <t/>
        </is>
      </c>
      <c r="AW13" s="61" t="inlineStr">
        <is>
          <t/>
        </is>
      </c>
      <c r="AX13" s="62" t="inlineStr">
        <is>
          <t/>
        </is>
      </c>
      <c r="AY13" s="63" t="inlineStr">
        <is>
          <t>Asia</t>
        </is>
      </c>
      <c r="AZ13" s="64" t="inlineStr">
        <is>
          <t>East Asia</t>
        </is>
      </c>
      <c r="BA13" s="65" t="inlineStr">
        <is>
          <t/>
        </is>
      </c>
      <c r="BB13" s="66" t="inlineStr">
        <is>
          <t/>
        </is>
      </c>
      <c r="BC13" s="67" t="inlineStr">
        <is>
          <t/>
        </is>
      </c>
      <c r="BD13" s="68" t="inlineStr">
        <is>
          <t/>
        </is>
      </c>
      <c r="BE13" s="69" t="inlineStr">
        <is>
          <t/>
        </is>
      </c>
      <c r="BF13" s="70" t="inlineStr">
        <is>
          <t/>
        </is>
      </c>
      <c r="BG13" s="71" t="inlineStr">
        <is>
          <t/>
        </is>
      </c>
      <c r="BH13" s="72" t="inlineStr">
        <is>
          <t/>
        </is>
      </c>
      <c r="BI13" s="73" t="inlineStr">
        <is>
          <t/>
        </is>
      </c>
      <c r="BJ13" s="74" t="inlineStr">
        <is>
          <t/>
        </is>
      </c>
      <c r="BK13" s="75" t="inlineStr">
        <is>
          <t/>
        </is>
      </c>
      <c r="BL13" s="76" t="inlineStr">
        <is>
          <t/>
        </is>
      </c>
      <c r="BM13" s="77" t="inlineStr">
        <is>
          <t/>
        </is>
      </c>
      <c r="BN13" s="78" t="inlineStr">
        <is>
          <t/>
        </is>
      </c>
      <c r="BO13" s="79" t="inlineStr">
        <is>
          <t/>
        </is>
      </c>
      <c r="BP13" s="80" t="inlineStr">
        <is>
          <t/>
        </is>
      </c>
      <c r="BQ13" s="81" t="inlineStr">
        <is>
          <t/>
        </is>
      </c>
      <c r="BR13" s="82" t="inlineStr">
        <is>
          <t/>
        </is>
      </c>
      <c r="BS13" s="83" t="inlineStr">
        <is>
          <t/>
        </is>
      </c>
      <c r="BT13" s="84" t="inlineStr">
        <is>
          <t/>
        </is>
      </c>
      <c r="BU13" s="85" t="inlineStr">
        <is>
          <t/>
        </is>
      </c>
      <c r="BV13" s="86" t="inlineStr">
        <is>
          <t/>
        </is>
      </c>
      <c r="BW13" s="87" t="inlineStr">
        <is>
          <t/>
        </is>
      </c>
      <c r="BX13" s="88" t="inlineStr">
        <is>
          <t/>
        </is>
      </c>
      <c r="BY13" s="89" t="inlineStr">
        <is>
          <t/>
        </is>
      </c>
      <c r="BZ13" s="90" t="inlineStr">
        <is>
          <t/>
        </is>
      </c>
      <c r="CA13" s="91" t="inlineStr">
        <is>
          <t/>
        </is>
      </c>
      <c r="CB13" s="92" t="inlineStr">
        <is>
          <t/>
        </is>
      </c>
      <c r="CC13" s="93" t="inlineStr">
        <is>
          <t/>
        </is>
      </c>
      <c r="CD13" s="94" t="inlineStr">
        <is>
          <t/>
        </is>
      </c>
      <c r="CE13" s="95" t="inlineStr">
        <is>
          <t/>
        </is>
      </c>
      <c r="CF13" s="96" t="inlineStr">
        <is>
          <t/>
        </is>
      </c>
      <c r="CG13" s="97" t="inlineStr">
        <is>
          <t/>
        </is>
      </c>
      <c r="CH13" s="98" t="inlineStr">
        <is>
          <t/>
        </is>
      </c>
      <c r="CI13" s="99" t="inlineStr">
        <is>
          <t/>
        </is>
      </c>
      <c r="CJ13" s="100" t="inlineStr">
        <is>
          <t/>
        </is>
      </c>
      <c r="CK13" s="101" t="inlineStr">
        <is>
          <t/>
        </is>
      </c>
      <c r="CL13" s="102" t="inlineStr">
        <is>
          <t/>
        </is>
      </c>
      <c r="CM13" s="103" t="inlineStr">
        <is>
          <t/>
        </is>
      </c>
      <c r="CN13" s="104" t="n">
        <v>-0.12</v>
      </c>
      <c r="CO13" s="105" t="n">
        <v>11.0</v>
      </c>
      <c r="CP13" s="106" t="n">
        <v>0.03</v>
      </c>
      <c r="CQ13" s="107" t="n">
        <v>17.8</v>
      </c>
      <c r="CR13" s="108" t="n">
        <v>-0.12</v>
      </c>
      <c r="CS13" s="109" t="n">
        <v>12.0</v>
      </c>
      <c r="CT13" s="110" t="inlineStr">
        <is>
          <t/>
        </is>
      </c>
      <c r="CU13" s="111" t="inlineStr">
        <is>
          <t/>
        </is>
      </c>
      <c r="CV13" s="112" t="n">
        <v>0.0</v>
      </c>
      <c r="CW13" s="113" t="n">
        <v>33.0</v>
      </c>
      <c r="CX13" s="114" t="n">
        <v>-0.23</v>
      </c>
      <c r="CY13" s="115" t="n">
        <v>8.0</v>
      </c>
      <c r="CZ13" s="116" t="inlineStr">
        <is>
          <t/>
        </is>
      </c>
      <c r="DA13" s="117" t="inlineStr">
        <is>
          <t/>
        </is>
      </c>
      <c r="DB13" s="118" t="n">
        <v>26.22</v>
      </c>
      <c r="DC13" s="119" t="n">
        <v>96.0</v>
      </c>
      <c r="DD13" s="120" t="n">
        <v>6.36</v>
      </c>
      <c r="DE13" s="121" t="n">
        <v>32.01</v>
      </c>
      <c r="DF13" s="122" t="n">
        <v>26.22</v>
      </c>
      <c r="DG13" s="123" t="n">
        <v>96.0</v>
      </c>
      <c r="DH13" s="124" t="inlineStr">
        <is>
          <t/>
        </is>
      </c>
      <c r="DI13" s="125" t="inlineStr">
        <is>
          <t/>
        </is>
      </c>
      <c r="DJ13" s="126" t="n">
        <v>1.23</v>
      </c>
      <c r="DK13" s="127" t="n">
        <v>55.0</v>
      </c>
      <c r="DL13" s="128" t="n">
        <v>51.21</v>
      </c>
      <c r="DM13" s="129" t="n">
        <v>98.0</v>
      </c>
      <c r="DN13" s="130" t="inlineStr">
        <is>
          <t/>
        </is>
      </c>
      <c r="DO13" s="131" t="inlineStr">
        <is>
          <t/>
        </is>
      </c>
      <c r="DP13" s="132" t="n">
        <v>873.0</v>
      </c>
      <c r="DQ13" s="133" t="n">
        <v>65.0</v>
      </c>
      <c r="DR13" s="134" t="n">
        <v>8.04</v>
      </c>
      <c r="DS13" s="135" t="n">
        <v>1737.0</v>
      </c>
      <c r="DT13" s="136" t="n">
        <v>7.0</v>
      </c>
      <c r="DU13" s="137" t="n">
        <v>0.4</v>
      </c>
      <c r="DV13" s="138" t="inlineStr">
        <is>
          <t/>
        </is>
      </c>
      <c r="DW13" s="139" t="inlineStr">
        <is>
          <t/>
        </is>
      </c>
      <c r="DX13" s="140" t="inlineStr">
        <is>
          <t/>
        </is>
      </c>
      <c r="DY13" s="141" t="inlineStr">
        <is>
          <t>PitchBook Research</t>
        </is>
      </c>
      <c r="DZ13" s="142" t="n">
        <v>43491.0</v>
      </c>
      <c r="EA13" s="143" t="inlineStr">
        <is>
          <t/>
        </is>
      </c>
      <c r="EB13" s="144" t="inlineStr">
        <is>
          <t/>
        </is>
      </c>
      <c r="EC13" s="145" t="inlineStr">
        <is>
          <t/>
        </is>
      </c>
      <c r="ED13" s="547">
        <f>HYPERLINK("https://my.pitchbook.com?c=97964-29", "View company online")</f>
      </c>
    </row>
    <row r="14">
      <c r="A14" s="147" t="inlineStr">
        <is>
          <t>11345-77</t>
        </is>
      </c>
      <c r="B14" s="148" t="inlineStr">
        <is>
          <t>Adidas (ETR: ADS)</t>
        </is>
      </c>
      <c r="C14" s="149" t="inlineStr">
        <is>
          <t>Gebrüder Dassler Schuhfabrik</t>
        </is>
      </c>
      <c r="D14" s="150" t="inlineStr">
        <is>
          <t/>
        </is>
      </c>
      <c r="E14" s="151" t="inlineStr">
        <is>
          <t>11345-77</t>
        </is>
      </c>
      <c r="F14" s="152" t="inlineStr">
        <is>
          <t>Headquartered in Herzogenaurach, Germany, Adidas is the world's second- largest provider of athletic footwear and apparel. The firm generated more than EUR 21 billion in revenue during 2017, including EUR 5.8 billion in Europe, EUR 4.3 billion in North America, and EUR 3.8 billion in Greater China. Adidas offers a range of products across two divisions: Adidas (90% of sales) and Reebok (10%). The company divested itself of the TaylorMade and CCM Hockey brands late in 2017, which had accounted for 6% of total sales.</t>
        </is>
      </c>
      <c r="G14" s="153" t="inlineStr">
        <is>
          <t>Consumer Products and Services (B2C)</t>
        </is>
      </c>
      <c r="H14" s="154" t="inlineStr">
        <is>
          <t>Consumer Durables</t>
        </is>
      </c>
      <c r="I14" s="155" t="inlineStr">
        <is>
          <t>Recreational Goods</t>
        </is>
      </c>
      <c r="J14" s="156" t="inlineStr">
        <is>
          <t>Accessories, Footwear, Recreational Goods*</t>
        </is>
      </c>
      <c r="K14" s="157" t="inlineStr">
        <is>
          <t>Manufacturing</t>
        </is>
      </c>
      <c r="L14" s="158" t="inlineStr">
        <is>
          <t>athletic equipment, casual wear, football shoes, sports shoes, sportswear</t>
        </is>
      </c>
      <c r="M14" s="159" t="inlineStr">
        <is>
          <t>Corporate Backed or Acquired</t>
        </is>
      </c>
      <c r="N14" s="160" t="n">
        <v>1101.58</v>
      </c>
      <c r="O14" s="161" t="inlineStr">
        <is>
          <t>Profitable</t>
        </is>
      </c>
      <c r="P14" s="162" t="inlineStr">
        <is>
          <t>Publicly Held</t>
        </is>
      </c>
      <c r="Q14" s="163" t="inlineStr">
        <is>
          <t>M&amp;A, Private Equity, Publicly Listed</t>
        </is>
      </c>
      <c r="R14" s="164" t="inlineStr">
        <is>
          <t>www.adidas-group.com</t>
        </is>
      </c>
      <c r="S14" s="165" t="n">
        <v>57016.0</v>
      </c>
      <c r="T14" s="166" t="inlineStr">
        <is>
          <t>1949: 47, 2003: 9547, 2004: 10793, 2005: 15935, 2008: 36129, 2010: 42659, 2011: 48547, 2012: 46738, 2013: 50728, 2014: 53731, 2015: 55555, 2016: 60617, 2017: 59661, 2018: 57016</t>
        </is>
      </c>
      <c r="U14" s="167" t="inlineStr">
        <is>
          <t>ETR</t>
        </is>
      </c>
      <c r="V14" s="168" t="inlineStr">
        <is>
          <t>ADS</t>
        </is>
      </c>
      <c r="W14" s="169" t="n">
        <v>1924.0</v>
      </c>
      <c r="X14" s="170" t="inlineStr">
        <is>
          <t/>
        </is>
      </c>
      <c r="Y14" s="171" t="inlineStr">
        <is>
          <t>News (New) </t>
        </is>
      </c>
      <c r="Z14" s="172" t="inlineStr">
        <is>
          <t>News (New) </t>
        </is>
      </c>
      <c r="AA14" s="173" t="n">
        <v>25861.15</v>
      </c>
      <c r="AB14" s="174" t="n">
        <v>13409.09</v>
      </c>
      <c r="AC14" s="175" t="n">
        <v>2008.47</v>
      </c>
      <c r="AD14" s="176" t="n">
        <v>38875.76</v>
      </c>
      <c r="AE14" s="177" t="n">
        <v>3382.07</v>
      </c>
      <c r="AF14" s="178" t="inlineStr">
        <is>
          <t>FY 2018</t>
        </is>
      </c>
      <c r="AG14" s="179" t="n">
        <v>2827.44</v>
      </c>
      <c r="AH14" s="180" t="n">
        <v>47550.12</v>
      </c>
      <c r="AI14" s="181" t="n">
        <v>-1300.62</v>
      </c>
      <c r="AJ14" s="182" t="inlineStr">
        <is>
          <t>179652-07P</t>
        </is>
      </c>
      <c r="AK14" s="183" t="inlineStr">
        <is>
          <t>Harm Ohlmeyer</t>
        </is>
      </c>
      <c r="AL14" s="184" t="inlineStr">
        <is>
          <t>Chief Financial Officer and Executive Board Member</t>
        </is>
      </c>
      <c r="AM14" s="185" t="inlineStr">
        <is>
          <t>harm.ohlmeyer@adidas-group.com</t>
        </is>
      </c>
      <c r="AN14" s="186" t="inlineStr">
        <is>
          <t>+49 (0)91 3284 0</t>
        </is>
      </c>
      <c r="AO14" s="187" t="inlineStr">
        <is>
          <t>Herzogenaurach, Germany</t>
        </is>
      </c>
      <c r="AP14" s="188" t="inlineStr">
        <is>
          <t>Adi-Dassler-Strasse 1</t>
        </is>
      </c>
      <c r="AQ14" s="189" t="inlineStr">
        <is>
          <t/>
        </is>
      </c>
      <c r="AR14" s="190" t="inlineStr">
        <is>
          <t>Herzogenaurach</t>
        </is>
      </c>
      <c r="AS14" s="191" t="inlineStr">
        <is>
          <t/>
        </is>
      </c>
      <c r="AT14" s="192" t="inlineStr">
        <is>
          <t>91074</t>
        </is>
      </c>
      <c r="AU14" s="193" t="inlineStr">
        <is>
          <t>Germany</t>
        </is>
      </c>
      <c r="AV14" s="194" t="inlineStr">
        <is>
          <t>+49 (0)91 3284 0</t>
        </is>
      </c>
      <c r="AW14" s="195" t="inlineStr">
        <is>
          <t>+49 (0)91 3284 2241</t>
        </is>
      </c>
      <c r="AX14" s="196" t="inlineStr">
        <is>
          <t>investor.relations@adidas-group.com</t>
        </is>
      </c>
      <c r="AY14" s="197" t="inlineStr">
        <is>
          <t>Europe</t>
        </is>
      </c>
      <c r="AZ14" s="198" t="inlineStr">
        <is>
          <t>Western Europe</t>
        </is>
      </c>
      <c r="BA14" s="199" t="inlineStr">
        <is>
          <t>The company (ETR: ADS) repurchased 5.1 million shares for EUR 1 billion on March 14, 2018.</t>
        </is>
      </c>
      <c r="BB14" s="200" t="inlineStr">
        <is>
          <t>BlackRock Private Equity Partners, Compagnie Nationale a Portefeuille, Groupe Bruxelles Lambert, Nassef Sawiris, Southeastern Asset Management, Sports Direct International</t>
        </is>
      </c>
      <c r="BC14" s="201" t="n">
        <v>6.0</v>
      </c>
      <c r="BD14" s="202" t="inlineStr">
        <is>
          <t/>
        </is>
      </c>
      <c r="BE14" s="203" t="inlineStr">
        <is>
          <t/>
        </is>
      </c>
      <c r="BF14" s="204" t="inlineStr">
        <is>
          <t>Apax Partners, Navis Capital Partners</t>
        </is>
      </c>
      <c r="BG14" s="205" t="inlineStr">
        <is>
          <t>Compagnie Nationale a Portefeuille(www.cnp.be), Groupe Bruxelles Lambert(www.gbl.be), Sports Direct International(www.sportsdirectplc.com)</t>
        </is>
      </c>
      <c r="BH14" s="206" t="inlineStr">
        <is>
          <t/>
        </is>
      </c>
      <c r="BI14" s="207" t="inlineStr">
        <is>
          <t>Apax Partners(www.apax.com), Navis Capital Partners(www.naviscapital.com)</t>
        </is>
      </c>
      <c r="BJ14" s="208" t="inlineStr">
        <is>
          <t>Aranca(Consulting), Edelman(Advisor: Communications), Fahrenheit 212(Advisor: General), Herbert Mines Associates(Placement Agent), Iris Concise(Advisor: General), Lexport(Legal Advisor), Meriwether Group(Advisor: General), Miebach Consulting(Consulting), Opus Law Group(Legal Advisor), PMG Worldwide(Consulting), Robert K. Futterman &amp; Associates(Consulting), Simon-Kucher &amp; Partners(Consulting), Site Selection Group(Advisor: General), SRi Group(Consulting), SRiCheyenne(Consulting), Telsey Advisory Group(Advisor: General), Valueonshore Advisors(Advisor: General)</t>
        </is>
      </c>
      <c r="BK14" s="209" t="inlineStr">
        <is>
          <t>Bank of America(Advisor: General), Barclays(Advisor: General), Fahrenheit 212(Advisor: General), HSBC Holdings(Advisor: General), Hypovereinsbank(Advisor: General), Royal Bank of Scotland(Advisor: General)</t>
        </is>
      </c>
      <c r="BL14" s="210" t="n">
        <v>36528.0</v>
      </c>
      <c r="BM14" s="211" t="inlineStr">
        <is>
          <t/>
        </is>
      </c>
      <c r="BN14" s="212" t="inlineStr">
        <is>
          <t/>
        </is>
      </c>
      <c r="BO14" s="213" t="inlineStr">
        <is>
          <t/>
        </is>
      </c>
      <c r="BP14" s="214" t="inlineStr">
        <is>
          <t/>
        </is>
      </c>
      <c r="BQ14" s="215" t="inlineStr">
        <is>
          <t>IPO</t>
        </is>
      </c>
      <c r="BR14" s="216" t="inlineStr">
        <is>
          <t/>
        </is>
      </c>
      <c r="BS14" s="217" t="inlineStr">
        <is>
          <t/>
        </is>
      </c>
      <c r="BT14" s="218" t="inlineStr">
        <is>
          <t>Public Investment</t>
        </is>
      </c>
      <c r="BU14" s="219" t="inlineStr">
        <is>
          <t/>
        </is>
      </c>
      <c r="BV14" s="220" t="inlineStr">
        <is>
          <t/>
        </is>
      </c>
      <c r="BW14" s="221" t="inlineStr">
        <is>
          <t/>
        </is>
      </c>
      <c r="BX14" s="222" t="inlineStr">
        <is>
          <t>Completed</t>
        </is>
      </c>
      <c r="BY14" s="223" t="n">
        <v>43438.0</v>
      </c>
      <c r="BZ14" s="224" t="n">
        <v>1000.0</v>
      </c>
      <c r="CA14" s="225" t="inlineStr">
        <is>
          <t>Actual</t>
        </is>
      </c>
      <c r="CB14" s="226" t="n">
        <v>40000.0</v>
      </c>
      <c r="CC14" s="227" t="inlineStr">
        <is>
          <t>Estimated</t>
        </is>
      </c>
      <c r="CD14" s="228" t="inlineStr">
        <is>
          <t>Share Repurchase</t>
        </is>
      </c>
      <c r="CE14" s="229" t="inlineStr">
        <is>
          <t/>
        </is>
      </c>
      <c r="CF14" s="230" t="inlineStr">
        <is>
          <t/>
        </is>
      </c>
      <c r="CG14" s="231" t="inlineStr">
        <is>
          <t>Other</t>
        </is>
      </c>
      <c r="CH14" s="232" t="inlineStr">
        <is>
          <t/>
        </is>
      </c>
      <c r="CI14" s="233" t="inlineStr">
        <is>
          <t/>
        </is>
      </c>
      <c r="CJ14" s="234" t="inlineStr">
        <is>
          <t/>
        </is>
      </c>
      <c r="CK14" s="235" t="inlineStr">
        <is>
          <t>Completed</t>
        </is>
      </c>
      <c r="CL14" s="236" t="inlineStr">
        <is>
          <t/>
        </is>
      </c>
      <c r="CM14" s="237" t="inlineStr">
        <is>
          <t/>
        </is>
      </c>
      <c r="CN14" s="238" t="n">
        <v>-0.85</v>
      </c>
      <c r="CO14" s="239" t="n">
        <v>5.0</v>
      </c>
      <c r="CP14" s="240" t="n">
        <v>0.01</v>
      </c>
      <c r="CQ14" s="241" t="n">
        <v>0.8</v>
      </c>
      <c r="CR14" s="242" t="n">
        <v>-1.75</v>
      </c>
      <c r="CS14" s="243" t="n">
        <v>4.0</v>
      </c>
      <c r="CT14" s="244" t="n">
        <v>0.05</v>
      </c>
      <c r="CU14" s="245" t="n">
        <v>64.0</v>
      </c>
      <c r="CV14" s="246" t="n">
        <v>-2.98</v>
      </c>
      <c r="CW14" s="247" t="n">
        <v>16.0</v>
      </c>
      <c r="CX14" s="248" t="n">
        <v>-0.51</v>
      </c>
      <c r="CY14" s="249" t="n">
        <v>6.0</v>
      </c>
      <c r="CZ14" s="250" t="n">
        <v>0.05</v>
      </c>
      <c r="DA14" s="251" t="n">
        <v>69.0</v>
      </c>
      <c r="DB14" s="252" t="n">
        <v>5009.6</v>
      </c>
      <c r="DC14" s="253" t="n">
        <v>100.0</v>
      </c>
      <c r="DD14" s="254" t="n">
        <v>40.7</v>
      </c>
      <c r="DE14" s="255" t="n">
        <v>0.82</v>
      </c>
      <c r="DF14" s="256" t="n">
        <v>111.74</v>
      </c>
      <c r="DG14" s="257" t="n">
        <v>100.0</v>
      </c>
      <c r="DH14" s="258" t="n">
        <v>9907.47</v>
      </c>
      <c r="DI14" s="259" t="n">
        <v>100.0</v>
      </c>
      <c r="DJ14" s="260" t="n">
        <v>29.42</v>
      </c>
      <c r="DK14" s="261" t="n">
        <v>93.0</v>
      </c>
      <c r="DL14" s="262" t="n">
        <v>194.06</v>
      </c>
      <c r="DM14" s="263" t="n">
        <v>100.0</v>
      </c>
      <c r="DN14" s="264" t="n">
        <v>9907.47</v>
      </c>
      <c r="DO14" s="265" t="n">
        <v>100.0</v>
      </c>
      <c r="DP14" s="266" t="n">
        <v>21067.0</v>
      </c>
      <c r="DQ14" s="267" t="n">
        <v>-846.0</v>
      </c>
      <c r="DR14" s="268" t="n">
        <v>-3.86</v>
      </c>
      <c r="DS14" s="269" t="n">
        <v>6582.0</v>
      </c>
      <c r="DT14" s="270" t="n">
        <v>34.0</v>
      </c>
      <c r="DU14" s="271" t="n">
        <v>0.52</v>
      </c>
      <c r="DV14" s="272" t="n">
        <v>3556475.0</v>
      </c>
      <c r="DW14" s="273" t="n">
        <v>1047.0</v>
      </c>
      <c r="DX14" s="274" t="n">
        <v>0.03</v>
      </c>
      <c r="DY14" s="275" t="inlineStr">
        <is>
          <t>PitchBook Research</t>
        </is>
      </c>
      <c r="DZ14" s="276" t="n">
        <v>43540.0</v>
      </c>
      <c r="EA14" s="277" t="n">
        <v>40000.0</v>
      </c>
      <c r="EB14" s="278" t="n">
        <v>43438.0</v>
      </c>
      <c r="EC14" s="279" t="inlineStr">
        <is>
          <t>Share Repurchase</t>
        </is>
      </c>
      <c r="ED14" s="548">
        <f>HYPERLINK("https://my.pitchbook.com?c=11345-77", "View company online")</f>
      </c>
    </row>
    <row r="15">
      <c r="A15" s="13" t="inlineStr">
        <is>
          <t>59230-63</t>
        </is>
      </c>
      <c r="B15" s="14" t="inlineStr">
        <is>
          <t>H &amp; M Hennes &amp; Mauritz (STO: HM B)</t>
        </is>
      </c>
      <c r="C15" s="15" t="inlineStr">
        <is>
          <t/>
        </is>
      </c>
      <c r="D15" s="16" t="inlineStr">
        <is>
          <t>H&amp;M</t>
        </is>
      </c>
      <c r="E15" s="17" t="inlineStr">
        <is>
          <t>59230-63</t>
        </is>
      </c>
      <c r="F15" s="18" t="inlineStr">
        <is>
          <t>Hennes &amp; Mauritz is a global multibrand fashion conglomerate that was founded in 1947. Its flagship H&amp;M brand accounts for the vast majority of revenue (93%), but the newer brands (COS, &amp;Other Stories, Monki, Weekday, Cheap Monday, and newly launched Arket) are growing more quickly. H&amp;M commands around 1.7% market share in a fragmented global apparel market. Just under 70% of revenue is generated in Europe and Africa, 14% in Asia and Oceania, and 17% in North and South America. The company operates 4,739 stores globally (64% of those in Europe), of which 4,288 are H&amp;M-brand stores.</t>
        </is>
      </c>
      <c r="G15" s="19" t="inlineStr">
        <is>
          <t>Business Products and Services (B2B)</t>
        </is>
      </c>
      <c r="H15" s="20" t="inlineStr">
        <is>
          <t>Commercial Services</t>
        </is>
      </c>
      <c r="I15" s="21" t="inlineStr">
        <is>
          <t>Other Commercial Services</t>
        </is>
      </c>
      <c r="J15" s="22" t="inlineStr">
        <is>
          <t>Clothing, Footwear, Other Commercial Services*, Other Retail</t>
        </is>
      </c>
      <c r="K15" s="23" t="inlineStr">
        <is>
          <t/>
        </is>
      </c>
      <c r="L15" s="24" t="inlineStr">
        <is>
          <t>clothing items, fashion branding, fashion retailing</t>
        </is>
      </c>
      <c r="M15" s="25" t="inlineStr">
        <is>
          <t>Formerly PE-Backed</t>
        </is>
      </c>
      <c r="N15" s="26" t="inlineStr">
        <is>
          <t/>
        </is>
      </c>
      <c r="O15" s="27" t="inlineStr">
        <is>
          <t>Profitable</t>
        </is>
      </c>
      <c r="P15" s="28" t="inlineStr">
        <is>
          <t>Publicly Held</t>
        </is>
      </c>
      <c r="Q15" s="29" t="inlineStr">
        <is>
          <t>Private Equity, Publicly Listed</t>
        </is>
      </c>
      <c r="R15" s="30" t="inlineStr">
        <is>
          <t>www.hm.com</t>
        </is>
      </c>
      <c r="S15" s="31" t="n">
        <v>171000.0</v>
      </c>
      <c r="T15" s="32" t="inlineStr">
        <is>
          <t>2006: 104000, 2008: 53430, 2009: 53476, 2010: 59440, 2011: 87000, 2012: 94000, 2013: 104000, 2014: 116000, 2015: 132000, 2016: 161000, 2017: 161000, 2018: 171000</t>
        </is>
      </c>
      <c r="U15" s="33" t="inlineStr">
        <is>
          <t>STO</t>
        </is>
      </c>
      <c r="V15" s="34" t="inlineStr">
        <is>
          <t>HM B</t>
        </is>
      </c>
      <c r="W15" s="35" t="n">
        <v>1947.0</v>
      </c>
      <c r="X15" s="36" t="inlineStr">
        <is>
          <t/>
        </is>
      </c>
      <c r="Y15" s="37" t="inlineStr">
        <is>
          <t/>
        </is>
      </c>
      <c r="Z15" s="38" t="inlineStr">
        <is>
          <t>News (New) </t>
        </is>
      </c>
      <c r="AA15" s="39" t="n">
        <v>24217.81</v>
      </c>
      <c r="AB15" s="40" t="n">
        <v>12823.08</v>
      </c>
      <c r="AC15" s="41" t="n">
        <v>1552.41</v>
      </c>
      <c r="AD15" s="42" t="n">
        <v>25599.72</v>
      </c>
      <c r="AE15" s="43" t="n">
        <v>2728.74</v>
      </c>
      <c r="AF15" s="44" t="inlineStr">
        <is>
          <t>TTM 3Q2018</t>
        </is>
      </c>
      <c r="AG15" s="45" t="n">
        <v>1897.21</v>
      </c>
      <c r="AH15" s="46" t="n">
        <v>27425.14</v>
      </c>
      <c r="AI15" s="47" t="n">
        <v>-1530.76</v>
      </c>
      <c r="AJ15" s="48" t="inlineStr">
        <is>
          <t>54401-23P</t>
        </is>
      </c>
      <c r="AK15" s="49" t="inlineStr">
        <is>
          <t>Karl-Johan Persson</t>
        </is>
      </c>
      <c r="AL15" s="50" t="inlineStr">
        <is>
          <t>Chief Executive Officer &amp; Managing Director</t>
        </is>
      </c>
      <c r="AM15" s="51" t="inlineStr">
        <is>
          <t>karl-johan.persson@hm.com</t>
        </is>
      </c>
      <c r="AN15" s="52" t="inlineStr">
        <is>
          <t>+46 (0)87965500</t>
        </is>
      </c>
      <c r="AO15" s="53" t="inlineStr">
        <is>
          <t>Stockholm, Sweden</t>
        </is>
      </c>
      <c r="AP15" s="54" t="inlineStr">
        <is>
          <t>Mäster Samuelsgatan 46A</t>
        </is>
      </c>
      <c r="AQ15" s="55" t="inlineStr">
        <is>
          <t/>
        </is>
      </c>
      <c r="AR15" s="56" t="inlineStr">
        <is>
          <t>Stockholm</t>
        </is>
      </c>
      <c r="AS15" s="57" t="inlineStr">
        <is>
          <t/>
        </is>
      </c>
      <c r="AT15" s="58" t="inlineStr">
        <is>
          <t>106 38</t>
        </is>
      </c>
      <c r="AU15" s="59" t="inlineStr">
        <is>
          <t>Sweden</t>
        </is>
      </c>
      <c r="AV15" s="60" t="inlineStr">
        <is>
          <t>+46 (0)87965500</t>
        </is>
      </c>
      <c r="AW15" s="61" t="inlineStr">
        <is>
          <t>+46 (0)8209919</t>
        </is>
      </c>
      <c r="AX15" s="62" t="inlineStr">
        <is>
          <t>info@hm.com</t>
        </is>
      </c>
      <c r="AY15" s="63" t="inlineStr">
        <is>
          <t>Europe</t>
        </is>
      </c>
      <c r="AZ15" s="64" t="inlineStr">
        <is>
          <t>Northern Europe</t>
        </is>
      </c>
      <c r="BA15" s="65" t="inlineStr">
        <is>
          <t>The Carlyle Group sold shares of the company's (STO: H&amp;M B) common stock on an undisclosed date.</t>
        </is>
      </c>
      <c r="BB15" s="66" t="inlineStr">
        <is>
          <t/>
        </is>
      </c>
      <c r="BC15" s="67" t="inlineStr">
        <is>
          <t/>
        </is>
      </c>
      <c r="BD15" s="68" t="inlineStr">
        <is>
          <t/>
        </is>
      </c>
      <c r="BE15" s="69" t="inlineStr">
        <is>
          <t>The Carlyle Group</t>
        </is>
      </c>
      <c r="BF15" s="70" t="inlineStr">
        <is>
          <t/>
        </is>
      </c>
      <c r="BG15" s="71" t="inlineStr">
        <is>
          <t/>
        </is>
      </c>
      <c r="BH15" s="72" t="inlineStr">
        <is>
          <t>The Carlyle Group(www.carlyle.com)</t>
        </is>
      </c>
      <c r="BI15" s="73" t="inlineStr">
        <is>
          <t/>
        </is>
      </c>
      <c r="BJ15" s="74" t="inlineStr">
        <is>
          <t>Miebach Consulting(Consulting), Robert K. Futterman &amp; Associates(Consulting), Telsey Advisory Group(Advisor: General)</t>
        </is>
      </c>
      <c r="BK15" s="75" t="inlineStr">
        <is>
          <t/>
        </is>
      </c>
      <c r="BL15" s="76" t="n">
        <v>27030.0</v>
      </c>
      <c r="BM15" s="77" t="inlineStr">
        <is>
          <t/>
        </is>
      </c>
      <c r="BN15" s="78" t="inlineStr">
        <is>
          <t/>
        </is>
      </c>
      <c r="BO15" s="79" t="inlineStr">
        <is>
          <t/>
        </is>
      </c>
      <c r="BP15" s="80" t="inlineStr">
        <is>
          <t/>
        </is>
      </c>
      <c r="BQ15" s="81" t="inlineStr">
        <is>
          <t>IPO</t>
        </is>
      </c>
      <c r="BR15" s="82" t="inlineStr">
        <is>
          <t/>
        </is>
      </c>
      <c r="BS15" s="83" t="inlineStr">
        <is>
          <t/>
        </is>
      </c>
      <c r="BT15" s="84" t="inlineStr">
        <is>
          <t>Public Investment</t>
        </is>
      </c>
      <c r="BU15" s="85" t="inlineStr">
        <is>
          <t/>
        </is>
      </c>
      <c r="BV15" s="86" t="inlineStr">
        <is>
          <t/>
        </is>
      </c>
      <c r="BW15" s="87" t="inlineStr">
        <is>
          <t/>
        </is>
      </c>
      <c r="BX15" s="88" t="inlineStr">
        <is>
          <t>Completed</t>
        </is>
      </c>
      <c r="BY15" s="89" t="inlineStr">
        <is>
          <t/>
        </is>
      </c>
      <c r="BZ15" s="90" t="inlineStr">
        <is>
          <t/>
        </is>
      </c>
      <c r="CA15" s="91" t="inlineStr">
        <is>
          <t/>
        </is>
      </c>
      <c r="CB15" s="92" t="inlineStr">
        <is>
          <t/>
        </is>
      </c>
      <c r="CC15" s="93" t="inlineStr">
        <is>
          <t/>
        </is>
      </c>
      <c r="CD15" s="94" t="inlineStr">
        <is>
          <t>Secondary Transaction - Open Market</t>
        </is>
      </c>
      <c r="CE15" s="95" t="inlineStr">
        <is>
          <t/>
        </is>
      </c>
      <c r="CF15" s="96" t="inlineStr">
        <is>
          <t/>
        </is>
      </c>
      <c r="CG15" s="97" t="inlineStr">
        <is>
          <t>Private Equity</t>
        </is>
      </c>
      <c r="CH15" s="98" t="inlineStr">
        <is>
          <t/>
        </is>
      </c>
      <c r="CI15" s="99" t="inlineStr">
        <is>
          <t/>
        </is>
      </c>
      <c r="CJ15" s="100" t="inlineStr">
        <is>
          <t/>
        </is>
      </c>
      <c r="CK15" s="101" t="inlineStr">
        <is>
          <t>Completed</t>
        </is>
      </c>
      <c r="CL15" s="102" t="inlineStr">
        <is>
          <t/>
        </is>
      </c>
      <c r="CM15" s="103" t="inlineStr">
        <is>
          <t/>
        </is>
      </c>
      <c r="CN15" s="104" t="n">
        <v>-0.3</v>
      </c>
      <c r="CO15" s="105" t="n">
        <v>9.0</v>
      </c>
      <c r="CP15" s="106" t="n">
        <v>0.0</v>
      </c>
      <c r="CQ15" s="107" t="n">
        <v>0.85</v>
      </c>
      <c r="CR15" s="108" t="n">
        <v>-0.9</v>
      </c>
      <c r="CS15" s="109" t="n">
        <v>7.0</v>
      </c>
      <c r="CT15" s="110" t="n">
        <v>0.0</v>
      </c>
      <c r="CU15" s="111" t="n">
        <v>27.0</v>
      </c>
      <c r="CV15" s="112" t="n">
        <v>-1.99</v>
      </c>
      <c r="CW15" s="113" t="n">
        <v>21.0</v>
      </c>
      <c r="CX15" s="114" t="n">
        <v>0.19</v>
      </c>
      <c r="CY15" s="115" t="n">
        <v>88.0</v>
      </c>
      <c r="CZ15" s="116" t="n">
        <v>-0.04</v>
      </c>
      <c r="DA15" s="117" t="n">
        <v>21.0</v>
      </c>
      <c r="DB15" s="118" t="n">
        <v>11243.39</v>
      </c>
      <c r="DC15" s="119" t="n">
        <v>100.0</v>
      </c>
      <c r="DD15" s="120" t="n">
        <v>110.8</v>
      </c>
      <c r="DE15" s="121" t="n">
        <v>1.0</v>
      </c>
      <c r="DF15" s="122" t="n">
        <v>1167.98</v>
      </c>
      <c r="DG15" s="123" t="n">
        <v>100.0</v>
      </c>
      <c r="DH15" s="124" t="n">
        <v>31928.86</v>
      </c>
      <c r="DI15" s="125" t="n">
        <v>100.0</v>
      </c>
      <c r="DJ15" s="126" t="n">
        <v>480.69</v>
      </c>
      <c r="DK15" s="127" t="n">
        <v>100.0</v>
      </c>
      <c r="DL15" s="128" t="n">
        <v>1855.26</v>
      </c>
      <c r="DM15" s="129" t="n">
        <v>100.0</v>
      </c>
      <c r="DN15" s="130" t="n">
        <v>23590.16</v>
      </c>
      <c r="DO15" s="131" t="n">
        <v>100.0</v>
      </c>
      <c r="DP15" s="132" t="n">
        <v>345260.0</v>
      </c>
      <c r="DQ15" s="133" t="n">
        <v>-22775.0</v>
      </c>
      <c r="DR15" s="134" t="n">
        <v>-6.19</v>
      </c>
      <c r="DS15" s="135" t="n">
        <v>62975.0</v>
      </c>
      <c r="DT15" s="136" t="n">
        <v>212.0</v>
      </c>
      <c r="DU15" s="137" t="n">
        <v>0.34</v>
      </c>
      <c r="DV15" s="138" t="n">
        <v>8472167.0</v>
      </c>
      <c r="DW15" s="139" t="n">
        <v>-7725.0</v>
      </c>
      <c r="DX15" s="140" t="n">
        <v>-0.09</v>
      </c>
      <c r="DY15" s="141" t="inlineStr">
        <is>
          <t>PitchBook Research</t>
        </is>
      </c>
      <c r="DZ15" s="142" t="n">
        <v>43501.0</v>
      </c>
      <c r="EA15" s="143" t="inlineStr">
        <is>
          <t/>
        </is>
      </c>
      <c r="EB15" s="144" t="inlineStr">
        <is>
          <t/>
        </is>
      </c>
      <c r="EC15" s="145" t="inlineStr">
        <is>
          <t/>
        </is>
      </c>
      <c r="ED15" s="547">
        <f>HYPERLINK("https://my.pitchbook.com?c=59230-63", "View company online")</f>
      </c>
    </row>
    <row r="16">
      <c r="A16" s="147" t="inlineStr">
        <is>
          <t>226464-22</t>
        </is>
      </c>
      <c r="B16" s="148" t="inlineStr">
        <is>
          <t>Zara</t>
        </is>
      </c>
      <c r="C16" s="149" t="inlineStr">
        <is>
          <t/>
        </is>
      </c>
      <c r="D16" s="150" t="inlineStr">
        <is>
          <t/>
        </is>
      </c>
      <c r="E16" s="151" t="inlineStr">
        <is>
          <t>226464-22</t>
        </is>
      </c>
      <c r="F16" s="152" t="inlineStr">
        <is>
          <t>Retailer of men and women fast fashion clothing. The company offers a diverse variety of clothing range and also provides delivery of purchased items at specific destinations, enabling consumers to access fast fashion at a reasonable price.</t>
        </is>
      </c>
      <c r="G16" s="153" t="inlineStr">
        <is>
          <t>Consumer Products and Services (B2C)</t>
        </is>
      </c>
      <c r="H16" s="154" t="inlineStr">
        <is>
          <t>Apparel and Accessories</t>
        </is>
      </c>
      <c r="I16" s="155" t="inlineStr">
        <is>
          <t>Clothing</t>
        </is>
      </c>
      <c r="J16" s="156" t="inlineStr">
        <is>
          <t>Accessories, Clothing*</t>
        </is>
      </c>
      <c r="K16" s="157" t="inlineStr">
        <is>
          <t>E-Commerce</t>
        </is>
      </c>
      <c r="L16" s="158" t="inlineStr">
        <is>
          <t>clothing chian, clothing stores chain, online clothing</t>
        </is>
      </c>
      <c r="M16" s="159" t="inlineStr">
        <is>
          <t>Corporation</t>
        </is>
      </c>
      <c r="N16" s="160" t="inlineStr">
        <is>
          <t/>
        </is>
      </c>
      <c r="O16" s="161" t="inlineStr">
        <is>
          <t>Generating Revenue</t>
        </is>
      </c>
      <c r="P16" s="162" t="inlineStr">
        <is>
          <t>Privately Held (no backing)</t>
        </is>
      </c>
      <c r="Q16" s="163" t="inlineStr">
        <is>
          <t>Other Private Companies</t>
        </is>
      </c>
      <c r="R16" s="164" t="inlineStr">
        <is>
          <t>www.zara.com</t>
        </is>
      </c>
      <c r="S16" s="165" t="inlineStr">
        <is>
          <t/>
        </is>
      </c>
      <c r="T16" s="166" t="inlineStr">
        <is>
          <t/>
        </is>
      </c>
      <c r="U16" s="167" t="inlineStr">
        <is>
          <t/>
        </is>
      </c>
      <c r="V16" s="168" t="inlineStr">
        <is>
          <t/>
        </is>
      </c>
      <c r="W16" s="169" t="n">
        <v>1974.0</v>
      </c>
      <c r="X16" s="170" t="inlineStr">
        <is>
          <t>Industria de Diseño Textil</t>
        </is>
      </c>
      <c r="Y16" s="171" t="inlineStr">
        <is>
          <t/>
        </is>
      </c>
      <c r="Z16" s="172" t="inlineStr">
        <is>
          <t>Competitor (New) UNIQLO Company</t>
        </is>
      </c>
      <c r="AA16" s="173" t="n">
        <v>20450.04</v>
      </c>
      <c r="AB16" s="174" t="inlineStr">
        <is>
          <t/>
        </is>
      </c>
      <c r="AC16" s="175" t="inlineStr">
        <is>
          <t/>
        </is>
      </c>
      <c r="AD16" s="176" t="inlineStr">
        <is>
          <t/>
        </is>
      </c>
      <c r="AE16" s="177" t="inlineStr">
        <is>
          <t/>
        </is>
      </c>
      <c r="AF16" s="178" t="inlineStr">
        <is>
          <t>FY 2019</t>
        </is>
      </c>
      <c r="AG16" s="179" t="inlineStr">
        <is>
          <t/>
        </is>
      </c>
      <c r="AH16" s="180" t="inlineStr">
        <is>
          <t/>
        </is>
      </c>
      <c r="AI16" s="181" t="inlineStr">
        <is>
          <t/>
        </is>
      </c>
      <c r="AJ16" s="182" t="inlineStr">
        <is>
          <t>197541-64P</t>
        </is>
      </c>
      <c r="AK16" s="183" t="inlineStr">
        <is>
          <t>Oscar Perez Marcote</t>
        </is>
      </c>
      <c r="AL16" s="184" t="inlineStr">
        <is>
          <t>Chief Executive Officer</t>
        </is>
      </c>
      <c r="AM16" s="185" t="inlineStr">
        <is>
          <t/>
        </is>
      </c>
      <c r="AN16" s="186" t="inlineStr">
        <is>
          <t>+34 98 118 5400</t>
        </is>
      </c>
      <c r="AO16" s="187" t="inlineStr">
        <is>
          <t>A Coruña, Spain</t>
        </is>
      </c>
      <c r="AP16" s="188" t="inlineStr">
        <is>
          <t>Avenida de la Diputación s/n</t>
        </is>
      </c>
      <c r="AQ16" s="189" t="inlineStr">
        <is>
          <t>Arteixo</t>
        </is>
      </c>
      <c r="AR16" s="190" t="inlineStr">
        <is>
          <t>A Coruña</t>
        </is>
      </c>
      <c r="AS16" s="191" t="inlineStr">
        <is>
          <t/>
        </is>
      </c>
      <c r="AT16" s="192" t="inlineStr">
        <is>
          <t>15142</t>
        </is>
      </c>
      <c r="AU16" s="193" t="inlineStr">
        <is>
          <t>Spain</t>
        </is>
      </c>
      <c r="AV16" s="194" t="inlineStr">
        <is>
          <t>+34 98 118 5400</t>
        </is>
      </c>
      <c r="AW16" s="195" t="inlineStr">
        <is>
          <t/>
        </is>
      </c>
      <c r="AX16" s="196" t="inlineStr">
        <is>
          <t>contact@zara.com</t>
        </is>
      </c>
      <c r="AY16" s="197" t="inlineStr">
        <is>
          <t>Europe</t>
        </is>
      </c>
      <c r="AZ16" s="198" t="inlineStr">
        <is>
          <t>Southern Europe</t>
        </is>
      </c>
      <c r="BA16" s="199" t="inlineStr">
        <is>
          <t/>
        </is>
      </c>
      <c r="BB16" s="200" t="inlineStr">
        <is>
          <t/>
        </is>
      </c>
      <c r="BC16" s="201" t="inlineStr">
        <is>
          <t/>
        </is>
      </c>
      <c r="BD16" s="202" t="inlineStr">
        <is>
          <t/>
        </is>
      </c>
      <c r="BE16" s="203" t="inlineStr">
        <is>
          <t/>
        </is>
      </c>
      <c r="BF16" s="204" t="inlineStr">
        <is>
          <t/>
        </is>
      </c>
      <c r="BG16" s="205" t="inlineStr">
        <is>
          <t/>
        </is>
      </c>
      <c r="BH16" s="206" t="inlineStr">
        <is>
          <t/>
        </is>
      </c>
      <c r="BI16" s="207" t="inlineStr">
        <is>
          <t/>
        </is>
      </c>
      <c r="BJ16" s="208" t="inlineStr">
        <is>
          <t>Cowan, Liebowitz &amp; Latman(Legal Advisor)</t>
        </is>
      </c>
      <c r="BK16" s="209" t="inlineStr">
        <is>
          <t/>
        </is>
      </c>
      <c r="BL16" s="210" t="inlineStr">
        <is>
          <t/>
        </is>
      </c>
      <c r="BM16" s="211" t="inlineStr">
        <is>
          <t/>
        </is>
      </c>
      <c r="BN16" s="212" t="inlineStr">
        <is>
          <t/>
        </is>
      </c>
      <c r="BO16" s="213" t="inlineStr">
        <is>
          <t/>
        </is>
      </c>
      <c r="BP16" s="214" t="inlineStr">
        <is>
          <t/>
        </is>
      </c>
      <c r="BQ16" s="215" t="inlineStr">
        <is>
          <t/>
        </is>
      </c>
      <c r="BR16" s="216" t="inlineStr">
        <is>
          <t/>
        </is>
      </c>
      <c r="BS16" s="217" t="inlineStr">
        <is>
          <t/>
        </is>
      </c>
      <c r="BT16" s="218" t="inlineStr">
        <is>
          <t/>
        </is>
      </c>
      <c r="BU16" s="219" t="inlineStr">
        <is>
          <t/>
        </is>
      </c>
      <c r="BV16" s="220" t="inlineStr">
        <is>
          <t/>
        </is>
      </c>
      <c r="BW16" s="221" t="inlineStr">
        <is>
          <t/>
        </is>
      </c>
      <c r="BX16" s="222" t="inlineStr">
        <is>
          <t/>
        </is>
      </c>
      <c r="BY16" s="223" t="inlineStr">
        <is>
          <t/>
        </is>
      </c>
      <c r="BZ16" s="224" t="inlineStr">
        <is>
          <t/>
        </is>
      </c>
      <c r="CA16" s="225" t="inlineStr">
        <is>
          <t/>
        </is>
      </c>
      <c r="CB16" s="226" t="inlineStr">
        <is>
          <t/>
        </is>
      </c>
      <c r="CC16" s="227" t="inlineStr">
        <is>
          <t/>
        </is>
      </c>
      <c r="CD16" s="228" t="inlineStr">
        <is>
          <t/>
        </is>
      </c>
      <c r="CE16" s="229" t="inlineStr">
        <is>
          <t/>
        </is>
      </c>
      <c r="CF16" s="230" t="inlineStr">
        <is>
          <t/>
        </is>
      </c>
      <c r="CG16" s="231" t="inlineStr">
        <is>
          <t/>
        </is>
      </c>
      <c r="CH16" s="232" t="inlineStr">
        <is>
          <t/>
        </is>
      </c>
      <c r="CI16" s="233" t="inlineStr">
        <is>
          <t/>
        </is>
      </c>
      <c r="CJ16" s="234" t="inlineStr">
        <is>
          <t/>
        </is>
      </c>
      <c r="CK16" s="235" t="inlineStr">
        <is>
          <t/>
        </is>
      </c>
      <c r="CL16" s="236" t="inlineStr">
        <is>
          <t/>
        </is>
      </c>
      <c r="CM16" s="237" t="inlineStr">
        <is>
          <t/>
        </is>
      </c>
      <c r="CN16" s="238" t="n">
        <v>0.07</v>
      </c>
      <c r="CO16" s="239" t="n">
        <v>83.0</v>
      </c>
      <c r="CP16" s="240" t="n">
        <v>0.0</v>
      </c>
      <c r="CQ16" s="241" t="n">
        <v>-3.82</v>
      </c>
      <c r="CR16" s="242" t="n">
        <v>0.13</v>
      </c>
      <c r="CS16" s="243" t="n">
        <v>88.0</v>
      </c>
      <c r="CT16" s="244" t="n">
        <v>0.01</v>
      </c>
      <c r="CU16" s="245" t="n">
        <v>56.0</v>
      </c>
      <c r="CV16" s="246" t="n">
        <v>-0.09</v>
      </c>
      <c r="CW16" s="247" t="n">
        <v>32.0</v>
      </c>
      <c r="CX16" s="248" t="n">
        <v>0.35</v>
      </c>
      <c r="CY16" s="249" t="n">
        <v>92.0</v>
      </c>
      <c r="CZ16" s="250" t="n">
        <v>0.01</v>
      </c>
      <c r="DA16" s="251" t="n">
        <v>63.0</v>
      </c>
      <c r="DB16" s="252" t="n">
        <v>2802.9</v>
      </c>
      <c r="DC16" s="253" t="n">
        <v>100.0</v>
      </c>
      <c r="DD16" s="254" t="n">
        <v>123.78</v>
      </c>
      <c r="DE16" s="255" t="n">
        <v>4.62</v>
      </c>
      <c r="DF16" s="256" t="n">
        <v>1954.74</v>
      </c>
      <c r="DG16" s="257" t="n">
        <v>100.0</v>
      </c>
      <c r="DH16" s="258" t="n">
        <v>3651.06</v>
      </c>
      <c r="DI16" s="259" t="n">
        <v>100.0</v>
      </c>
      <c r="DJ16" s="260" t="n">
        <v>2081.7</v>
      </c>
      <c r="DK16" s="261" t="n">
        <v>100.0</v>
      </c>
      <c r="DL16" s="262" t="n">
        <v>1827.79</v>
      </c>
      <c r="DM16" s="263" t="n">
        <v>100.0</v>
      </c>
      <c r="DN16" s="264" t="n">
        <v>3651.06</v>
      </c>
      <c r="DO16" s="265" t="n">
        <v>100.0</v>
      </c>
      <c r="DP16" s="266" t="n">
        <v>1491843.0</v>
      </c>
      <c r="DQ16" s="267" t="n">
        <v>-68346.0</v>
      </c>
      <c r="DR16" s="268" t="n">
        <v>-4.38</v>
      </c>
      <c r="DS16" s="269" t="n">
        <v>61965.0</v>
      </c>
      <c r="DT16" s="270" t="n">
        <v>371.0</v>
      </c>
      <c r="DU16" s="271" t="n">
        <v>0.6</v>
      </c>
      <c r="DV16" s="272" t="n">
        <v>1310856.0</v>
      </c>
      <c r="DW16" s="273" t="n">
        <v>-287.0</v>
      </c>
      <c r="DX16" s="274" t="n">
        <v>-0.02</v>
      </c>
      <c r="DY16" s="275" t="inlineStr">
        <is>
          <t>PitchBook Research</t>
        </is>
      </c>
      <c r="DZ16" s="276" t="n">
        <v>43490.0</v>
      </c>
      <c r="EA16" s="277" t="inlineStr">
        <is>
          <t/>
        </is>
      </c>
      <c r="EB16" s="278" t="inlineStr">
        <is>
          <t/>
        </is>
      </c>
      <c r="EC16" s="279" t="inlineStr">
        <is>
          <t/>
        </is>
      </c>
      <c r="ED16" s="548">
        <f>HYPERLINK("https://my.pitchbook.com?c=226464-22", "View company online")</f>
      </c>
    </row>
    <row r="17">
      <c r="A17" s="13" t="inlineStr">
        <is>
          <t>55696-96</t>
        </is>
      </c>
      <c r="B17" s="14" t="inlineStr">
        <is>
          <t>Fast Retailing Company (TKS: 9983)</t>
        </is>
      </c>
      <c r="C17" s="15" t="inlineStr">
        <is>
          <t/>
        </is>
      </c>
      <c r="D17" s="16" t="inlineStr">
        <is>
          <t>Fast Retailing, Fast Retailing Company (Japan)</t>
        </is>
      </c>
      <c r="E17" s="17" t="inlineStr">
        <is>
          <t>55696-96</t>
        </is>
      </c>
      <c r="F17" s="18" t="inlineStr">
        <is>
          <t>Fast Retailing is Japan's largest apparel company, operating the casualwear retail chain Uniqlo, known for its high-quality functional apparel at reasonable prices. The business is founded on a private-label apparel model whereby Fast Retailing is in charge of product design, production, and sales. Fast Retailing is ranked the third-largest apparel company by sales globally, thanks to expansion of Uniqlo, which contributes more than 80% of group sales and 90% of profits. As at the end of May 2018, it runs 3,437 stores globally, including 833 and 1209 Uniqlo stores in Japan and overseas, respectively. Other brands in its portfolio include fast-fashion label GU and acquired brands including Theory, Comptoir des Cotonniers, Princesse Tam Tam (French lingerie), and J Brand (premium denim).</t>
        </is>
      </c>
      <c r="G17" s="19" t="inlineStr">
        <is>
          <t>Financial Services</t>
        </is>
      </c>
      <c r="H17" s="20" t="inlineStr">
        <is>
          <t>Other Financial Services</t>
        </is>
      </c>
      <c r="I17" s="21" t="inlineStr">
        <is>
          <t>Holding Companies</t>
        </is>
      </c>
      <c r="J17" s="22" t="inlineStr">
        <is>
          <t>Holding Companies*, Other Apparel, Specialty Retail</t>
        </is>
      </c>
      <c r="K17" s="23" t="inlineStr">
        <is>
          <t/>
        </is>
      </c>
      <c r="L17" s="24" t="inlineStr">
        <is>
          <t>apparel, fashion branding, retail, retail holding, retail holding company</t>
        </is>
      </c>
      <c r="M17" s="25" t="inlineStr">
        <is>
          <t>Corporation</t>
        </is>
      </c>
      <c r="N17" s="26" t="inlineStr">
        <is>
          <t/>
        </is>
      </c>
      <c r="O17" s="27" t="inlineStr">
        <is>
          <t>Profitable</t>
        </is>
      </c>
      <c r="P17" s="28" t="inlineStr">
        <is>
          <t>Publicly Held</t>
        </is>
      </c>
      <c r="Q17" s="29" t="inlineStr">
        <is>
          <t>Publicly Listed</t>
        </is>
      </c>
      <c r="R17" s="30" t="inlineStr">
        <is>
          <t>www.fastretailing.com</t>
        </is>
      </c>
      <c r="S17" s="31" t="n">
        <v>124679.0</v>
      </c>
      <c r="T17" s="32" t="inlineStr">
        <is>
          <t>2002: 1853, 2004: 1822, 2005: 2668, 2006: 3990, 2007: 6514, 2008: 8054, 2009: 11037, 2010: 11596, 2011: 14612, 2012: 18854, 2013: 23982, 2014: 30448, 2015: 41646, 2016: 43639, 2017: 76143, 2018: 124679</t>
        </is>
      </c>
      <c r="U17" s="33" t="inlineStr">
        <is>
          <t>TKS</t>
        </is>
      </c>
      <c r="V17" s="34" t="inlineStr">
        <is>
          <t>9983</t>
        </is>
      </c>
      <c r="W17" s="35" t="n">
        <v>1949.0</v>
      </c>
      <c r="X17" s="36" t="inlineStr">
        <is>
          <t/>
        </is>
      </c>
      <c r="Y17" s="37" t="inlineStr">
        <is>
          <t/>
        </is>
      </c>
      <c r="Z17" s="38" t="inlineStr">
        <is>
          <t/>
        </is>
      </c>
      <c r="AA17" s="39" t="n">
        <v>19525.05</v>
      </c>
      <c r="AB17" s="40" t="n">
        <v>9571.83</v>
      </c>
      <c r="AC17" s="41" t="n">
        <v>1355.21</v>
      </c>
      <c r="AD17" s="42" t="n">
        <v>44137.47</v>
      </c>
      <c r="AE17" s="43" t="n">
        <v>2640.54</v>
      </c>
      <c r="AF17" s="44" t="inlineStr">
        <is>
          <t>TTM 1Q2019</t>
        </is>
      </c>
      <c r="AG17" s="45" t="n">
        <v>2214.2</v>
      </c>
      <c r="AH17" s="46" t="n">
        <v>49456.06</v>
      </c>
      <c r="AI17" s="47" t="n">
        <v>-3268.0</v>
      </c>
      <c r="AJ17" s="48" t="inlineStr">
        <is>
          <t>44563-60P</t>
        </is>
      </c>
      <c r="AK17" s="49" t="inlineStr">
        <is>
          <t>Tadashi Yanai</t>
        </is>
      </c>
      <c r="AL17" s="50" t="inlineStr">
        <is>
          <t>President, Director, Chief Executive Officer and Chairman</t>
        </is>
      </c>
      <c r="AM17" s="51" t="inlineStr">
        <is>
          <t/>
        </is>
      </c>
      <c r="AN17" s="52" t="inlineStr">
        <is>
          <t/>
        </is>
      </c>
      <c r="AO17" s="53" t="inlineStr">
        <is>
          <t>Yamaguchi City, Japan</t>
        </is>
      </c>
      <c r="AP17" s="54" t="inlineStr">
        <is>
          <t>717-1, Sayama</t>
        </is>
      </c>
      <c r="AQ17" s="55" t="inlineStr">
        <is>
          <t/>
        </is>
      </c>
      <c r="AR17" s="56" t="inlineStr">
        <is>
          <t>Yamaguchi City</t>
        </is>
      </c>
      <c r="AS17" s="57" t="inlineStr">
        <is>
          <t>Yamaguchi</t>
        </is>
      </c>
      <c r="AT17" s="58" t="inlineStr">
        <is>
          <t>754-0894</t>
        </is>
      </c>
      <c r="AU17" s="59" t="inlineStr">
        <is>
          <t>Japan</t>
        </is>
      </c>
      <c r="AV17" s="60" t="inlineStr">
        <is>
          <t/>
        </is>
      </c>
      <c r="AW17" s="61" t="inlineStr">
        <is>
          <t/>
        </is>
      </c>
      <c r="AX17" s="62" t="inlineStr">
        <is>
          <t/>
        </is>
      </c>
      <c r="AY17" s="63" t="inlineStr">
        <is>
          <t>Asia</t>
        </is>
      </c>
      <c r="AZ17" s="64" t="inlineStr">
        <is>
          <t>East Asia</t>
        </is>
      </c>
      <c r="BA17" s="65" t="inlineStr">
        <is>
          <t>The company underwent an Initial Public Offering on the Hiroshima stock Exchange in July 1994.</t>
        </is>
      </c>
      <c r="BB17" s="66" t="inlineStr">
        <is>
          <t/>
        </is>
      </c>
      <c r="BC17" s="67" t="inlineStr">
        <is>
          <t/>
        </is>
      </c>
      <c r="BD17" s="68" t="inlineStr">
        <is>
          <t/>
        </is>
      </c>
      <c r="BE17" s="69" t="inlineStr">
        <is>
          <t/>
        </is>
      </c>
      <c r="BF17" s="70" t="inlineStr">
        <is>
          <t/>
        </is>
      </c>
      <c r="BG17" s="71" t="inlineStr">
        <is>
          <t/>
        </is>
      </c>
      <c r="BH17" s="72" t="inlineStr">
        <is>
          <t/>
        </is>
      </c>
      <c r="BI17" s="73" t="inlineStr">
        <is>
          <t/>
        </is>
      </c>
      <c r="BJ17" s="74" t="inlineStr">
        <is>
          <t/>
        </is>
      </c>
      <c r="BK17" s="75" t="inlineStr">
        <is>
          <t/>
        </is>
      </c>
      <c r="BL17" s="76" t="n">
        <v>34516.0</v>
      </c>
      <c r="BM17" s="77" t="inlineStr">
        <is>
          <t/>
        </is>
      </c>
      <c r="BN17" s="78" t="inlineStr">
        <is>
          <t/>
        </is>
      </c>
      <c r="BO17" s="79" t="inlineStr">
        <is>
          <t/>
        </is>
      </c>
      <c r="BP17" s="80" t="inlineStr">
        <is>
          <t/>
        </is>
      </c>
      <c r="BQ17" s="81" t="inlineStr">
        <is>
          <t>IPO</t>
        </is>
      </c>
      <c r="BR17" s="82" t="inlineStr">
        <is>
          <t/>
        </is>
      </c>
      <c r="BS17" s="83" t="inlineStr">
        <is>
          <t/>
        </is>
      </c>
      <c r="BT17" s="84" t="inlineStr">
        <is>
          <t>Public Investment</t>
        </is>
      </c>
      <c r="BU17" s="85" t="inlineStr">
        <is>
          <t/>
        </is>
      </c>
      <c r="BV17" s="86" t="inlineStr">
        <is>
          <t/>
        </is>
      </c>
      <c r="BW17" s="87" t="inlineStr">
        <is>
          <t/>
        </is>
      </c>
      <c r="BX17" s="88" t="inlineStr">
        <is>
          <t>Completed</t>
        </is>
      </c>
      <c r="BY17" s="89" t="n">
        <v>34516.0</v>
      </c>
      <c r="BZ17" s="90" t="inlineStr">
        <is>
          <t/>
        </is>
      </c>
      <c r="CA17" s="91" t="inlineStr">
        <is>
          <t/>
        </is>
      </c>
      <c r="CB17" s="92" t="inlineStr">
        <is>
          <t/>
        </is>
      </c>
      <c r="CC17" s="93" t="inlineStr">
        <is>
          <t/>
        </is>
      </c>
      <c r="CD17" s="94" t="inlineStr">
        <is>
          <t>IPO</t>
        </is>
      </c>
      <c r="CE17" s="95" t="inlineStr">
        <is>
          <t/>
        </is>
      </c>
      <c r="CF17" s="96" t="inlineStr">
        <is>
          <t/>
        </is>
      </c>
      <c r="CG17" s="97" t="inlineStr">
        <is>
          <t>Public Investment</t>
        </is>
      </c>
      <c r="CH17" s="98" t="inlineStr">
        <is>
          <t/>
        </is>
      </c>
      <c r="CI17" s="99" t="inlineStr">
        <is>
          <t/>
        </is>
      </c>
      <c r="CJ17" s="100" t="inlineStr">
        <is>
          <t/>
        </is>
      </c>
      <c r="CK17" s="101" t="inlineStr">
        <is>
          <t>Completed</t>
        </is>
      </c>
      <c r="CL17" s="102" t="inlineStr">
        <is>
          <t/>
        </is>
      </c>
      <c r="CM17" s="103" t="inlineStr">
        <is>
          <t/>
        </is>
      </c>
      <c r="CN17" s="104" t="n">
        <v>-0.58</v>
      </c>
      <c r="CO17" s="105" t="n">
        <v>6.0</v>
      </c>
      <c r="CP17" s="106" t="n">
        <v>0.0</v>
      </c>
      <c r="CQ17" s="107" t="n">
        <v>0.49</v>
      </c>
      <c r="CR17" s="108" t="n">
        <v>-2.5</v>
      </c>
      <c r="CS17" s="109" t="n">
        <v>3.0</v>
      </c>
      <c r="CT17" s="110" t="n">
        <v>0.0</v>
      </c>
      <c r="CU17" s="111" t="n">
        <v>27.0</v>
      </c>
      <c r="CV17" s="112" t="n">
        <v>-5.0</v>
      </c>
      <c r="CW17" s="113" t="n">
        <v>9.0</v>
      </c>
      <c r="CX17" s="114" t="n">
        <v>0.01</v>
      </c>
      <c r="CY17" s="115" t="n">
        <v>85.0</v>
      </c>
      <c r="CZ17" s="116" t="n">
        <v>0.0</v>
      </c>
      <c r="DA17" s="117" t="n">
        <v>28.0</v>
      </c>
      <c r="DB17" s="118" t="n">
        <v>174.27</v>
      </c>
      <c r="DC17" s="119" t="n">
        <v>100.0</v>
      </c>
      <c r="DD17" s="120" t="n">
        <v>5.06</v>
      </c>
      <c r="DE17" s="121" t="n">
        <v>2.99</v>
      </c>
      <c r="DF17" s="122" t="n">
        <v>60.97</v>
      </c>
      <c r="DG17" s="123" t="n">
        <v>99.0</v>
      </c>
      <c r="DH17" s="124" t="n">
        <v>0.07</v>
      </c>
      <c r="DI17" s="125" t="n">
        <v>12.0</v>
      </c>
      <c r="DJ17" s="126" t="n">
        <v>12.55</v>
      </c>
      <c r="DK17" s="127" t="n">
        <v>88.0</v>
      </c>
      <c r="DL17" s="128" t="n">
        <v>109.38</v>
      </c>
      <c r="DM17" s="129" t="n">
        <v>99.0</v>
      </c>
      <c r="DN17" s="130" t="n">
        <v>0.07</v>
      </c>
      <c r="DO17" s="131" t="n">
        <v>13.0</v>
      </c>
      <c r="DP17" s="132" t="n">
        <v>8986.0</v>
      </c>
      <c r="DQ17" s="133" t="n">
        <v>-333.0</v>
      </c>
      <c r="DR17" s="134" t="n">
        <v>-3.57</v>
      </c>
      <c r="DS17" s="135" t="n">
        <v>3714.0</v>
      </c>
      <c r="DT17" s="136" t="n">
        <v>9.0</v>
      </c>
      <c r="DU17" s="137" t="n">
        <v>0.24</v>
      </c>
      <c r="DV17" s="138" t="n">
        <v>25.0</v>
      </c>
      <c r="DW17" s="139" t="n">
        <v>0.0</v>
      </c>
      <c r="DX17" s="140" t="n">
        <v>0.0</v>
      </c>
      <c r="DY17" s="141" t="inlineStr">
        <is>
          <t>PitchBook Research</t>
        </is>
      </c>
      <c r="DZ17" s="142" t="n">
        <v>43492.0</v>
      </c>
      <c r="EA17" s="143" t="inlineStr">
        <is>
          <t/>
        </is>
      </c>
      <c r="EB17" s="144" t="inlineStr">
        <is>
          <t/>
        </is>
      </c>
      <c r="EC17" s="145" t="inlineStr">
        <is>
          <t/>
        </is>
      </c>
      <c r="ED17" s="547">
        <f>HYPERLINK("https://my.pitchbook.com?c=55696-96", "View company online")</f>
      </c>
    </row>
    <row r="18">
      <c r="A18" s="147" t="inlineStr">
        <is>
          <t>94327-66</t>
        </is>
      </c>
      <c r="B18" s="148" t="inlineStr">
        <is>
          <t>UNIQLO Company</t>
        </is>
      </c>
      <c r="C18" s="149" t="inlineStr">
        <is>
          <t/>
        </is>
      </c>
      <c r="D18" s="150" t="inlineStr">
        <is>
          <t/>
        </is>
      </c>
      <c r="E18" s="151" t="inlineStr">
        <is>
          <t>94327-66</t>
        </is>
      </c>
      <c r="F18" s="152" t="inlineStr">
        <is>
          <t>Owner and operator of an online fashion store intended to sell fashionable clothing and accessories. The company's online store offers a variety fashion apparel including t shirts, outerwear and blazers, sweatshirts, sweatpants, blouses, skirts, jumpsuits, activewear, shorts, jeans, lounge wear, shoes and accessories which can be customized as per user's choice of color and texture and are made up of fine linen, Indonesian silk and Italian fabrics, enabling customers to browse and buy fashion apparel, footwear and accessories online.</t>
        </is>
      </c>
      <c r="G18" s="153" t="inlineStr">
        <is>
          <t>Consumer Products and Services (B2C)</t>
        </is>
      </c>
      <c r="H18" s="154" t="inlineStr">
        <is>
          <t>Retail</t>
        </is>
      </c>
      <c r="I18" s="155" t="inlineStr">
        <is>
          <t>Internet Retail</t>
        </is>
      </c>
      <c r="J18" s="156" t="inlineStr">
        <is>
          <t>Accessories, Clothing, Footwear, Internet Retail*</t>
        </is>
      </c>
      <c r="K18" s="157" t="inlineStr">
        <is>
          <t>E-Commerce, TMT</t>
        </is>
      </c>
      <c r="L18" s="158" t="inlineStr">
        <is>
          <t>apparel branding, clothing retailer, fashion apparel, fashion shoes, online accessories marketplace, sweatpants</t>
        </is>
      </c>
      <c r="M18" s="159" t="inlineStr">
        <is>
          <t>Corporation</t>
        </is>
      </c>
      <c r="N18" s="160" t="inlineStr">
        <is>
          <t/>
        </is>
      </c>
      <c r="O18" s="161" t="inlineStr">
        <is>
          <t>Profitable</t>
        </is>
      </c>
      <c r="P18" s="162" t="inlineStr">
        <is>
          <t>Privately Held (no backing)</t>
        </is>
      </c>
      <c r="Q18" s="163" t="inlineStr">
        <is>
          <t>Venture Capital</t>
        </is>
      </c>
      <c r="R18" s="164" t="inlineStr">
        <is>
          <t>www.uniqlo.com</t>
        </is>
      </c>
      <c r="S18" s="165" t="inlineStr">
        <is>
          <t/>
        </is>
      </c>
      <c r="T18" s="166" t="inlineStr">
        <is>
          <t/>
        </is>
      </c>
      <c r="U18" s="167" t="inlineStr">
        <is>
          <t/>
        </is>
      </c>
      <c r="V18" s="168" t="inlineStr">
        <is>
          <t/>
        </is>
      </c>
      <c r="W18" s="169" t="n">
        <v>1984.0</v>
      </c>
      <c r="X18" s="170" t="inlineStr">
        <is>
          <t/>
        </is>
      </c>
      <c r="Y18" s="171" t="inlineStr">
        <is>
          <t/>
        </is>
      </c>
      <c r="Z18" s="172" t="inlineStr">
        <is>
          <t>Competitor (New) Zara</t>
        </is>
      </c>
      <c r="AA18" s="173" t="n">
        <v>18561.58</v>
      </c>
      <c r="AB18" s="174" t="n">
        <v>1086.53</v>
      </c>
      <c r="AC18" s="175" t="inlineStr">
        <is>
          <t/>
        </is>
      </c>
      <c r="AD18" s="176" t="inlineStr">
        <is>
          <t/>
        </is>
      </c>
      <c r="AE18" s="177" t="inlineStr">
        <is>
          <t/>
        </is>
      </c>
      <c r="AF18" s="178" t="inlineStr">
        <is>
          <t>FY 2018</t>
        </is>
      </c>
      <c r="AG18" s="179" t="inlineStr">
        <is>
          <t/>
        </is>
      </c>
      <c r="AH18" s="180" t="inlineStr">
        <is>
          <t/>
        </is>
      </c>
      <c r="AI18" s="181" t="inlineStr">
        <is>
          <t/>
        </is>
      </c>
      <c r="AJ18" s="182" t="inlineStr">
        <is>
          <t>44563-60P</t>
        </is>
      </c>
      <c r="AK18" s="183" t="inlineStr">
        <is>
          <t>Tadashi Yanai</t>
        </is>
      </c>
      <c r="AL18" s="184" t="inlineStr">
        <is>
          <t>President, Chief Executive Officer &amp; Chairman</t>
        </is>
      </c>
      <c r="AM18" s="185" t="inlineStr">
        <is>
          <t/>
        </is>
      </c>
      <c r="AN18" s="186" t="inlineStr">
        <is>
          <t/>
        </is>
      </c>
      <c r="AO18" s="187" t="inlineStr">
        <is>
          <t>Yamaguchi-shi, Japan</t>
        </is>
      </c>
      <c r="AP18" s="188" t="inlineStr">
        <is>
          <t>717-1</t>
        </is>
      </c>
      <c r="AQ18" s="189" t="inlineStr">
        <is>
          <t/>
        </is>
      </c>
      <c r="AR18" s="190" t="inlineStr">
        <is>
          <t>Yamaguchi-shi</t>
        </is>
      </c>
      <c r="AS18" s="191" t="inlineStr">
        <is>
          <t/>
        </is>
      </c>
      <c r="AT18" s="192" t="inlineStr">
        <is>
          <t/>
        </is>
      </c>
      <c r="AU18" s="193" t="inlineStr">
        <is>
          <t>Japan</t>
        </is>
      </c>
      <c r="AV18" s="194" t="inlineStr">
        <is>
          <t/>
        </is>
      </c>
      <c r="AW18" s="195" t="inlineStr">
        <is>
          <t/>
        </is>
      </c>
      <c r="AX18" s="196" t="inlineStr">
        <is>
          <t>wecare@mail.uniqlo-usa.com</t>
        </is>
      </c>
      <c r="AY18" s="197" t="inlineStr">
        <is>
          <t>Asia</t>
        </is>
      </c>
      <c r="AZ18" s="198" t="inlineStr">
        <is>
          <t>East Asia</t>
        </is>
      </c>
      <c r="BA18" s="199" t="inlineStr">
        <is>
          <t/>
        </is>
      </c>
      <c r="BB18" s="200" t="inlineStr">
        <is>
          <t/>
        </is>
      </c>
      <c r="BC18" s="201" t="inlineStr">
        <is>
          <t/>
        </is>
      </c>
      <c r="BD18" s="202" t="inlineStr">
        <is>
          <t/>
        </is>
      </c>
      <c r="BE18" s="203" t="inlineStr">
        <is>
          <t>Innovation Global Capital</t>
        </is>
      </c>
      <c r="BF18" s="204" t="inlineStr">
        <is>
          <t/>
        </is>
      </c>
      <c r="BG18" s="205" t="inlineStr">
        <is>
          <t/>
        </is>
      </c>
      <c r="BH18" s="206" t="inlineStr">
        <is>
          <t>Innovation Global Capital(www.innovationglobal.com)</t>
        </is>
      </c>
      <c r="BI18" s="207" t="inlineStr">
        <is>
          <t/>
        </is>
      </c>
      <c r="BJ18" s="208" t="inlineStr">
        <is>
          <t>Business Sweden(Consulting), For the Win(Consulting)</t>
        </is>
      </c>
      <c r="BK18" s="209" t="inlineStr">
        <is>
          <t/>
        </is>
      </c>
      <c r="BL18" s="210" t="inlineStr">
        <is>
          <t/>
        </is>
      </c>
      <c r="BM18" s="211" t="inlineStr">
        <is>
          <t/>
        </is>
      </c>
      <c r="BN18" s="212" t="inlineStr">
        <is>
          <t/>
        </is>
      </c>
      <c r="BO18" s="213" t="inlineStr">
        <is>
          <t/>
        </is>
      </c>
      <c r="BP18" s="214" t="inlineStr">
        <is>
          <t/>
        </is>
      </c>
      <c r="BQ18" s="215" t="inlineStr">
        <is>
          <t/>
        </is>
      </c>
      <c r="BR18" s="216" t="inlineStr">
        <is>
          <t/>
        </is>
      </c>
      <c r="BS18" s="217" t="inlineStr">
        <is>
          <t/>
        </is>
      </c>
      <c r="BT18" s="218" t="inlineStr">
        <is>
          <t/>
        </is>
      </c>
      <c r="BU18" s="219" t="inlineStr">
        <is>
          <t/>
        </is>
      </c>
      <c r="BV18" s="220" t="inlineStr">
        <is>
          <t/>
        </is>
      </c>
      <c r="BW18" s="221" t="inlineStr">
        <is>
          <t/>
        </is>
      </c>
      <c r="BX18" s="222" t="inlineStr">
        <is>
          <t/>
        </is>
      </c>
      <c r="BY18" s="223" t="inlineStr">
        <is>
          <t/>
        </is>
      </c>
      <c r="BZ18" s="224" t="inlineStr">
        <is>
          <t/>
        </is>
      </c>
      <c r="CA18" s="225" t="inlineStr">
        <is>
          <t/>
        </is>
      </c>
      <c r="CB18" s="226" t="inlineStr">
        <is>
          <t/>
        </is>
      </c>
      <c r="CC18" s="227" t="inlineStr">
        <is>
          <t/>
        </is>
      </c>
      <c r="CD18" s="228" t="inlineStr">
        <is>
          <t/>
        </is>
      </c>
      <c r="CE18" s="229" t="inlineStr">
        <is>
          <t/>
        </is>
      </c>
      <c r="CF18" s="230" t="inlineStr">
        <is>
          <t/>
        </is>
      </c>
      <c r="CG18" s="231" t="inlineStr">
        <is>
          <t/>
        </is>
      </c>
      <c r="CH18" s="232" t="inlineStr">
        <is>
          <t/>
        </is>
      </c>
      <c r="CI18" s="233" t="inlineStr">
        <is>
          <t/>
        </is>
      </c>
      <c r="CJ18" s="234" t="inlineStr">
        <is>
          <t/>
        </is>
      </c>
      <c r="CK18" s="235" t="inlineStr">
        <is>
          <t/>
        </is>
      </c>
      <c r="CL18" s="236" t="inlineStr">
        <is>
          <t/>
        </is>
      </c>
      <c r="CM18" s="237" t="inlineStr">
        <is>
          <t/>
        </is>
      </c>
      <c r="CN18" s="238" t="n">
        <v>-0.13</v>
      </c>
      <c r="CO18" s="239" t="n">
        <v>11.0</v>
      </c>
      <c r="CP18" s="240" t="n">
        <v>0.0</v>
      </c>
      <c r="CQ18" s="241" t="n">
        <v>-2.36</v>
      </c>
      <c r="CR18" s="242" t="n">
        <v>-0.32</v>
      </c>
      <c r="CS18" s="243" t="n">
        <v>10.0</v>
      </c>
      <c r="CT18" s="244" t="n">
        <v>0.06</v>
      </c>
      <c r="CU18" s="245" t="n">
        <v>66.0</v>
      </c>
      <c r="CV18" s="246" t="n">
        <v>-1.01</v>
      </c>
      <c r="CW18" s="247" t="n">
        <v>26.0</v>
      </c>
      <c r="CX18" s="248" t="n">
        <v>0.36</v>
      </c>
      <c r="CY18" s="249" t="n">
        <v>92.0</v>
      </c>
      <c r="CZ18" s="250" t="n">
        <v>0.06</v>
      </c>
      <c r="DA18" s="251" t="n">
        <v>70.0</v>
      </c>
      <c r="DB18" s="252" t="n">
        <v>1055.3</v>
      </c>
      <c r="DC18" s="253" t="n">
        <v>100.0</v>
      </c>
      <c r="DD18" s="254" t="n">
        <v>64.66</v>
      </c>
      <c r="DE18" s="255" t="n">
        <v>6.53</v>
      </c>
      <c r="DF18" s="256" t="n">
        <v>1899.39</v>
      </c>
      <c r="DG18" s="257" t="n">
        <v>100.0</v>
      </c>
      <c r="DH18" s="258" t="n">
        <v>211.2</v>
      </c>
      <c r="DI18" s="259" t="n">
        <v>99.0</v>
      </c>
      <c r="DJ18" s="260" t="n">
        <v>2770.19</v>
      </c>
      <c r="DK18" s="261" t="n">
        <v>100.0</v>
      </c>
      <c r="DL18" s="262" t="n">
        <v>1028.59</v>
      </c>
      <c r="DM18" s="263" t="n">
        <v>100.0</v>
      </c>
      <c r="DN18" s="264" t="n">
        <v>211.2</v>
      </c>
      <c r="DO18" s="265" t="n">
        <v>99.0</v>
      </c>
      <c r="DP18" s="266" t="n">
        <v>1987467.0</v>
      </c>
      <c r="DQ18" s="267" t="n">
        <v>-110867.0</v>
      </c>
      <c r="DR18" s="268" t="n">
        <v>-5.28</v>
      </c>
      <c r="DS18" s="269" t="n">
        <v>34878.0</v>
      </c>
      <c r="DT18" s="270" t="n">
        <v>193.0</v>
      </c>
      <c r="DU18" s="271" t="n">
        <v>0.56</v>
      </c>
      <c r="DV18" s="272" t="n">
        <v>75834.0</v>
      </c>
      <c r="DW18" s="273" t="n">
        <v>-12.0</v>
      </c>
      <c r="DX18" s="274" t="n">
        <v>-0.02</v>
      </c>
      <c r="DY18" s="275" t="inlineStr">
        <is>
          <t>PitchBook Research</t>
        </is>
      </c>
      <c r="DZ18" s="276" t="n">
        <v>43522.0</v>
      </c>
      <c r="EA18" s="277" t="inlineStr">
        <is>
          <t/>
        </is>
      </c>
      <c r="EB18" s="278" t="inlineStr">
        <is>
          <t/>
        </is>
      </c>
      <c r="EC18" s="279" t="inlineStr">
        <is>
          <t/>
        </is>
      </c>
      <c r="ED18" s="548">
        <f>HYPERLINK("https://my.pitchbook.com?c=94327-66", "View company online")</f>
      </c>
    </row>
    <row r="19">
      <c r="A19" s="13" t="inlineStr">
        <is>
          <t>60413-50</t>
        </is>
      </c>
      <c r="B19" s="14" t="inlineStr">
        <is>
          <t>Kering (PAR: KER)</t>
        </is>
      </c>
      <c r="C19" s="15" t="inlineStr">
        <is>
          <t>PPR, Pinault-Printemps- Redoute</t>
        </is>
      </c>
      <c r="D19" s="16" t="inlineStr">
        <is>
          <t/>
        </is>
      </c>
      <c r="E19" s="17" t="inlineStr">
        <is>
          <t>60413-50</t>
        </is>
      </c>
      <c r="F19" s="18" t="inlineStr">
        <is>
          <t>Kering is the world's third-largest luxury goods conglomerate after LVMH and Richemont. Its flagship brand is Gucci, which accounts for 60% of revenue and over 80% of operating profits. Its other leading brands include Bottega Veneta and YSL. Other smaller luxury brands (in ready-to-wear, leather goods, watches, and jewellery) generate around 15% of sales. Alexander McQueen, Balenciaga, Boucheron, and Ulysse Nardin are part of Kering's portfolio.</t>
        </is>
      </c>
      <c r="G19" s="19" t="inlineStr">
        <is>
          <t>Business Products and Services (B2B)</t>
        </is>
      </c>
      <c r="H19" s="20" t="inlineStr">
        <is>
          <t>Commercial Services</t>
        </is>
      </c>
      <c r="I19" s="21" t="inlineStr">
        <is>
          <t>Other Commercial Services</t>
        </is>
      </c>
      <c r="J19" s="22" t="inlineStr">
        <is>
          <t>Clothing, Other Commercial Services*</t>
        </is>
      </c>
      <c r="K19" s="23" t="inlineStr">
        <is>
          <t>Manufacturing</t>
        </is>
      </c>
      <c r="L19" s="24" t="inlineStr">
        <is>
          <t>fashion accessories, fashion branding, fashion product, luxury branding, luxury branding product, luxury fashion branding</t>
        </is>
      </c>
      <c r="M19" s="25" t="inlineStr">
        <is>
          <t>Corporation</t>
        </is>
      </c>
      <c r="N19" s="26" t="inlineStr">
        <is>
          <t/>
        </is>
      </c>
      <c r="O19" s="27" t="inlineStr">
        <is>
          <t>Profitable</t>
        </is>
      </c>
      <c r="P19" s="28" t="inlineStr">
        <is>
          <t>Publicly Held</t>
        </is>
      </c>
      <c r="Q19" s="29" t="inlineStr">
        <is>
          <t>Private Equity, Publicly Listed</t>
        </is>
      </c>
      <c r="R19" s="30" t="inlineStr">
        <is>
          <t>www.kering.com</t>
        </is>
      </c>
      <c r="S19" s="31" t="n">
        <v>30595.0</v>
      </c>
      <c r="T19" s="32" t="inlineStr">
        <is>
          <t>2003: 100779, 2004: 95397, 2005: 5611, 2006: 13261, 2007: 22161, 2008: 19357, 2009: 14632, 2010: 60066, 2011: 38374, 2012: 29378, 2013: 31415, 2014: 32890, 2015: 34697, 2016: 40052, 2018: 30595</t>
        </is>
      </c>
      <c r="U19" s="33" t="inlineStr">
        <is>
          <t>PAR</t>
        </is>
      </c>
      <c r="V19" s="34" t="inlineStr">
        <is>
          <t>KER</t>
        </is>
      </c>
      <c r="W19" s="35" t="n">
        <v>1963.0</v>
      </c>
      <c r="X19" s="36" t="inlineStr">
        <is>
          <t/>
        </is>
      </c>
      <c r="Y19" s="37" t="inlineStr">
        <is>
          <t/>
        </is>
      </c>
      <c r="Z19" s="38" t="inlineStr">
        <is>
          <t/>
        </is>
      </c>
      <c r="AA19" s="39" t="n">
        <v>16125.84</v>
      </c>
      <c r="AB19" s="40" t="n">
        <v>12034.55</v>
      </c>
      <c r="AC19" s="41" t="n">
        <v>4383.83</v>
      </c>
      <c r="AD19" s="42" t="n">
        <v>62604.73</v>
      </c>
      <c r="AE19" s="43" t="n">
        <v>4719.79</v>
      </c>
      <c r="AF19" s="44" t="inlineStr">
        <is>
          <t>FY 2018</t>
        </is>
      </c>
      <c r="AG19" s="45" t="n">
        <v>4139.32</v>
      </c>
      <c r="AH19" s="46" t="n">
        <v>70356.79</v>
      </c>
      <c r="AI19" s="47" t="n">
        <v>1888.01</v>
      </c>
      <c r="AJ19" s="48" t="inlineStr">
        <is>
          <t>74366-29P</t>
        </is>
      </c>
      <c r="AK19" s="49" t="inlineStr">
        <is>
          <t>Jean-Marc Duplaix</t>
        </is>
      </c>
      <c r="AL19" s="50" t="inlineStr">
        <is>
          <t>Chief Financial Officer</t>
        </is>
      </c>
      <c r="AM19" s="51" t="inlineStr">
        <is>
          <t>jean-marc.duplaix@kering.com</t>
        </is>
      </c>
      <c r="AN19" s="52" t="inlineStr">
        <is>
          <t>+33 (0)1 45 64 61 00</t>
        </is>
      </c>
      <c r="AO19" s="53" t="inlineStr">
        <is>
          <t>Paris, France</t>
        </is>
      </c>
      <c r="AP19" s="54" t="inlineStr">
        <is>
          <t>40, rue de Sèvres</t>
        </is>
      </c>
      <c r="AQ19" s="55" t="inlineStr">
        <is>
          <t/>
        </is>
      </c>
      <c r="AR19" s="56" t="inlineStr">
        <is>
          <t>Paris</t>
        </is>
      </c>
      <c r="AS19" s="57" t="inlineStr">
        <is>
          <t/>
        </is>
      </c>
      <c r="AT19" s="58" t="inlineStr">
        <is>
          <t>75007</t>
        </is>
      </c>
      <c r="AU19" s="59" t="inlineStr">
        <is>
          <t>France</t>
        </is>
      </c>
      <c r="AV19" s="60" t="inlineStr">
        <is>
          <t>+33 (0)1 45 64 61 00</t>
        </is>
      </c>
      <c r="AW19" s="61" t="inlineStr">
        <is>
          <t/>
        </is>
      </c>
      <c r="AX19" s="62" t="inlineStr">
        <is>
          <t/>
        </is>
      </c>
      <c r="AY19" s="63" t="inlineStr">
        <is>
          <t>Europe</t>
        </is>
      </c>
      <c r="AZ19" s="64" t="inlineStr">
        <is>
          <t>Western Europe</t>
        </is>
      </c>
      <c r="BA19" s="65" t="inlineStr">
        <is>
          <t>The company (PAR: KER) received an undisclosed amount of development capital from Artémis in 2003 through a private placement.</t>
        </is>
      </c>
      <c r="BB19" s="66" t="inlineStr">
        <is>
          <t>Artémis</t>
        </is>
      </c>
      <c r="BC19" s="67" t="n">
        <v>1.0</v>
      </c>
      <c r="BD19" s="68" t="inlineStr">
        <is>
          <t/>
        </is>
      </c>
      <c r="BE19" s="69" t="inlineStr">
        <is>
          <t/>
        </is>
      </c>
      <c r="BF19" s="70" t="inlineStr">
        <is>
          <t/>
        </is>
      </c>
      <c r="BG19" s="71" t="inlineStr">
        <is>
          <t/>
        </is>
      </c>
      <c r="BH19" s="72" t="inlineStr">
        <is>
          <t/>
        </is>
      </c>
      <c r="BI19" s="73" t="inlineStr">
        <is>
          <t/>
        </is>
      </c>
      <c r="BJ19" s="74" t="inlineStr">
        <is>
          <t>Bowdoin Group(Consulting), Compagnie Européenne de Développement(Advisor: General), Mackenzie Partners(Advisor: General), Mediobanca(Underwriter), Mishcon de Reya(Legal Advisor), Redbridge Debt &amp; Treasury Advisory(Advisor: General), Washington Search Partners(Consulting)</t>
        </is>
      </c>
      <c r="BK19" s="75" t="inlineStr">
        <is>
          <t/>
        </is>
      </c>
      <c r="BL19" s="76" t="n">
        <v>32441.0</v>
      </c>
      <c r="BM19" s="77" t="inlineStr">
        <is>
          <t/>
        </is>
      </c>
      <c r="BN19" s="78" t="inlineStr">
        <is>
          <t/>
        </is>
      </c>
      <c r="BO19" s="79" t="inlineStr">
        <is>
          <t/>
        </is>
      </c>
      <c r="BP19" s="80" t="inlineStr">
        <is>
          <t/>
        </is>
      </c>
      <c r="BQ19" s="81" t="inlineStr">
        <is>
          <t>IPO</t>
        </is>
      </c>
      <c r="BR19" s="82" t="inlineStr">
        <is>
          <t/>
        </is>
      </c>
      <c r="BS19" s="83" t="inlineStr">
        <is>
          <t/>
        </is>
      </c>
      <c r="BT19" s="84" t="inlineStr">
        <is>
          <t>Public Investment</t>
        </is>
      </c>
      <c r="BU19" s="85" t="inlineStr">
        <is>
          <t/>
        </is>
      </c>
      <c r="BV19" s="86" t="inlineStr">
        <is>
          <t/>
        </is>
      </c>
      <c r="BW19" s="87" t="inlineStr">
        <is>
          <t/>
        </is>
      </c>
      <c r="BX19" s="88" t="inlineStr">
        <is>
          <t>Completed</t>
        </is>
      </c>
      <c r="BY19" s="89" t="n">
        <v>37622.0</v>
      </c>
      <c r="BZ19" s="90" t="inlineStr">
        <is>
          <t/>
        </is>
      </c>
      <c r="CA19" s="91" t="inlineStr">
        <is>
          <t/>
        </is>
      </c>
      <c r="CB19" s="92" t="inlineStr">
        <is>
          <t/>
        </is>
      </c>
      <c r="CC19" s="93" t="inlineStr">
        <is>
          <t/>
        </is>
      </c>
      <c r="CD19" s="94" t="inlineStr">
        <is>
          <t>PIPE</t>
        </is>
      </c>
      <c r="CE19" s="95" t="inlineStr">
        <is>
          <t/>
        </is>
      </c>
      <c r="CF19" s="96" t="inlineStr">
        <is>
          <t/>
        </is>
      </c>
      <c r="CG19" s="97" t="inlineStr">
        <is>
          <t>Private Equity</t>
        </is>
      </c>
      <c r="CH19" s="98" t="inlineStr">
        <is>
          <t/>
        </is>
      </c>
      <c r="CI19" s="99" t="inlineStr">
        <is>
          <t/>
        </is>
      </c>
      <c r="CJ19" s="100" t="inlineStr">
        <is>
          <t/>
        </is>
      </c>
      <c r="CK19" s="101" t="inlineStr">
        <is>
          <t>Completed</t>
        </is>
      </c>
      <c r="CL19" s="102" t="inlineStr">
        <is>
          <t/>
        </is>
      </c>
      <c r="CM19" s="103" t="inlineStr">
        <is>
          <t/>
        </is>
      </c>
      <c r="CN19" s="104" t="n">
        <v>0.34</v>
      </c>
      <c r="CO19" s="105" t="n">
        <v>92.0</v>
      </c>
      <c r="CP19" s="106" t="n">
        <v>0.0</v>
      </c>
      <c r="CQ19" s="107" t="n">
        <v>-1.38</v>
      </c>
      <c r="CR19" s="108" t="n">
        <v>0.47</v>
      </c>
      <c r="CS19" s="109" t="n">
        <v>94.0</v>
      </c>
      <c r="CT19" s="110" t="n">
        <v>0.21</v>
      </c>
      <c r="CU19" s="111" t="n">
        <v>85.0</v>
      </c>
      <c r="CV19" s="112" t="n">
        <v>0.91</v>
      </c>
      <c r="CW19" s="113" t="n">
        <v>87.0</v>
      </c>
      <c r="CX19" s="114" t="n">
        <v>0.02</v>
      </c>
      <c r="CY19" s="115" t="n">
        <v>85.0</v>
      </c>
      <c r="CZ19" s="116" t="n">
        <v>0.21</v>
      </c>
      <c r="DA19" s="117" t="n">
        <v>86.0</v>
      </c>
      <c r="DB19" s="118" t="n">
        <v>77.49</v>
      </c>
      <c r="DC19" s="119" t="n">
        <v>99.0</v>
      </c>
      <c r="DD19" s="120" t="n">
        <v>11.02</v>
      </c>
      <c r="DE19" s="121" t="n">
        <v>16.58</v>
      </c>
      <c r="DF19" s="122" t="n">
        <v>93.41</v>
      </c>
      <c r="DG19" s="123" t="n">
        <v>100.0</v>
      </c>
      <c r="DH19" s="124" t="n">
        <v>61.57</v>
      </c>
      <c r="DI19" s="125" t="n">
        <v>96.0</v>
      </c>
      <c r="DJ19" s="126" t="n">
        <v>12.42</v>
      </c>
      <c r="DK19" s="127" t="n">
        <v>88.0</v>
      </c>
      <c r="DL19" s="128" t="n">
        <v>174.41</v>
      </c>
      <c r="DM19" s="129" t="n">
        <v>100.0</v>
      </c>
      <c r="DN19" s="130" t="n">
        <v>61.57</v>
      </c>
      <c r="DO19" s="131" t="n">
        <v>97.0</v>
      </c>
      <c r="DP19" s="132" t="n">
        <v>8850.0</v>
      </c>
      <c r="DQ19" s="133" t="n">
        <v>36.0</v>
      </c>
      <c r="DR19" s="134" t="n">
        <v>0.41</v>
      </c>
      <c r="DS19" s="135" t="n">
        <v>5917.0</v>
      </c>
      <c r="DT19" s="136" t="n">
        <v>31.0</v>
      </c>
      <c r="DU19" s="137" t="n">
        <v>0.53</v>
      </c>
      <c r="DV19" s="138" t="n">
        <v>22095.0</v>
      </c>
      <c r="DW19" s="139" t="n">
        <v>33.0</v>
      </c>
      <c r="DX19" s="140" t="n">
        <v>0.15</v>
      </c>
      <c r="DY19" s="141" t="inlineStr">
        <is>
          <t>PitchBook Research</t>
        </is>
      </c>
      <c r="DZ19" s="142" t="n">
        <v>43528.0</v>
      </c>
      <c r="EA19" s="143" t="inlineStr">
        <is>
          <t/>
        </is>
      </c>
      <c r="EB19" s="144" t="inlineStr">
        <is>
          <t/>
        </is>
      </c>
      <c r="EC19" s="145" t="inlineStr">
        <is>
          <t/>
        </is>
      </c>
      <c r="ED19" s="547">
        <f>HYPERLINK("https://my.pitchbook.com?c=60413-50", "View company online")</f>
      </c>
    </row>
    <row r="20">
      <c r="A20" s="147" t="inlineStr">
        <is>
          <t>41113-90</t>
        </is>
      </c>
      <c r="B20" s="148" t="inlineStr">
        <is>
          <t>Nordstrom (NYS: JWN)</t>
        </is>
      </c>
      <c r="C20" s="149" t="inlineStr">
        <is>
          <t>Wallin &amp; Nordstrom</t>
        </is>
      </c>
      <c r="D20" s="150" t="inlineStr">
        <is>
          <t/>
        </is>
      </c>
      <c r="E20" s="151" t="inlineStr">
        <is>
          <t>41113-90</t>
        </is>
      </c>
      <c r="F20" s="152" t="inlineStr">
        <is>
          <t>Nordstrom is a fashion retailer that operates approximately 140 department stores in the U.S. and Canada and approximately 240 outlet stores under the names Nordstrom Rack and Last Chance. The company also operates e-commerce sites and a personalized styling service called Trunk Club. Nordstrom's largest merchandise categories are women's apparel (32% of sales) and shoes (24% of sales). Nordstrom, which traces its history to a shoe store opened in Seattle in 1901, continues to be partially owned and managed by members of the Nordstrom family.</t>
        </is>
      </c>
      <c r="G20" s="153" t="inlineStr">
        <is>
          <t>Consumer Products and Services (B2C)</t>
        </is>
      </c>
      <c r="H20" s="154" t="inlineStr">
        <is>
          <t>Retail</t>
        </is>
      </c>
      <c r="I20" s="155" t="inlineStr">
        <is>
          <t>Department Stores</t>
        </is>
      </c>
      <c r="J20" s="156" t="inlineStr">
        <is>
          <t>Accessories, Clothing, Department Stores*</t>
        </is>
      </c>
      <c r="K20" s="157" t="inlineStr">
        <is>
          <t>E-Commerce, TMT</t>
        </is>
      </c>
      <c r="L20" s="158" t="inlineStr">
        <is>
          <t>retail stores</t>
        </is>
      </c>
      <c r="M20" s="159" t="inlineStr">
        <is>
          <t>Corporation</t>
        </is>
      </c>
      <c r="N20" s="160" t="n">
        <v>416.0</v>
      </c>
      <c r="O20" s="161" t="inlineStr">
        <is>
          <t>Profitable</t>
        </is>
      </c>
      <c r="P20" s="162" t="inlineStr">
        <is>
          <t>Publicly Held</t>
        </is>
      </c>
      <c r="Q20" s="163" t="inlineStr">
        <is>
          <t>Debt Financed, Private Equity, Publicly Listed, Venture Capital</t>
        </is>
      </c>
      <c r="R20" s="164" t="inlineStr">
        <is>
          <t>shop.nordstrom.com</t>
        </is>
      </c>
      <c r="S20" s="165" t="n">
        <v>71000.0</v>
      </c>
      <c r="T20" s="166" t="inlineStr">
        <is>
          <t>1990: 28000, 1991: 28000, 1992: 38000, 1993: 33000, 1994: 33000, 1995: 42000, 1996: 37000, 1997: 39600, 1998: 41000, 1999: 42000, 2000: 40000, 2001: 43000, 2002: 43000, 2003: 44000, 2004: 46000, 2005: 49700, 2006: 51400, 2007: 52900, 2008: 55000, 2009: 52000, 2010: 48000, 2011: 52000, 2012: 56500, 2013: 61000, 2014: 62500, 2015: 73500, 2016: 72500, 2017: 72500, 2018: 72500, 2019: 71000</t>
        </is>
      </c>
      <c r="U20" s="167" t="inlineStr">
        <is>
          <t>NYS</t>
        </is>
      </c>
      <c r="V20" s="168" t="inlineStr">
        <is>
          <t>JWN</t>
        </is>
      </c>
      <c r="W20" s="169" t="n">
        <v>1901.0</v>
      </c>
      <c r="X20" s="170" t="inlineStr">
        <is>
          <t/>
        </is>
      </c>
      <c r="Y20" s="171" t="inlineStr">
        <is>
          <t>News (New) </t>
        </is>
      </c>
      <c r="Z20" s="172" t="inlineStr">
        <is>
          <t>News (New) , Filing (New) </t>
        </is>
      </c>
      <c r="AA20" s="173" t="n">
        <v>15860.0</v>
      </c>
      <c r="AB20" s="174" t="n">
        <v>5705.0</v>
      </c>
      <c r="AC20" s="175" t="n">
        <v>564.0</v>
      </c>
      <c r="AD20" s="176" t="n">
        <v>9324.5</v>
      </c>
      <c r="AE20" s="177" t="n">
        <v>1506.0</v>
      </c>
      <c r="AF20" s="178" t="inlineStr">
        <is>
          <t>FY 2019</t>
        </is>
      </c>
      <c r="AG20" s="179" t="n">
        <v>837.0</v>
      </c>
      <c r="AH20" s="180" t="n">
        <v>6654.27</v>
      </c>
      <c r="AI20" s="181" t="n">
        <v>1728.0</v>
      </c>
      <c r="AJ20" s="182" t="inlineStr">
        <is>
          <t>74372-41P</t>
        </is>
      </c>
      <c r="AK20" s="183" t="inlineStr">
        <is>
          <t>Erik Nordstrom</t>
        </is>
      </c>
      <c r="AL20" s="184" t="inlineStr">
        <is>
          <t>Co-President</t>
        </is>
      </c>
      <c r="AM20" s="185" t="inlineStr">
        <is>
          <t>erik.nordstrom@nordstrom.com</t>
        </is>
      </c>
      <c r="AN20" s="186" t="inlineStr">
        <is>
          <t>+1 (888) 282-6060</t>
        </is>
      </c>
      <c r="AO20" s="187" t="inlineStr">
        <is>
          <t>Seattle, WA</t>
        </is>
      </c>
      <c r="AP20" s="188" t="inlineStr">
        <is>
          <t>1600 Seventh Avenue</t>
        </is>
      </c>
      <c r="AQ20" s="189" t="inlineStr">
        <is>
          <t>Suite 2600</t>
        </is>
      </c>
      <c r="AR20" s="190" t="inlineStr">
        <is>
          <t>Seattle</t>
        </is>
      </c>
      <c r="AS20" s="191" t="inlineStr">
        <is>
          <t>Washington</t>
        </is>
      </c>
      <c r="AT20" s="192" t="inlineStr">
        <is>
          <t>98101</t>
        </is>
      </c>
      <c r="AU20" s="193" t="inlineStr">
        <is>
          <t>United States</t>
        </is>
      </c>
      <c r="AV20" s="194" t="inlineStr">
        <is>
          <t>+1 (888) 282-6060</t>
        </is>
      </c>
      <c r="AW20" s="195" t="inlineStr">
        <is>
          <t/>
        </is>
      </c>
      <c r="AX20" s="196" t="inlineStr">
        <is>
          <t>privacy@nordstrom.com</t>
        </is>
      </c>
      <c r="AY20" s="197" t="inlineStr">
        <is>
          <t>Americas</t>
        </is>
      </c>
      <c r="AZ20" s="198" t="inlineStr">
        <is>
          <t>North America</t>
        </is>
      </c>
      <c r="BA20" s="199" t="inlineStr">
        <is>
          <t>The company (NYSE: JWN) received $400 million of senior secured debt financing from undisclosed lenders on December 12, 2013.</t>
        </is>
      </c>
      <c r="BB20" s="200" t="inlineStr">
        <is>
          <t/>
        </is>
      </c>
      <c r="BC20" s="201" t="inlineStr">
        <is>
          <t/>
        </is>
      </c>
      <c r="BD20" s="202" t="inlineStr">
        <is>
          <t/>
        </is>
      </c>
      <c r="BE20" s="203" t="inlineStr">
        <is>
          <t>Benchmark Capital, Madrona Venture Group</t>
        </is>
      </c>
      <c r="BF20" s="204" t="inlineStr">
        <is>
          <t/>
        </is>
      </c>
      <c r="BG20" s="205" t="inlineStr">
        <is>
          <t/>
        </is>
      </c>
      <c r="BH20" s="206" t="inlineStr">
        <is>
          <t>Benchmark Capital(www.benchmark.com), Madrona Venture Group(www.madrona.com)</t>
        </is>
      </c>
      <c r="BI20" s="207" t="inlineStr">
        <is>
          <t/>
        </is>
      </c>
      <c r="BJ20" s="208" t="inlineStr">
        <is>
          <t>Bell Nunnally &amp; Martin(Legal Advisor), Centerstone Executive Search &amp; Consulting(Consulting), ComCap(Advisor: General), Glocap Search(Consulting), Lane Powell(Legal Advisor), Odeon Capital Group(Advisor: General), Seed Intellectual Property Law Group(Legal Advisor), Silicon Legal Strategy(Legal Advisor), Telsey Advisory Group(Advisor: General), The Brownestone Group(Consulting), Tucker Capital(Auditor), Washington Search Partners(Consulting), Wood Warren &amp; Co.(Advisor: General)</t>
        </is>
      </c>
      <c r="BK20" s="209" t="inlineStr">
        <is>
          <t>Bank of America Merrill Lynch(Debt Financing), Centerview Partners(Advisor: General), Sidley Austin(Legal Advisor), Trinity Capital(Advisor: General), U.S. Bank(Debt Financing), Wells Fargo Securities(Debt Financing)</t>
        </is>
      </c>
      <c r="BL20" s="210" t="n">
        <v>25934.0</v>
      </c>
      <c r="BM20" s="211" t="inlineStr">
        <is>
          <t/>
        </is>
      </c>
      <c r="BN20" s="212" t="inlineStr">
        <is>
          <t/>
        </is>
      </c>
      <c r="BO20" s="213" t="inlineStr">
        <is>
          <t/>
        </is>
      </c>
      <c r="BP20" s="214" t="inlineStr">
        <is>
          <t/>
        </is>
      </c>
      <c r="BQ20" s="215" t="inlineStr">
        <is>
          <t>IPO</t>
        </is>
      </c>
      <c r="BR20" s="216" t="inlineStr">
        <is>
          <t/>
        </is>
      </c>
      <c r="BS20" s="217" t="inlineStr">
        <is>
          <t/>
        </is>
      </c>
      <c r="BT20" s="218" t="inlineStr">
        <is>
          <t>Public Investment</t>
        </is>
      </c>
      <c r="BU20" s="219" t="inlineStr">
        <is>
          <t/>
        </is>
      </c>
      <c r="BV20" s="220" t="inlineStr">
        <is>
          <t/>
        </is>
      </c>
      <c r="BW20" s="221" t="inlineStr">
        <is>
          <t/>
        </is>
      </c>
      <c r="BX20" s="222" t="inlineStr">
        <is>
          <t>Completed</t>
        </is>
      </c>
      <c r="BY20" s="223" t="n">
        <v>43164.0</v>
      </c>
      <c r="BZ20" s="224" t="n">
        <v>8400.0</v>
      </c>
      <c r="CA20" s="225" t="inlineStr">
        <is>
          <t>Estimated</t>
        </is>
      </c>
      <c r="CB20" s="226" t="n">
        <v>8400.0</v>
      </c>
      <c r="CC20" s="227" t="inlineStr">
        <is>
          <t>Estimated</t>
        </is>
      </c>
      <c r="CD20" s="228" t="inlineStr">
        <is>
          <t>Buyout/LBO</t>
        </is>
      </c>
      <c r="CE20" s="229" t="inlineStr">
        <is>
          <t>Public to Private</t>
        </is>
      </c>
      <c r="CF20" s="230" t="inlineStr">
        <is>
          <t/>
        </is>
      </c>
      <c r="CG20" s="231" t="inlineStr">
        <is>
          <t>Private Equity</t>
        </is>
      </c>
      <c r="CH20" s="232" t="inlineStr">
        <is>
          <t/>
        </is>
      </c>
      <c r="CI20" s="233" t="inlineStr">
        <is>
          <t/>
        </is>
      </c>
      <c r="CJ20" s="234" t="inlineStr">
        <is>
          <t/>
        </is>
      </c>
      <c r="CK20" s="235" t="inlineStr">
        <is>
          <t>Failed/Cancelled</t>
        </is>
      </c>
      <c r="CL20" s="236" t="inlineStr">
        <is>
          <t/>
        </is>
      </c>
      <c r="CM20" s="237" t="inlineStr">
        <is>
          <t/>
        </is>
      </c>
      <c r="CN20" s="238" t="n">
        <v>1.57</v>
      </c>
      <c r="CO20" s="239" t="n">
        <v>99.0</v>
      </c>
      <c r="CP20" s="240" t="n">
        <v>0.0</v>
      </c>
      <c r="CQ20" s="241" t="n">
        <v>-0.08</v>
      </c>
      <c r="CR20" s="242" t="n">
        <v>3.32</v>
      </c>
      <c r="CS20" s="243" t="n">
        <v>100.0</v>
      </c>
      <c r="CT20" s="244" t="n">
        <v>-0.02</v>
      </c>
      <c r="CU20" s="245" t="n">
        <v>22.0</v>
      </c>
      <c r="CV20" s="246" t="n">
        <v>3.32</v>
      </c>
      <c r="CW20" s="247" t="n">
        <v>94.0</v>
      </c>
      <c r="CX20" s="248" t="inlineStr">
        <is>
          <t/>
        </is>
      </c>
      <c r="CY20" s="249" t="inlineStr">
        <is>
          <t/>
        </is>
      </c>
      <c r="CZ20" s="250" t="n">
        <v>-0.03</v>
      </c>
      <c r="DA20" s="251" t="n">
        <v>23.0</v>
      </c>
      <c r="DB20" s="252" t="n">
        <v>6427.85</v>
      </c>
      <c r="DC20" s="253" t="n">
        <v>100.0</v>
      </c>
      <c r="DD20" s="254" t="n">
        <v>80.33</v>
      </c>
      <c r="DE20" s="255" t="n">
        <v>1.27</v>
      </c>
      <c r="DF20" s="256" t="n">
        <v>11130.62</v>
      </c>
      <c r="DG20" s="257" t="n">
        <v>100.0</v>
      </c>
      <c r="DH20" s="258" t="n">
        <v>3857.17</v>
      </c>
      <c r="DI20" s="259" t="n">
        <v>100.0</v>
      </c>
      <c r="DJ20" s="260" t="n">
        <v>11130.62</v>
      </c>
      <c r="DK20" s="261" t="n">
        <v>100.0</v>
      </c>
      <c r="DL20" s="262" t="inlineStr">
        <is>
          <t/>
        </is>
      </c>
      <c r="DM20" s="263" t="inlineStr">
        <is>
          <t/>
        </is>
      </c>
      <c r="DN20" s="264" t="n">
        <v>2087.29</v>
      </c>
      <c r="DO20" s="265" t="n">
        <v>100.0</v>
      </c>
      <c r="DP20" s="266" t="n">
        <v>7938511.0</v>
      </c>
      <c r="DQ20" s="267" t="n">
        <v>-21395.0</v>
      </c>
      <c r="DR20" s="268" t="n">
        <v>-0.27</v>
      </c>
      <c r="DS20" s="269" t="inlineStr">
        <is>
          <t/>
        </is>
      </c>
      <c r="DT20" s="270" t="inlineStr">
        <is>
          <t/>
        </is>
      </c>
      <c r="DU20" s="271" t="inlineStr">
        <is>
          <t/>
        </is>
      </c>
      <c r="DV20" s="272" t="n">
        <v>749781.0</v>
      </c>
      <c r="DW20" s="273" t="n">
        <v>-999.0</v>
      </c>
      <c r="DX20" s="274" t="n">
        <v>-0.13</v>
      </c>
      <c r="DY20" s="275" t="inlineStr">
        <is>
          <t>PitchBook Research</t>
        </is>
      </c>
      <c r="DZ20" s="276" t="n">
        <v>43545.0</v>
      </c>
      <c r="EA20" s="277" t="n">
        <v>8400.0</v>
      </c>
      <c r="EB20" s="278" t="n">
        <v>43164.0</v>
      </c>
      <c r="EC20" s="279" t="inlineStr">
        <is>
          <t>Buyout/LBO</t>
        </is>
      </c>
      <c r="ED20" s="548">
        <f>HYPERLINK("https://my.pitchbook.com?c=41113-90", "View company online")</f>
      </c>
    </row>
    <row r="21">
      <c r="A21" s="13" t="inlineStr">
        <is>
          <t>53848-00</t>
        </is>
      </c>
      <c r="B21" s="14" t="inlineStr">
        <is>
          <t>Taobao.com</t>
        </is>
      </c>
      <c r="C21" s="15" t="inlineStr">
        <is>
          <t/>
        </is>
      </c>
      <c r="D21" s="16" t="inlineStr">
        <is>
          <t/>
        </is>
      </c>
      <c r="E21" s="17" t="inlineStr">
        <is>
          <t>53848-00</t>
        </is>
      </c>
      <c r="F21" s="18" t="inlineStr">
        <is>
          <t>Provider of an online shopping platform intended to offer a range of products. The company's platform offers apparel, accessories, footwear, luggage and textiles for men, enabling customers to buy products of their own choice.</t>
        </is>
      </c>
      <c r="G21" s="19" t="inlineStr">
        <is>
          <t>Consumer Products and Services (B2C)</t>
        </is>
      </c>
      <c r="H21" s="20" t="inlineStr">
        <is>
          <t>Retail</t>
        </is>
      </c>
      <c r="I21" s="21" t="inlineStr">
        <is>
          <t>Internet Retail</t>
        </is>
      </c>
      <c r="J21" s="22" t="inlineStr">
        <is>
          <t>Accessories, Clothing, Internet Retail*</t>
        </is>
      </c>
      <c r="K21" s="23" t="inlineStr">
        <is>
          <t>E-Commerce, TMT</t>
        </is>
      </c>
      <c r="L21" s="24" t="inlineStr">
        <is>
          <t>apparel retailer, internet retail, jackets, retail platform, sweaters</t>
        </is>
      </c>
      <c r="M21" s="25" t="inlineStr">
        <is>
          <t>Venture Capital-Backed</t>
        </is>
      </c>
      <c r="N21" s="26" t="n">
        <v>15.0</v>
      </c>
      <c r="O21" s="27" t="inlineStr">
        <is>
          <t>Generating Revenue</t>
        </is>
      </c>
      <c r="P21" s="28" t="inlineStr">
        <is>
          <t>Privately Held (backing)</t>
        </is>
      </c>
      <c r="Q21" s="29" t="inlineStr">
        <is>
          <t>Venture Capital</t>
        </is>
      </c>
      <c r="R21" s="30" t="inlineStr">
        <is>
          <t>justyle.world.tmall.com</t>
        </is>
      </c>
      <c r="S21" s="31" t="inlineStr">
        <is>
          <t/>
        </is>
      </c>
      <c r="T21" s="32" t="inlineStr">
        <is>
          <t/>
        </is>
      </c>
      <c r="U21" s="33" t="inlineStr">
        <is>
          <t/>
        </is>
      </c>
      <c r="V21" s="34" t="inlineStr">
        <is>
          <t/>
        </is>
      </c>
      <c r="W21" s="35" t="n">
        <v>2007.0</v>
      </c>
      <c r="X21" s="36" t="inlineStr">
        <is>
          <t/>
        </is>
      </c>
      <c r="Y21" s="37" t="inlineStr">
        <is>
          <t/>
        </is>
      </c>
      <c r="Z21" s="38" t="inlineStr">
        <is>
          <t/>
        </is>
      </c>
      <c r="AA21" s="39" t="n">
        <v>15000.0</v>
      </c>
      <c r="AB21" s="40" t="inlineStr">
        <is>
          <t/>
        </is>
      </c>
      <c r="AC21" s="41" t="inlineStr">
        <is>
          <t/>
        </is>
      </c>
      <c r="AD21" s="42" t="inlineStr">
        <is>
          <t/>
        </is>
      </c>
      <c r="AE21" s="43" t="inlineStr">
        <is>
          <t/>
        </is>
      </c>
      <c r="AF21" s="44" t="inlineStr">
        <is>
          <t>FY 2016</t>
        </is>
      </c>
      <c r="AG21" s="45" t="inlineStr">
        <is>
          <t/>
        </is>
      </c>
      <c r="AH21" s="46" t="inlineStr">
        <is>
          <t/>
        </is>
      </c>
      <c r="AI21" s="47" t="inlineStr">
        <is>
          <t/>
        </is>
      </c>
      <c r="AJ21" s="48" t="inlineStr">
        <is>
          <t>68592-07P</t>
        </is>
      </c>
      <c r="AK21" s="49" t="inlineStr">
        <is>
          <t>Xu Qun</t>
        </is>
      </c>
      <c r="AL21" s="50" t="inlineStr">
        <is>
          <t>Co-Founder, Chief Executive Officer &amp; Chairman</t>
        </is>
      </c>
      <c r="AM21" s="51" t="inlineStr">
        <is>
          <t>xu.qun@justyle.tmall.com</t>
        </is>
      </c>
      <c r="AN21" s="52" t="inlineStr">
        <is>
          <t/>
        </is>
      </c>
      <c r="AO21" s="53" t="inlineStr">
        <is>
          <t>Shanghai, China</t>
        </is>
      </c>
      <c r="AP21" s="54" t="inlineStr">
        <is>
          <t>345 Xian Xia Road</t>
        </is>
      </c>
      <c r="AQ21" s="55" t="inlineStr">
        <is>
          <t>Shanghai Oriental Century Building, 19th floor</t>
        </is>
      </c>
      <c r="AR21" s="56" t="inlineStr">
        <is>
          <t>Shanghai</t>
        </is>
      </c>
      <c r="AS21" s="57" t="inlineStr">
        <is>
          <t/>
        </is>
      </c>
      <c r="AT21" s="58" t="inlineStr">
        <is>
          <t/>
        </is>
      </c>
      <c r="AU21" s="59" t="inlineStr">
        <is>
          <t>China</t>
        </is>
      </c>
      <c r="AV21" s="60" t="inlineStr">
        <is>
          <t/>
        </is>
      </c>
      <c r="AW21" s="61" t="inlineStr">
        <is>
          <t/>
        </is>
      </c>
      <c r="AX21" s="62" t="inlineStr">
        <is>
          <t/>
        </is>
      </c>
      <c r="AY21" s="63" t="inlineStr">
        <is>
          <t>Asia</t>
        </is>
      </c>
      <c r="AZ21" s="64" t="inlineStr">
        <is>
          <t>East Asia</t>
        </is>
      </c>
      <c r="BA21" s="65" t="inlineStr">
        <is>
          <t>The company raised $15 million of venture funding from Draper Fisher Jurvetson Management, Balderton Capital and Zhixin Capital in 2011.</t>
        </is>
      </c>
      <c r="BB21" s="66" t="inlineStr">
        <is>
          <t>Balderton Capital, Threshold Ventures, Zhixin Capital</t>
        </is>
      </c>
      <c r="BC21" s="67" t="n">
        <v>3.0</v>
      </c>
      <c r="BD21" s="68" t="inlineStr">
        <is>
          <t/>
        </is>
      </c>
      <c r="BE21" s="69" t="inlineStr">
        <is>
          <t/>
        </is>
      </c>
      <c r="BF21" s="70" t="inlineStr">
        <is>
          <t/>
        </is>
      </c>
      <c r="BG21" s="71" t="inlineStr">
        <is>
          <t>Balderton Capital(www.balderton.com), Threshold Ventures(www.dfj.com)</t>
        </is>
      </c>
      <c r="BH21" s="72" t="inlineStr">
        <is>
          <t/>
        </is>
      </c>
      <c r="BI21" s="73" t="inlineStr">
        <is>
          <t/>
        </is>
      </c>
      <c r="BJ21" s="74" t="inlineStr">
        <is>
          <t/>
        </is>
      </c>
      <c r="BK21" s="75" t="inlineStr">
        <is>
          <t/>
        </is>
      </c>
      <c r="BL21" s="76" t="n">
        <v>40544.0</v>
      </c>
      <c r="BM21" s="77" t="n">
        <v>15.0</v>
      </c>
      <c r="BN21" s="78" t="inlineStr">
        <is>
          <t>Actual</t>
        </is>
      </c>
      <c r="BO21" s="79" t="inlineStr">
        <is>
          <t/>
        </is>
      </c>
      <c r="BP21" s="80" t="inlineStr">
        <is>
          <t/>
        </is>
      </c>
      <c r="BQ21" s="81" t="inlineStr">
        <is>
          <t>Early Stage VC</t>
        </is>
      </c>
      <c r="BR21" s="82" t="inlineStr">
        <is>
          <t/>
        </is>
      </c>
      <c r="BS21" s="83" t="inlineStr">
        <is>
          <t/>
        </is>
      </c>
      <c r="BT21" s="84" t="inlineStr">
        <is>
          <t>Venture Capital</t>
        </is>
      </c>
      <c r="BU21" s="85" t="inlineStr">
        <is>
          <t/>
        </is>
      </c>
      <c r="BV21" s="86" t="inlineStr">
        <is>
          <t/>
        </is>
      </c>
      <c r="BW21" s="87" t="inlineStr">
        <is>
          <t/>
        </is>
      </c>
      <c r="BX21" s="88" t="inlineStr">
        <is>
          <t>Completed</t>
        </is>
      </c>
      <c r="BY21" s="89" t="n">
        <v>40544.0</v>
      </c>
      <c r="BZ21" s="90" t="n">
        <v>15.0</v>
      </c>
      <c r="CA21" s="91" t="inlineStr">
        <is>
          <t>Actual</t>
        </is>
      </c>
      <c r="CB21" s="92" t="inlineStr">
        <is>
          <t/>
        </is>
      </c>
      <c r="CC21" s="93" t="inlineStr">
        <is>
          <t/>
        </is>
      </c>
      <c r="CD21" s="94" t="inlineStr">
        <is>
          <t>Early Stage VC</t>
        </is>
      </c>
      <c r="CE21" s="95" t="inlineStr">
        <is>
          <t/>
        </is>
      </c>
      <c r="CF21" s="96" t="inlineStr">
        <is>
          <t/>
        </is>
      </c>
      <c r="CG21" s="97" t="inlineStr">
        <is>
          <t>Venture Capital</t>
        </is>
      </c>
      <c r="CH21" s="98" t="inlineStr">
        <is>
          <t/>
        </is>
      </c>
      <c r="CI21" s="99" t="inlineStr">
        <is>
          <t/>
        </is>
      </c>
      <c r="CJ21" s="100" t="inlineStr">
        <is>
          <t/>
        </is>
      </c>
      <c r="CK21" s="101" t="inlineStr">
        <is>
          <t>Completed</t>
        </is>
      </c>
      <c r="CL21" s="102" t="inlineStr">
        <is>
          <t/>
        </is>
      </c>
      <c r="CM21" s="103" t="inlineStr">
        <is>
          <t/>
        </is>
      </c>
      <c r="CN21" s="104" t="inlineStr">
        <is>
          <t/>
        </is>
      </c>
      <c r="CO21" s="105" t="inlineStr">
        <is>
          <t/>
        </is>
      </c>
      <c r="CP21" s="106" t="inlineStr">
        <is>
          <t/>
        </is>
      </c>
      <c r="CQ21" s="107" t="inlineStr">
        <is>
          <t/>
        </is>
      </c>
      <c r="CR21" s="108" t="inlineStr">
        <is>
          <t/>
        </is>
      </c>
      <c r="CS21" s="109" t="inlineStr">
        <is>
          <t/>
        </is>
      </c>
      <c r="CT21" s="110" t="inlineStr">
        <is>
          <t/>
        </is>
      </c>
      <c r="CU21" s="111" t="inlineStr">
        <is>
          <t/>
        </is>
      </c>
      <c r="CV21" s="112" t="inlineStr">
        <is>
          <t/>
        </is>
      </c>
      <c r="CW21" s="113" t="inlineStr">
        <is>
          <t/>
        </is>
      </c>
      <c r="CX21" s="114" t="inlineStr">
        <is>
          <t/>
        </is>
      </c>
      <c r="CY21" s="115" t="inlineStr">
        <is>
          <t/>
        </is>
      </c>
      <c r="CZ21" s="116" t="inlineStr">
        <is>
          <t/>
        </is>
      </c>
      <c r="DA21" s="117" t="inlineStr">
        <is>
          <t/>
        </is>
      </c>
      <c r="DB21" s="118" t="inlineStr">
        <is>
          <t/>
        </is>
      </c>
      <c r="DC21" s="119" t="inlineStr">
        <is>
          <t/>
        </is>
      </c>
      <c r="DD21" s="120" t="inlineStr">
        <is>
          <t/>
        </is>
      </c>
      <c r="DE21" s="121" t="inlineStr">
        <is>
          <t/>
        </is>
      </c>
      <c r="DF21" s="122" t="inlineStr">
        <is>
          <t/>
        </is>
      </c>
      <c r="DG21" s="123" t="inlineStr">
        <is>
          <t/>
        </is>
      </c>
      <c r="DH21" s="124" t="inlineStr">
        <is>
          <t/>
        </is>
      </c>
      <c r="DI21" s="125" t="inlineStr">
        <is>
          <t/>
        </is>
      </c>
      <c r="DJ21" s="126" t="inlineStr">
        <is>
          <t/>
        </is>
      </c>
      <c r="DK21" s="127" t="inlineStr">
        <is>
          <t/>
        </is>
      </c>
      <c r="DL21" s="128" t="inlineStr">
        <is>
          <t/>
        </is>
      </c>
      <c r="DM21" s="129" t="inlineStr">
        <is>
          <t/>
        </is>
      </c>
      <c r="DN21" s="130" t="inlineStr">
        <is>
          <t/>
        </is>
      </c>
      <c r="DO21" s="131" t="inlineStr">
        <is>
          <t/>
        </is>
      </c>
      <c r="DP21" s="132" t="inlineStr">
        <is>
          <t/>
        </is>
      </c>
      <c r="DQ21" s="133" t="inlineStr">
        <is>
          <t/>
        </is>
      </c>
      <c r="DR21" s="134" t="inlineStr">
        <is>
          <t/>
        </is>
      </c>
      <c r="DS21" s="135" t="inlineStr">
        <is>
          <t/>
        </is>
      </c>
      <c r="DT21" s="136" t="inlineStr">
        <is>
          <t/>
        </is>
      </c>
      <c r="DU21" s="137" t="inlineStr">
        <is>
          <t/>
        </is>
      </c>
      <c r="DV21" s="138" t="inlineStr">
        <is>
          <t/>
        </is>
      </c>
      <c r="DW21" s="139" t="inlineStr">
        <is>
          <t/>
        </is>
      </c>
      <c r="DX21" s="140" t="inlineStr">
        <is>
          <t/>
        </is>
      </c>
      <c r="DY21" s="141" t="inlineStr">
        <is>
          <t>PitchBook Research</t>
        </is>
      </c>
      <c r="DZ21" s="142" t="n">
        <v>43351.0</v>
      </c>
      <c r="EA21" s="143" t="inlineStr">
        <is>
          <t/>
        </is>
      </c>
      <c r="EB21" s="144" t="inlineStr">
        <is>
          <t/>
        </is>
      </c>
      <c r="EC21" s="145" t="inlineStr">
        <is>
          <t/>
        </is>
      </c>
      <c r="ED21" s="547">
        <f>HYPERLINK("https://my.pitchbook.com?c=53848-00", "View company online")</f>
      </c>
    </row>
    <row r="22">
      <c r="A22" s="147" t="inlineStr">
        <is>
          <t>41352-13</t>
        </is>
      </c>
      <c r="B22" s="148" t="inlineStr">
        <is>
          <t>Ross Stores (NAS: ROST)</t>
        </is>
      </c>
      <c r="C22" s="149" t="inlineStr">
        <is>
          <t/>
        </is>
      </c>
      <c r="D22" s="150" t="inlineStr">
        <is>
          <t>Ross</t>
        </is>
      </c>
      <c r="E22" s="151" t="inlineStr">
        <is>
          <t>41352-13</t>
        </is>
      </c>
      <c r="F22" s="152" t="inlineStr">
        <is>
          <t>Ross Stores is a leading American off-price apparel and home fashion retailer, operating more than 1,600 stores at the end of fiscal 2017 across the Ross Dress for Less and dd's Discounts banners. Ross offers a variety of name-brand products and targets undercutting conventional retailers' regular prices by 20%-70%. The company uses an opportunistic, flexible merchandising approach; together with a relatively low-frills shopping environment centered on a treasure-hunt experience, Ross maximizes inventory turnover and traffic, enabling its low-price approach. In fiscal 2017, 27% of sales came from the ladies' department, 26% from home accents (including bed and bath), 13% from each of accessories, men's, and shoes, and 8% from children's. All sales come from the United States.</t>
        </is>
      </c>
      <c r="G22" s="153" t="inlineStr">
        <is>
          <t>Consumer Products and Services (B2C)</t>
        </is>
      </c>
      <c r="H22" s="154" t="inlineStr">
        <is>
          <t>Retail</t>
        </is>
      </c>
      <c r="I22" s="155" t="inlineStr">
        <is>
          <t>Specialty Retail</t>
        </is>
      </c>
      <c r="J22" s="156" t="inlineStr">
        <is>
          <t>Accessories, Clothing, Specialty Retail*</t>
        </is>
      </c>
      <c r="K22" s="157" t="inlineStr">
        <is>
          <t/>
        </is>
      </c>
      <c r="L22" s="158" t="inlineStr">
        <is>
          <t>accessories, clothing, retail chain</t>
        </is>
      </c>
      <c r="M22" s="159" t="inlineStr">
        <is>
          <t>Corporation</t>
        </is>
      </c>
      <c r="N22" s="160" t="inlineStr">
        <is>
          <t/>
        </is>
      </c>
      <c r="O22" s="161" t="inlineStr">
        <is>
          <t>Profitable</t>
        </is>
      </c>
      <c r="P22" s="162" t="inlineStr">
        <is>
          <t>Publicly Held</t>
        </is>
      </c>
      <c r="Q22" s="163" t="inlineStr">
        <is>
          <t>Publicly Listed, Venture Capital</t>
        </is>
      </c>
      <c r="R22" s="164" t="inlineStr">
        <is>
          <t>www.rossstores.com</t>
        </is>
      </c>
      <c r="S22" s="165" t="n">
        <v>82700.0</v>
      </c>
      <c r="T22" s="166" t="inlineStr">
        <is>
          <t>1990: 6054, 1991: 7164, 1992: 7397, 1993: 8156, 1994: 8949, 1995: 8949, 1996: 8949, 1997: 5433, 1998: 6600, 1999: 7700, 2000: 20700, 2001: 19800, 2002: 21000, 2003: 22500, 2004: 26600, 2005: 30100, 2006: 33200, 2007: 35800, 2008: 39100, 2009: 40000, 2010: 45600, 2011: 49500, 2012: 53900, 2013: 57500, 2014: 66300, 2015: 71400, 2016: 77800, 2017: 78600, 2018: 82700</t>
        </is>
      </c>
      <c r="U22" s="167" t="inlineStr">
        <is>
          <t>NAS</t>
        </is>
      </c>
      <c r="V22" s="168" t="inlineStr">
        <is>
          <t>ROST</t>
        </is>
      </c>
      <c r="W22" s="169" t="n">
        <v>1982.0</v>
      </c>
      <c r="X22" s="170" t="inlineStr">
        <is>
          <t/>
        </is>
      </c>
      <c r="Y22" s="171" t="inlineStr">
        <is>
          <t>News (New) </t>
        </is>
      </c>
      <c r="Z22" s="172" t="inlineStr">
        <is>
          <t>News (New) </t>
        </is>
      </c>
      <c r="AA22" s="173" t="n">
        <v>14983.54</v>
      </c>
      <c r="AB22" s="174" t="n">
        <v>4257.26</v>
      </c>
      <c r="AC22" s="175" t="n">
        <v>1587.46</v>
      </c>
      <c r="AD22" s="176" t="n">
        <v>33186.77</v>
      </c>
      <c r="AE22" s="177" t="n">
        <v>2371.07</v>
      </c>
      <c r="AF22" s="178" t="inlineStr">
        <is>
          <t>FY 2019</t>
        </is>
      </c>
      <c r="AG22" s="179" t="n">
        <v>2040.71</v>
      </c>
      <c r="AH22" s="180" t="n">
        <v>33178.82</v>
      </c>
      <c r="AI22" s="181" t="inlineStr">
        <is>
          <t/>
        </is>
      </c>
      <c r="AJ22" s="182" t="inlineStr">
        <is>
          <t>80626-60P</t>
        </is>
      </c>
      <c r="AK22" s="183" t="inlineStr">
        <is>
          <t>Michael O'Sullivan</t>
        </is>
      </c>
      <c r="AL22" s="184" t="inlineStr">
        <is>
          <t>Board Member, Chief Operating Officer &amp; President</t>
        </is>
      </c>
      <c r="AM22" s="185" t="inlineStr">
        <is>
          <t>michael.osullivan@ros.com</t>
        </is>
      </c>
      <c r="AN22" s="186" t="inlineStr">
        <is>
          <t/>
        </is>
      </c>
      <c r="AO22" s="187" t="inlineStr">
        <is>
          <t>Dublin, CA</t>
        </is>
      </c>
      <c r="AP22" s="188" t="inlineStr">
        <is>
          <t>5130 Hacienda Drive</t>
        </is>
      </c>
      <c r="AQ22" s="189" t="inlineStr">
        <is>
          <t/>
        </is>
      </c>
      <c r="AR22" s="190" t="inlineStr">
        <is>
          <t>Dublin</t>
        </is>
      </c>
      <c r="AS22" s="191" t="inlineStr">
        <is>
          <t>California</t>
        </is>
      </c>
      <c r="AT22" s="192" t="inlineStr">
        <is>
          <t>94568</t>
        </is>
      </c>
      <c r="AU22" s="193" t="inlineStr">
        <is>
          <t>United States</t>
        </is>
      </c>
      <c r="AV22" s="194" t="inlineStr">
        <is>
          <t/>
        </is>
      </c>
      <c r="AW22" s="195" t="inlineStr">
        <is>
          <t/>
        </is>
      </c>
      <c r="AX22" s="196" t="inlineStr">
        <is>
          <t/>
        </is>
      </c>
      <c r="AY22" s="197" t="inlineStr">
        <is>
          <t>Americas</t>
        </is>
      </c>
      <c r="AZ22" s="198" t="inlineStr">
        <is>
          <t>North America</t>
        </is>
      </c>
      <c r="BA22" s="199" t="inlineStr">
        <is>
          <t>Alloy Ventures and Blum Capital Partners sold there stake in the company on an undisclosed date.</t>
        </is>
      </c>
      <c r="BB22" s="200" t="inlineStr">
        <is>
          <t/>
        </is>
      </c>
      <c r="BC22" s="201" t="inlineStr">
        <is>
          <t/>
        </is>
      </c>
      <c r="BD22" s="202" t="inlineStr">
        <is>
          <t/>
        </is>
      </c>
      <c r="BE22" s="203" t="inlineStr">
        <is>
          <t>Alloy Ventures, Blum Capital Partners</t>
        </is>
      </c>
      <c r="BF22" s="204" t="inlineStr">
        <is>
          <t/>
        </is>
      </c>
      <c r="BG22" s="205" t="inlineStr">
        <is>
          <t/>
        </is>
      </c>
      <c r="BH22" s="206" t="inlineStr">
        <is>
          <t>Alloy Ventures(www.alloyventures.com), Blum Capital Partners(www.blumcapital.com)</t>
        </is>
      </c>
      <c r="BI22" s="207" t="inlineStr">
        <is>
          <t/>
        </is>
      </c>
      <c r="BJ22" s="208" t="inlineStr">
        <is>
          <t>BarkerGilmore(Consulting), Odeon Capital Group(Advisor: General), Telsey Advisory Group(Advisor: General), Tri-Search(Consulting)</t>
        </is>
      </c>
      <c r="BK22" s="209" t="inlineStr">
        <is>
          <t/>
        </is>
      </c>
      <c r="BL22" s="210" t="n">
        <v>38565.0</v>
      </c>
      <c r="BM22" s="211" t="inlineStr">
        <is>
          <t/>
        </is>
      </c>
      <c r="BN22" s="212" t="inlineStr">
        <is>
          <t/>
        </is>
      </c>
      <c r="BO22" s="213" t="inlineStr">
        <is>
          <t/>
        </is>
      </c>
      <c r="BP22" s="214" t="inlineStr">
        <is>
          <t/>
        </is>
      </c>
      <c r="BQ22" s="215" t="inlineStr">
        <is>
          <t>PIPE</t>
        </is>
      </c>
      <c r="BR22" s="216" t="inlineStr">
        <is>
          <t/>
        </is>
      </c>
      <c r="BS22" s="217" t="inlineStr">
        <is>
          <t/>
        </is>
      </c>
      <c r="BT22" s="218" t="inlineStr">
        <is>
          <t/>
        </is>
      </c>
      <c r="BU22" s="219" t="inlineStr">
        <is>
          <t/>
        </is>
      </c>
      <c r="BV22" s="220" t="inlineStr">
        <is>
          <t/>
        </is>
      </c>
      <c r="BW22" s="221" t="inlineStr">
        <is>
          <t/>
        </is>
      </c>
      <c r="BX22" s="222" t="inlineStr">
        <is>
          <t>Completed</t>
        </is>
      </c>
      <c r="BY22" s="223" t="inlineStr">
        <is>
          <t/>
        </is>
      </c>
      <c r="BZ22" s="224" t="inlineStr">
        <is>
          <t/>
        </is>
      </c>
      <c r="CA22" s="225" t="inlineStr">
        <is>
          <t/>
        </is>
      </c>
      <c r="CB22" s="226" t="inlineStr">
        <is>
          <t/>
        </is>
      </c>
      <c r="CC22" s="227" t="inlineStr">
        <is>
          <t/>
        </is>
      </c>
      <c r="CD22" s="228" t="inlineStr">
        <is>
          <t>Undetermined</t>
        </is>
      </c>
      <c r="CE22" s="229" t="inlineStr">
        <is>
          <t/>
        </is>
      </c>
      <c r="CF22" s="230" t="inlineStr">
        <is>
          <t/>
        </is>
      </c>
      <c r="CG22" s="231" t="inlineStr">
        <is>
          <t>Other</t>
        </is>
      </c>
      <c r="CH22" s="232" t="inlineStr">
        <is>
          <t/>
        </is>
      </c>
      <c r="CI22" s="233" t="inlineStr">
        <is>
          <t/>
        </is>
      </c>
      <c r="CJ22" s="234" t="inlineStr">
        <is>
          <t/>
        </is>
      </c>
      <c r="CK22" s="235" t="inlineStr">
        <is>
          <t>Completed</t>
        </is>
      </c>
      <c r="CL22" s="236" t="inlineStr">
        <is>
          <t/>
        </is>
      </c>
      <c r="CM22" s="237" t="inlineStr">
        <is>
          <t/>
        </is>
      </c>
      <c r="CN22" s="238" t="n">
        <v>0.61</v>
      </c>
      <c r="CO22" s="239" t="n">
        <v>95.0</v>
      </c>
      <c r="CP22" s="240" t="n">
        <v>-0.02</v>
      </c>
      <c r="CQ22" s="241" t="n">
        <v>-3.45</v>
      </c>
      <c r="CR22" s="242" t="n">
        <v>1.32</v>
      </c>
      <c r="CS22" s="243" t="n">
        <v>98.0</v>
      </c>
      <c r="CT22" s="244" t="n">
        <v>-0.09</v>
      </c>
      <c r="CU22" s="245" t="n">
        <v>8.0</v>
      </c>
      <c r="CV22" s="246" t="n">
        <v>2.28</v>
      </c>
      <c r="CW22" s="247" t="n">
        <v>92.0</v>
      </c>
      <c r="CX22" s="248" t="n">
        <v>0.35</v>
      </c>
      <c r="CY22" s="249" t="n">
        <v>92.0</v>
      </c>
      <c r="CZ22" s="250" t="n">
        <v>-0.09</v>
      </c>
      <c r="DA22" s="251" t="n">
        <v>11.0</v>
      </c>
      <c r="DB22" s="252" t="n">
        <v>129.36</v>
      </c>
      <c r="DC22" s="253" t="n">
        <v>100.0</v>
      </c>
      <c r="DD22" s="254" t="n">
        <v>10.15</v>
      </c>
      <c r="DE22" s="255" t="n">
        <v>8.51</v>
      </c>
      <c r="DF22" s="256" t="n">
        <v>258.35</v>
      </c>
      <c r="DG22" s="257" t="n">
        <v>100.0</v>
      </c>
      <c r="DH22" s="258" t="n">
        <v>0.38</v>
      </c>
      <c r="DI22" s="259" t="n">
        <v>32.0</v>
      </c>
      <c r="DJ22" s="260" t="n">
        <v>353.81</v>
      </c>
      <c r="DK22" s="261" t="n">
        <v>99.0</v>
      </c>
      <c r="DL22" s="262" t="n">
        <v>162.88</v>
      </c>
      <c r="DM22" s="263" t="n">
        <v>100.0</v>
      </c>
      <c r="DN22" s="264" t="n">
        <v>0.38</v>
      </c>
      <c r="DO22" s="265" t="n">
        <v>33.0</v>
      </c>
      <c r="DP22" s="266" t="n">
        <v>252126.0</v>
      </c>
      <c r="DQ22" s="267" t="n">
        <v>1267.0</v>
      </c>
      <c r="DR22" s="268" t="n">
        <v>0.51</v>
      </c>
      <c r="DS22" s="269" t="n">
        <v>5523.0</v>
      </c>
      <c r="DT22" s="270" t="n">
        <v>33.0</v>
      </c>
      <c r="DU22" s="271" t="n">
        <v>0.6</v>
      </c>
      <c r="DV22" s="272" t="n">
        <v>135.0</v>
      </c>
      <c r="DW22" s="273" t="n">
        <v>-1.0</v>
      </c>
      <c r="DX22" s="274" t="n">
        <v>-0.74</v>
      </c>
      <c r="DY22" s="275" t="inlineStr">
        <is>
          <t>PitchBook Research</t>
        </is>
      </c>
      <c r="DZ22" s="276" t="n">
        <v>43549.0</v>
      </c>
      <c r="EA22" s="277" t="inlineStr">
        <is>
          <t/>
        </is>
      </c>
      <c r="EB22" s="278" t="inlineStr">
        <is>
          <t/>
        </is>
      </c>
      <c r="EC22" s="279" t="inlineStr">
        <is>
          <t/>
        </is>
      </c>
      <c r="ED22" s="548">
        <f>HYPERLINK("https://my.pitchbook.com?c=41352-13", "View company online")</f>
      </c>
    </row>
    <row r="23">
      <c r="A23" s="13" t="inlineStr">
        <is>
          <t>11385-64</t>
        </is>
      </c>
      <c r="B23" s="14" t="inlineStr">
        <is>
          <t>Neckermann</t>
        </is>
      </c>
      <c r="C23" s="15" t="inlineStr">
        <is>
          <t>Neckermann Versand</t>
        </is>
      </c>
      <c r="D23" s="16" t="inlineStr">
        <is>
          <t/>
        </is>
      </c>
      <c r="E23" s="17" t="inlineStr">
        <is>
          <t>11385-64</t>
        </is>
      </c>
      <c r="F23" s="18" t="inlineStr">
        <is>
          <t>Retailer of catalog products. The company is a mail-order retailer in Germany, offering multiple products through its catalog, including clothing, electronics, furniture and housewares.</t>
        </is>
      </c>
      <c r="G23" s="19" t="inlineStr">
        <is>
          <t>Consumer Products and Services (B2C)</t>
        </is>
      </c>
      <c r="H23" s="20" t="inlineStr">
        <is>
          <t>Retail</t>
        </is>
      </c>
      <c r="I23" s="21" t="inlineStr">
        <is>
          <t>Catalog Retail</t>
        </is>
      </c>
      <c r="J23" s="22" t="inlineStr">
        <is>
          <t>Catalog Retail*, Clothing, Electronics (B2C), Home Furnishings</t>
        </is>
      </c>
      <c r="K23" s="23" t="inlineStr">
        <is>
          <t>TMT</t>
        </is>
      </c>
      <c r="L23" s="24" t="inlineStr">
        <is>
          <t>household electronics, mail ordering, menswear, multimedia service, womenswear</t>
        </is>
      </c>
      <c r="M23" s="25" t="inlineStr">
        <is>
          <t>Formerly PE-Backed</t>
        </is>
      </c>
      <c r="N23" s="26" t="inlineStr">
        <is>
          <t/>
        </is>
      </c>
      <c r="O23" s="27" t="inlineStr">
        <is>
          <t>Bankruptcy: Liquidation</t>
        </is>
      </c>
      <c r="P23" s="28" t="inlineStr">
        <is>
          <t>Out of Business</t>
        </is>
      </c>
      <c r="Q23" s="29" t="inlineStr">
        <is>
          <t>Private Equity</t>
        </is>
      </c>
      <c r="R23" s="30" t="inlineStr">
        <is>
          <t>www.otto.de</t>
        </is>
      </c>
      <c r="S23" s="31" t="n">
        <v>52794.0</v>
      </c>
      <c r="T23" s="32" t="inlineStr">
        <is>
          <t>2007: 51419, 2008: 52668, 2009: 49170, 2010: 47952, 2011: 49416, 2012: 52794</t>
        </is>
      </c>
      <c r="U23" s="33" t="inlineStr">
        <is>
          <t/>
        </is>
      </c>
      <c r="V23" s="34" t="inlineStr">
        <is>
          <t/>
        </is>
      </c>
      <c r="W23" s="35" t="n">
        <v>1949.0</v>
      </c>
      <c r="X23" s="36" t="inlineStr">
        <is>
          <t/>
        </is>
      </c>
      <c r="Y23" s="37" t="inlineStr">
        <is>
          <t/>
        </is>
      </c>
      <c r="Z23" s="38" t="inlineStr">
        <is>
          <t/>
        </is>
      </c>
      <c r="AA23" s="39" t="n">
        <v>14899.67</v>
      </c>
      <c r="AB23" s="40" t="inlineStr">
        <is>
          <t/>
        </is>
      </c>
      <c r="AC23" s="41" t="inlineStr">
        <is>
          <t/>
        </is>
      </c>
      <c r="AD23" s="42" t="inlineStr">
        <is>
          <t/>
        </is>
      </c>
      <c r="AE23" s="43" t="n">
        <v>692.34</v>
      </c>
      <c r="AF23" s="44" t="inlineStr">
        <is>
          <t>FY 2012</t>
        </is>
      </c>
      <c r="AG23" s="45" t="inlineStr">
        <is>
          <t/>
        </is>
      </c>
      <c r="AH23" s="46" t="inlineStr">
        <is>
          <t/>
        </is>
      </c>
      <c r="AI23" s="47" t="inlineStr">
        <is>
          <t/>
        </is>
      </c>
      <c r="AJ23" s="48" t="inlineStr">
        <is>
          <t>146620-63P</t>
        </is>
      </c>
      <c r="AK23" s="49" t="inlineStr">
        <is>
          <t>Tobias Caldeweyher</t>
        </is>
      </c>
      <c r="AL23" s="50" t="inlineStr">
        <is>
          <t>Head, E-Commerce Analytics and Mergers &amp; Acquisitions</t>
        </is>
      </c>
      <c r="AM23" s="51" t="inlineStr">
        <is>
          <t>tobias.caldeweyher@otto.de</t>
        </is>
      </c>
      <c r="AN23" s="52" t="inlineStr">
        <is>
          <t/>
        </is>
      </c>
      <c r="AO23" s="53" t="inlineStr">
        <is>
          <t>Hamburg, Germany</t>
        </is>
      </c>
      <c r="AP23" s="54" t="inlineStr">
        <is>
          <t>Werner-Otto-Straße 1 - 7</t>
        </is>
      </c>
      <c r="AQ23" s="55" t="inlineStr">
        <is>
          <t/>
        </is>
      </c>
      <c r="AR23" s="56" t="inlineStr">
        <is>
          <t>Hamburg</t>
        </is>
      </c>
      <c r="AS23" s="57" t="inlineStr">
        <is>
          <t/>
        </is>
      </c>
      <c r="AT23" s="58" t="inlineStr">
        <is>
          <t>22179</t>
        </is>
      </c>
      <c r="AU23" s="59" t="inlineStr">
        <is>
          <t>Germany</t>
        </is>
      </c>
      <c r="AV23" s="60" t="inlineStr">
        <is>
          <t/>
        </is>
      </c>
      <c r="AW23" s="61" t="inlineStr">
        <is>
          <t/>
        </is>
      </c>
      <c r="AX23" s="62" t="inlineStr">
        <is>
          <t/>
        </is>
      </c>
      <c r="AY23" s="63" t="inlineStr">
        <is>
          <t>Europe</t>
        </is>
      </c>
      <c r="AZ23" s="64" t="inlineStr">
        <is>
          <t>Western Europe</t>
        </is>
      </c>
      <c r="BA23" s="65" t="inlineStr">
        <is>
          <t>The company filed for Chapter 7 bankruptcy on July 18, 2012. The company is no longer actively tracked by PitchBook.</t>
        </is>
      </c>
      <c r="BB23" s="66" t="inlineStr">
        <is>
          <t/>
        </is>
      </c>
      <c r="BC23" s="67" t="inlineStr">
        <is>
          <t/>
        </is>
      </c>
      <c r="BD23" s="68" t="inlineStr">
        <is>
          <t/>
        </is>
      </c>
      <c r="BE23" s="69" t="inlineStr">
        <is>
          <t>Arcandor, Sun Capital Partners, VentureWell</t>
        </is>
      </c>
      <c r="BF23" s="70" t="inlineStr">
        <is>
          <t/>
        </is>
      </c>
      <c r="BG23" s="71" t="inlineStr">
        <is>
          <t/>
        </is>
      </c>
      <c r="BH23" s="72" t="inlineStr">
        <is>
          <t>Arcandor(www.arcandor.com), Sun Capital Partners(www.suncappart.com), VentureWell(www.venturewell.org)</t>
        </is>
      </c>
      <c r="BI23" s="73" t="inlineStr">
        <is>
          <t/>
        </is>
      </c>
      <c r="BJ23" s="74" t="inlineStr">
        <is>
          <t>Iskander Business Partner(Consulting), KPMG(Auditor), Pragma Corporate Finance(Advisor: General), Skillnet(Advisor: General)</t>
        </is>
      </c>
      <c r="BK23" s="75" t="inlineStr">
        <is>
          <t>EY(Advisor: General)</t>
        </is>
      </c>
      <c r="BL23" s="76" t="n">
        <v>39448.0</v>
      </c>
      <c r="BM23" s="77" t="n">
        <v>688.44</v>
      </c>
      <c r="BN23" s="78" t="inlineStr">
        <is>
          <t>Actual</t>
        </is>
      </c>
      <c r="BO23" s="79" t="n">
        <v>1349.89</v>
      </c>
      <c r="BP23" s="80" t="inlineStr">
        <is>
          <t>Actual</t>
        </is>
      </c>
      <c r="BQ23" s="81" t="inlineStr">
        <is>
          <t>Buyout/LBO</t>
        </is>
      </c>
      <c r="BR23" s="82" t="inlineStr">
        <is>
          <t>Corporate Divestiture</t>
        </is>
      </c>
      <c r="BS23" s="83" t="inlineStr">
        <is>
          <t/>
        </is>
      </c>
      <c r="BT23" s="84" t="inlineStr">
        <is>
          <t>Private Equity</t>
        </is>
      </c>
      <c r="BU23" s="85" t="inlineStr">
        <is>
          <t/>
        </is>
      </c>
      <c r="BV23" s="86" t="inlineStr">
        <is>
          <t/>
        </is>
      </c>
      <c r="BW23" s="87" t="inlineStr">
        <is>
          <t/>
        </is>
      </c>
      <c r="BX23" s="88" t="inlineStr">
        <is>
          <t>Completed</t>
        </is>
      </c>
      <c r="BY23" s="89" t="n">
        <v>41108.0</v>
      </c>
      <c r="BZ23" s="90" t="inlineStr">
        <is>
          <t/>
        </is>
      </c>
      <c r="CA23" s="91" t="inlineStr">
        <is>
          <t/>
        </is>
      </c>
      <c r="CB23" s="92" t="inlineStr">
        <is>
          <t/>
        </is>
      </c>
      <c r="CC23" s="93" t="inlineStr">
        <is>
          <t/>
        </is>
      </c>
      <c r="CD23" s="94" t="inlineStr">
        <is>
          <t>Bankruptcy: Liquidation</t>
        </is>
      </c>
      <c r="CE23" s="95" t="inlineStr">
        <is>
          <t/>
        </is>
      </c>
      <c r="CF23" s="96" t="inlineStr">
        <is>
          <t/>
        </is>
      </c>
      <c r="CG23" s="97" t="inlineStr">
        <is>
          <t>Bankruptcy</t>
        </is>
      </c>
      <c r="CH23" s="98" t="inlineStr">
        <is>
          <t/>
        </is>
      </c>
      <c r="CI23" s="99" t="inlineStr">
        <is>
          <t/>
        </is>
      </c>
      <c r="CJ23" s="100" t="inlineStr">
        <is>
          <t/>
        </is>
      </c>
      <c r="CK23" s="101" t="inlineStr">
        <is>
          <t>Completed</t>
        </is>
      </c>
      <c r="CL23" s="102" t="inlineStr">
        <is>
          <t/>
        </is>
      </c>
      <c r="CM23" s="103" t="inlineStr">
        <is>
          <t/>
        </is>
      </c>
      <c r="CN23" s="104" t="inlineStr">
        <is>
          <t/>
        </is>
      </c>
      <c r="CO23" s="105" t="inlineStr">
        <is>
          <t/>
        </is>
      </c>
      <c r="CP23" s="106" t="inlineStr">
        <is>
          <t/>
        </is>
      </c>
      <c r="CQ23" s="107" t="inlineStr">
        <is>
          <t/>
        </is>
      </c>
      <c r="CR23" s="108" t="inlineStr">
        <is>
          <t/>
        </is>
      </c>
      <c r="CS23" s="109" t="inlineStr">
        <is>
          <t/>
        </is>
      </c>
      <c r="CT23" s="110" t="inlineStr">
        <is>
          <t/>
        </is>
      </c>
      <c r="CU23" s="111" t="inlineStr">
        <is>
          <t/>
        </is>
      </c>
      <c r="CV23" s="112" t="inlineStr">
        <is>
          <t/>
        </is>
      </c>
      <c r="CW23" s="113" t="inlineStr">
        <is>
          <t/>
        </is>
      </c>
      <c r="CX23" s="114" t="inlineStr">
        <is>
          <t/>
        </is>
      </c>
      <c r="CY23" s="115" t="inlineStr">
        <is>
          <t/>
        </is>
      </c>
      <c r="CZ23" s="116" t="inlineStr">
        <is>
          <t/>
        </is>
      </c>
      <c r="DA23" s="117" t="inlineStr">
        <is>
          <t/>
        </is>
      </c>
      <c r="DB23" s="118" t="inlineStr">
        <is>
          <t/>
        </is>
      </c>
      <c r="DC23" s="119" t="inlineStr">
        <is>
          <t/>
        </is>
      </c>
      <c r="DD23" s="120" t="inlineStr">
        <is>
          <t/>
        </is>
      </c>
      <c r="DE23" s="121" t="inlineStr">
        <is>
          <t/>
        </is>
      </c>
      <c r="DF23" s="122" t="inlineStr">
        <is>
          <t/>
        </is>
      </c>
      <c r="DG23" s="123" t="inlineStr">
        <is>
          <t/>
        </is>
      </c>
      <c r="DH23" s="124" t="inlineStr">
        <is>
          <t/>
        </is>
      </c>
      <c r="DI23" s="125" t="inlineStr">
        <is>
          <t/>
        </is>
      </c>
      <c r="DJ23" s="126" t="inlineStr">
        <is>
          <t/>
        </is>
      </c>
      <c r="DK23" s="127" t="inlineStr">
        <is>
          <t/>
        </is>
      </c>
      <c r="DL23" s="128" t="inlineStr">
        <is>
          <t/>
        </is>
      </c>
      <c r="DM23" s="129" t="inlineStr">
        <is>
          <t/>
        </is>
      </c>
      <c r="DN23" s="130" t="inlineStr">
        <is>
          <t/>
        </is>
      </c>
      <c r="DO23" s="131" t="inlineStr">
        <is>
          <t/>
        </is>
      </c>
      <c r="DP23" s="132" t="inlineStr">
        <is>
          <t/>
        </is>
      </c>
      <c r="DQ23" s="133" t="inlineStr">
        <is>
          <t/>
        </is>
      </c>
      <c r="DR23" s="134" t="inlineStr">
        <is>
          <t/>
        </is>
      </c>
      <c r="DS23" s="135" t="inlineStr">
        <is>
          <t/>
        </is>
      </c>
      <c r="DT23" s="136" t="inlineStr">
        <is>
          <t/>
        </is>
      </c>
      <c r="DU23" s="137" t="inlineStr">
        <is>
          <t/>
        </is>
      </c>
      <c r="DV23" s="138" t="inlineStr">
        <is>
          <t/>
        </is>
      </c>
      <c r="DW23" s="139" t="inlineStr">
        <is>
          <t/>
        </is>
      </c>
      <c r="DX23" s="140" t="inlineStr">
        <is>
          <t/>
        </is>
      </c>
      <c r="DY23" s="141" t="inlineStr">
        <is>
          <t>PitchBook Research</t>
        </is>
      </c>
      <c r="DZ23" s="142" t="n">
        <v>43444.0</v>
      </c>
      <c r="EA23" s="143" t="inlineStr">
        <is>
          <t/>
        </is>
      </c>
      <c r="EB23" s="144" t="inlineStr">
        <is>
          <t/>
        </is>
      </c>
      <c r="EC23" s="145" t="inlineStr">
        <is>
          <t/>
        </is>
      </c>
      <c r="ED23" s="547">
        <f>HYPERLINK("https://my.pitchbook.com?c=11385-64", "View company online")</f>
      </c>
    </row>
    <row r="24">
      <c r="A24" s="147" t="inlineStr">
        <is>
          <t>60391-72</t>
        </is>
      </c>
      <c r="B24" s="148" t="inlineStr">
        <is>
          <t>Compagnie Financière Richemont (SWX: CFR)</t>
        </is>
      </c>
      <c r="C24" s="149" t="inlineStr">
        <is>
          <t/>
        </is>
      </c>
      <c r="D24" s="150" t="inlineStr">
        <is>
          <t>Richemont</t>
        </is>
      </c>
      <c r="E24" s="151" t="inlineStr">
        <is>
          <t>60391-72</t>
        </is>
      </c>
      <c r="F24" s="152" t="inlineStr">
        <is>
          <t>Richemont is a luxury goods conglomerate with 19 brands. Jewellery and watch brands make up over 80% of sales, but the group is also active in accessories, writing instruments, and clothing. Richemont's flagship brand is Cartier, accounting for around 70% of profits by our estimate. Its other brands include Van Cleef &amp; Arpels, Vacheron Constantin, Piaget, Jaeger-LeCoultre, IWC Schaffhausen, Lange &amp; Soehne, Officine Panerai, and Montblanc. The firm generates over half of sales from own retail and employs over 28,000 people, two thirds of whom are Europe-based.</t>
        </is>
      </c>
      <c r="G24" s="153" t="inlineStr">
        <is>
          <t>Financial Services</t>
        </is>
      </c>
      <c r="H24" s="154" t="inlineStr">
        <is>
          <t>Other Financial Services</t>
        </is>
      </c>
      <c r="I24" s="155" t="inlineStr">
        <is>
          <t>Holding Companies</t>
        </is>
      </c>
      <c r="J24" s="156" t="inlineStr">
        <is>
          <t>Accessories, Clothing, Holding Companies*, Luxury Goods</t>
        </is>
      </c>
      <c r="K24" s="157" t="inlineStr">
        <is>
          <t>Manufacturing</t>
        </is>
      </c>
      <c r="L24" s="158" t="inlineStr">
        <is>
          <t>leather goods, luxury goods, luxury watches</t>
        </is>
      </c>
      <c r="M24" s="159" t="inlineStr">
        <is>
          <t>Corporate Backed or Acquired</t>
        </is>
      </c>
      <c r="N24" s="160" t="inlineStr">
        <is>
          <t/>
        </is>
      </c>
      <c r="O24" s="161" t="inlineStr">
        <is>
          <t>Profitable</t>
        </is>
      </c>
      <c r="P24" s="162" t="inlineStr">
        <is>
          <t>Publicly Held</t>
        </is>
      </c>
      <c r="Q24" s="163" t="inlineStr">
        <is>
          <t>M&amp;A, Publicly Listed</t>
        </is>
      </c>
      <c r="R24" s="164" t="inlineStr">
        <is>
          <t>www.richemont.com</t>
        </is>
      </c>
      <c r="S24" s="165" t="n">
        <v>28740.0</v>
      </c>
      <c r="T24" s="166" t="inlineStr">
        <is>
          <t>2009: 19571, 2010: 19137, 2011: 21387, 2012: 24609, 2013: 27666, 2014: 29101, 2015: 28324, 2016: 28810, 2017: 28580, 2018: 28740</t>
        </is>
      </c>
      <c r="U24" s="167" t="inlineStr">
        <is>
          <t>SWX</t>
        </is>
      </c>
      <c r="V24" s="168" t="inlineStr">
        <is>
          <t>CFR</t>
        </is>
      </c>
      <c r="W24" s="169" t="n">
        <v>1988.0</v>
      </c>
      <c r="X24" s="170" t="inlineStr">
        <is>
          <t/>
        </is>
      </c>
      <c r="Y24" s="171" t="inlineStr">
        <is>
          <t/>
        </is>
      </c>
      <c r="Z24" s="172" t="inlineStr">
        <is>
          <t/>
        </is>
      </c>
      <c r="AA24" s="173" t="n">
        <v>14492.2</v>
      </c>
      <c r="AB24" s="174" t="n">
        <v>9206.63</v>
      </c>
      <c r="AC24" s="175" t="n">
        <v>2974.1</v>
      </c>
      <c r="AD24" s="176" t="n">
        <v>39737.21</v>
      </c>
      <c r="AE24" s="177" t="n">
        <v>4306.5</v>
      </c>
      <c r="AF24" s="178" t="inlineStr">
        <is>
          <t>TTM 2Q2019</t>
        </is>
      </c>
      <c r="AG24" s="179" t="n">
        <v>3521.34</v>
      </c>
      <c r="AH24" s="180" t="n">
        <v>40365.57</v>
      </c>
      <c r="AI24" s="181" t="n">
        <v>-1840.6</v>
      </c>
      <c r="AJ24" s="182" t="inlineStr">
        <is>
          <t>126233-38P</t>
        </is>
      </c>
      <c r="AK24" s="183" t="inlineStr">
        <is>
          <t>Sophie Cagnard</t>
        </is>
      </c>
      <c r="AL24" s="184" t="inlineStr">
        <is>
          <t>Head, Investor Relations</t>
        </is>
      </c>
      <c r="AM24" s="185" t="inlineStr">
        <is>
          <t>sophie.cagnard@richemont.com</t>
        </is>
      </c>
      <c r="AN24" s="186" t="inlineStr">
        <is>
          <t>+41 (0)22 721 3500</t>
        </is>
      </c>
      <c r="AO24" s="187" t="inlineStr">
        <is>
          <t>Geneva, Switzerland</t>
        </is>
      </c>
      <c r="AP24" s="188" t="inlineStr">
        <is>
          <t>50, Chemin de la Chênaie</t>
        </is>
      </c>
      <c r="AQ24" s="189" t="inlineStr">
        <is>
          <t>Case Postale 30, Bellevue</t>
        </is>
      </c>
      <c r="AR24" s="190" t="inlineStr">
        <is>
          <t>Geneva</t>
        </is>
      </c>
      <c r="AS24" s="191" t="inlineStr">
        <is>
          <t/>
        </is>
      </c>
      <c r="AT24" s="192" t="inlineStr">
        <is>
          <t>1293</t>
        </is>
      </c>
      <c r="AU24" s="193" t="inlineStr">
        <is>
          <t>Switzerland</t>
        </is>
      </c>
      <c r="AV24" s="194" t="inlineStr">
        <is>
          <t>+41 (0)22 721 3500</t>
        </is>
      </c>
      <c r="AW24" s="195" t="inlineStr">
        <is>
          <t>+41 (0)22 721 3550</t>
        </is>
      </c>
      <c r="AX24" s="196" t="inlineStr">
        <is>
          <t/>
        </is>
      </c>
      <c r="AY24" s="197" t="inlineStr">
        <is>
          <t>Europe</t>
        </is>
      </c>
      <c r="AZ24" s="198" t="inlineStr">
        <is>
          <t>Western Europe</t>
        </is>
      </c>
      <c r="BA24" s="199" t="inlineStr">
        <is>
          <t>An undisclosed investors sold a 9.1% stake in the company to Mr. Johann Rupert.</t>
        </is>
      </c>
      <c r="BB24" s="200" t="inlineStr">
        <is>
          <t/>
        </is>
      </c>
      <c r="BC24" s="201" t="inlineStr">
        <is>
          <t/>
        </is>
      </c>
      <c r="BD24" s="202" t="inlineStr">
        <is>
          <t/>
        </is>
      </c>
      <c r="BE24" s="203" t="inlineStr">
        <is>
          <t/>
        </is>
      </c>
      <c r="BF24" s="204" t="inlineStr">
        <is>
          <t/>
        </is>
      </c>
      <c r="BG24" s="205" t="inlineStr">
        <is>
          <t/>
        </is>
      </c>
      <c r="BH24" s="206" t="inlineStr">
        <is>
          <t/>
        </is>
      </c>
      <c r="BI24" s="207" t="inlineStr">
        <is>
          <t/>
        </is>
      </c>
      <c r="BJ24" s="208" t="inlineStr">
        <is>
          <t>ARISE Investment Consulting(Advisor: General), Brown Rudnick(Legal Advisor), Franzen &amp; Company(Advisor: General), Froriep Legal(Legal Advisor), Morri Rossetti e Associati Studio Legale e Tributario(Legal Advisor), Telsey Advisory Group(Advisor: General)</t>
        </is>
      </c>
      <c r="BK24" s="209" t="inlineStr">
        <is>
          <t>Lenz &amp; Staehelin(Legal Advisor)</t>
        </is>
      </c>
      <c r="BL24" s="210" t="n">
        <v>32143.0</v>
      </c>
      <c r="BM24" s="211" t="inlineStr">
        <is>
          <t/>
        </is>
      </c>
      <c r="BN24" s="212" t="inlineStr">
        <is>
          <t/>
        </is>
      </c>
      <c r="BO24" s="213" t="inlineStr">
        <is>
          <t/>
        </is>
      </c>
      <c r="BP24" s="214" t="inlineStr">
        <is>
          <t/>
        </is>
      </c>
      <c r="BQ24" s="215" t="inlineStr">
        <is>
          <t>IPO</t>
        </is>
      </c>
      <c r="BR24" s="216" t="inlineStr">
        <is>
          <t/>
        </is>
      </c>
      <c r="BS24" s="217" t="inlineStr">
        <is>
          <t/>
        </is>
      </c>
      <c r="BT24" s="218" t="inlineStr">
        <is>
          <t>Public Investment</t>
        </is>
      </c>
      <c r="BU24" s="219" t="inlineStr">
        <is>
          <t/>
        </is>
      </c>
      <c r="BV24" s="220" t="inlineStr">
        <is>
          <t/>
        </is>
      </c>
      <c r="BW24" s="221" t="inlineStr">
        <is>
          <t/>
        </is>
      </c>
      <c r="BX24" s="222" t="inlineStr">
        <is>
          <t>Completed</t>
        </is>
      </c>
      <c r="BY24" s="223" t="inlineStr">
        <is>
          <t/>
        </is>
      </c>
      <c r="BZ24" s="224" t="inlineStr">
        <is>
          <t/>
        </is>
      </c>
      <c r="CA24" s="225" t="inlineStr">
        <is>
          <t/>
        </is>
      </c>
      <c r="CB24" s="226" t="inlineStr">
        <is>
          <t/>
        </is>
      </c>
      <c r="CC24" s="227" t="inlineStr">
        <is>
          <t/>
        </is>
      </c>
      <c r="CD24" s="228" t="inlineStr">
        <is>
          <t>Secondary Transaction - Private</t>
        </is>
      </c>
      <c r="CE24" s="229" t="inlineStr">
        <is>
          <t/>
        </is>
      </c>
      <c r="CF24" s="230" t="inlineStr">
        <is>
          <t/>
        </is>
      </c>
      <c r="CG24" s="231" t="inlineStr">
        <is>
          <t>Corporate</t>
        </is>
      </c>
      <c r="CH24" s="232" t="inlineStr">
        <is>
          <t/>
        </is>
      </c>
      <c r="CI24" s="233" t="inlineStr">
        <is>
          <t/>
        </is>
      </c>
      <c r="CJ24" s="234" t="inlineStr">
        <is>
          <t/>
        </is>
      </c>
      <c r="CK24" s="235" t="inlineStr">
        <is>
          <t>Completed</t>
        </is>
      </c>
      <c r="CL24" s="236" t="inlineStr">
        <is>
          <t/>
        </is>
      </c>
      <c r="CM24" s="237" t="inlineStr">
        <is>
          <t/>
        </is>
      </c>
      <c r="CN24" s="238" t="n">
        <v>-2.51</v>
      </c>
      <c r="CO24" s="239" t="n">
        <v>2.0</v>
      </c>
      <c r="CP24" s="240" t="n">
        <v>0.01</v>
      </c>
      <c r="CQ24" s="241" t="n">
        <v>0.28</v>
      </c>
      <c r="CR24" s="242" t="n">
        <v>-2.51</v>
      </c>
      <c r="CS24" s="243" t="n">
        <v>3.0</v>
      </c>
      <c r="CT24" s="244" t="inlineStr">
        <is>
          <t/>
        </is>
      </c>
      <c r="CU24" s="245" t="inlineStr">
        <is>
          <t/>
        </is>
      </c>
      <c r="CV24" s="246" t="n">
        <v>-4.48</v>
      </c>
      <c r="CW24" s="247" t="n">
        <v>10.0</v>
      </c>
      <c r="CX24" s="248" t="n">
        <v>-0.55</v>
      </c>
      <c r="CY24" s="249" t="n">
        <v>6.0</v>
      </c>
      <c r="CZ24" s="250" t="inlineStr">
        <is>
          <t/>
        </is>
      </c>
      <c r="DA24" s="251" t="inlineStr">
        <is>
          <t/>
        </is>
      </c>
      <c r="DB24" s="252" t="n">
        <v>42.2</v>
      </c>
      <c r="DC24" s="253" t="n">
        <v>98.0</v>
      </c>
      <c r="DD24" s="254" t="n">
        <v>10.17</v>
      </c>
      <c r="DE24" s="255" t="n">
        <v>31.77</v>
      </c>
      <c r="DF24" s="256" t="n">
        <v>42.2</v>
      </c>
      <c r="DG24" s="257" t="n">
        <v>98.0</v>
      </c>
      <c r="DH24" s="258" t="inlineStr">
        <is>
          <t/>
        </is>
      </c>
      <c r="DI24" s="259" t="inlineStr">
        <is>
          <t/>
        </is>
      </c>
      <c r="DJ24" s="260" t="n">
        <v>1.61</v>
      </c>
      <c r="DK24" s="261" t="n">
        <v>61.0</v>
      </c>
      <c r="DL24" s="262" t="n">
        <v>82.79</v>
      </c>
      <c r="DM24" s="263" t="n">
        <v>99.0</v>
      </c>
      <c r="DN24" s="264" t="inlineStr">
        <is>
          <t/>
        </is>
      </c>
      <c r="DO24" s="265" t="inlineStr">
        <is>
          <t/>
        </is>
      </c>
      <c r="DP24" s="266" t="n">
        <v>1175.0</v>
      </c>
      <c r="DQ24" s="267" t="n">
        <v>-222.0</v>
      </c>
      <c r="DR24" s="268" t="n">
        <v>-15.89</v>
      </c>
      <c r="DS24" s="269" t="n">
        <v>2812.0</v>
      </c>
      <c r="DT24" s="270" t="n">
        <v>8.0</v>
      </c>
      <c r="DU24" s="271" t="n">
        <v>0.29</v>
      </c>
      <c r="DV24" s="272" t="inlineStr">
        <is>
          <t/>
        </is>
      </c>
      <c r="DW24" s="273" t="inlineStr">
        <is>
          <t/>
        </is>
      </c>
      <c r="DX24" s="274" t="inlineStr">
        <is>
          <t/>
        </is>
      </c>
      <c r="DY24" s="275" t="inlineStr">
        <is>
          <t>PitchBook Research</t>
        </is>
      </c>
      <c r="DZ24" s="276" t="n">
        <v>43491.0</v>
      </c>
      <c r="EA24" s="277" t="inlineStr">
        <is>
          <t/>
        </is>
      </c>
      <c r="EB24" s="278" t="inlineStr">
        <is>
          <t/>
        </is>
      </c>
      <c r="EC24" s="279" t="inlineStr">
        <is>
          <t/>
        </is>
      </c>
      <c r="ED24" s="548">
        <f>HYPERLINK("https://my.pitchbook.com?c=60391-72", "View company online")</f>
      </c>
    </row>
    <row r="25">
      <c r="A25" s="13" t="inlineStr">
        <is>
          <t>10219-51</t>
        </is>
      </c>
      <c r="B25" s="14" t="inlineStr">
        <is>
          <t>VF Corporation (NYS: VFC)</t>
        </is>
      </c>
      <c r="C25" s="15" t="inlineStr">
        <is>
          <t>Reading Glove and Mitten Manufacturing Company, Schuylkill Silk Mills</t>
        </is>
      </c>
      <c r="D25" s="16" t="inlineStr">
        <is>
          <t>VF</t>
        </is>
      </c>
      <c r="E25" s="17" t="inlineStr">
        <is>
          <t>10219-51</t>
        </is>
      </c>
      <c r="F25" s="18" t="inlineStr">
        <is>
          <t>VF designs, produces, and distributes branded apparel and accessories. Its largest apparel categories include action sports, outdoor, jeanswear, and workwear. Its portfolio of more than 30 brands includes Vans, The North Face, Timberland, Lee, and Wrangler. VF markets its products in the Americas, Europe, and Asia-Pacific through wholesale sales to retailers, e-commerce, and branded stores owned by the company and partners. The company has grown through multiple acquisitions and traces its roots to 1899.</t>
        </is>
      </c>
      <c r="G25" s="19" t="inlineStr">
        <is>
          <t>Consumer Products and Services (B2C)</t>
        </is>
      </c>
      <c r="H25" s="20" t="inlineStr">
        <is>
          <t>Apparel and Accessories</t>
        </is>
      </c>
      <c r="I25" s="21" t="inlineStr">
        <is>
          <t>Clothing</t>
        </is>
      </c>
      <c r="J25" s="22" t="inlineStr">
        <is>
          <t>Clothing*</t>
        </is>
      </c>
      <c r="K25" s="23" t="inlineStr">
        <is>
          <t>Manufacturing</t>
        </is>
      </c>
      <c r="L25" s="24" t="inlineStr">
        <is>
          <t>apparel, clothes, clothing, jeans, shirts</t>
        </is>
      </c>
      <c r="M25" s="25" t="inlineStr">
        <is>
          <t>Corporate Backed or Acquired</t>
        </is>
      </c>
      <c r="N25" s="26" t="n">
        <v>0.41</v>
      </c>
      <c r="O25" s="27" t="inlineStr">
        <is>
          <t>Profitable</t>
        </is>
      </c>
      <c r="P25" s="28" t="inlineStr">
        <is>
          <t>Publicly Held</t>
        </is>
      </c>
      <c r="Q25" s="29" t="inlineStr">
        <is>
          <t>M&amp;A, Publicly Listed</t>
        </is>
      </c>
      <c r="R25" s="30" t="inlineStr">
        <is>
          <t>www.vfc.com</t>
        </is>
      </c>
      <c r="S25" s="31" t="n">
        <v>59000.0</v>
      </c>
      <c r="T25" s="32" t="inlineStr">
        <is>
          <t>1989: 45000, 1990: 45000, 1991: 49000, 1992: 57000, 1993: 62000, 1994: 68000, 1995: 64000, 1996: 62800, 1997: 63400, 1998: 63400, 1999: 73000, 2000: 75000, 2001: 71000, 2002: 56000, 2003: 52300, 2004: 53200, 2005: 52300, 2006: 45500, 2007: 54200, 2008: 46600, 2009: 45700, 2011: 58000, 2012: 57000, 2013: 59000, 2015: 59000, 2016: 69000, 2017: 69000, 2018: 80000</t>
        </is>
      </c>
      <c r="U25" s="33" t="inlineStr">
        <is>
          <t>NYS</t>
        </is>
      </c>
      <c r="V25" s="34" t="inlineStr">
        <is>
          <t>VFC</t>
        </is>
      </c>
      <c r="W25" s="35" t="n">
        <v>1899.0</v>
      </c>
      <c r="X25" s="36" t="inlineStr">
        <is>
          <t/>
        </is>
      </c>
      <c r="Y25" s="37" t="inlineStr">
        <is>
          <t>News (New) </t>
        </is>
      </c>
      <c r="Z25" s="38" t="inlineStr">
        <is>
          <t>News (New) </t>
        </is>
      </c>
      <c r="AA25" s="39" t="n">
        <v>13681.14</v>
      </c>
      <c r="AB25" s="40" t="n">
        <v>6942.75</v>
      </c>
      <c r="AC25" s="41" t="n">
        <v>1383.78</v>
      </c>
      <c r="AD25" s="42" t="n">
        <v>31371.33</v>
      </c>
      <c r="AE25" s="43" t="n">
        <v>2028.15</v>
      </c>
      <c r="AF25" s="44" t="inlineStr">
        <is>
          <t>TTM 3Q2019</t>
        </is>
      </c>
      <c r="AG25" s="45" t="n">
        <v>1740.26</v>
      </c>
      <c r="AH25" s="46" t="n">
        <v>33120.09</v>
      </c>
      <c r="AI25" s="47" t="n">
        <v>2283.4</v>
      </c>
      <c r="AJ25" s="48" t="inlineStr">
        <is>
          <t>93036-70P</t>
        </is>
      </c>
      <c r="AK25" s="49" t="inlineStr">
        <is>
          <t>Scott Roe</t>
        </is>
      </c>
      <c r="AL25" s="50" t="inlineStr">
        <is>
          <t>Vice President and Chief Financial Officer</t>
        </is>
      </c>
      <c r="AM25" s="51" t="inlineStr">
        <is>
          <t>scott_roe@vfc.com</t>
        </is>
      </c>
      <c r="AN25" s="52" t="inlineStr">
        <is>
          <t>+1 (336) 424-6000</t>
        </is>
      </c>
      <c r="AO25" s="53" t="inlineStr">
        <is>
          <t>Greensboro, NC</t>
        </is>
      </c>
      <c r="AP25" s="54" t="inlineStr">
        <is>
          <t>105 Corporate Center Boulevard</t>
        </is>
      </c>
      <c r="AQ25" s="55" t="inlineStr">
        <is>
          <t/>
        </is>
      </c>
      <c r="AR25" s="56" t="inlineStr">
        <is>
          <t>Greensboro</t>
        </is>
      </c>
      <c r="AS25" s="57" t="inlineStr">
        <is>
          <t>North Carolina</t>
        </is>
      </c>
      <c r="AT25" s="58" t="inlineStr">
        <is>
          <t>27408</t>
        </is>
      </c>
      <c r="AU25" s="59" t="inlineStr">
        <is>
          <t>United States</t>
        </is>
      </c>
      <c r="AV25" s="60" t="inlineStr">
        <is>
          <t>+1 (336) 424-6000</t>
        </is>
      </c>
      <c r="AW25" s="61" t="inlineStr">
        <is>
          <t/>
        </is>
      </c>
      <c r="AX25" s="62" t="inlineStr">
        <is>
          <t/>
        </is>
      </c>
      <c r="AY25" s="63" t="inlineStr">
        <is>
          <t>Americas</t>
        </is>
      </c>
      <c r="AZ25" s="64" t="inlineStr">
        <is>
          <t>North America</t>
        </is>
      </c>
      <c r="BA25" s="65" t="inlineStr">
        <is>
          <t>The company received $408,000 of development capital from Amundi Pioneer Asset Management on December 3, 2017 through private placement.</t>
        </is>
      </c>
      <c r="BB25" s="66" t="inlineStr">
        <is>
          <t>Amundi Pioneer Asset Management</t>
        </is>
      </c>
      <c r="BC25" s="67" t="n">
        <v>1.0</v>
      </c>
      <c r="BD25" s="68" t="inlineStr">
        <is>
          <t/>
        </is>
      </c>
      <c r="BE25" s="69" t="inlineStr">
        <is>
          <t/>
        </is>
      </c>
      <c r="BF25" s="70" t="inlineStr">
        <is>
          <t/>
        </is>
      </c>
      <c r="BG25" s="71" t="inlineStr">
        <is>
          <t>Amundi Pioneer Asset Management(www.pioneerinvestments.com)</t>
        </is>
      </c>
      <c r="BH25" s="72" t="inlineStr">
        <is>
          <t/>
        </is>
      </c>
      <c r="BI25" s="73" t="inlineStr">
        <is>
          <t/>
        </is>
      </c>
      <c r="BJ25" s="74" t="inlineStr">
        <is>
          <t>Graval Consulting(Advisor: General), Miebach Consulting(Consulting), Odeon Capital Group(Advisor: General), Telsey Advisory Group(Advisor: General), The Brownestone Group(Consulting), Vestrics(Advisor: General)</t>
        </is>
      </c>
      <c r="BK25" s="75" t="inlineStr">
        <is>
          <t/>
        </is>
      </c>
      <c r="BL25" s="76" t="n">
        <v>24108.0</v>
      </c>
      <c r="BM25" s="77" t="inlineStr">
        <is>
          <t/>
        </is>
      </c>
      <c r="BN25" s="78" t="inlineStr">
        <is>
          <t/>
        </is>
      </c>
      <c r="BO25" s="79" t="inlineStr">
        <is>
          <t/>
        </is>
      </c>
      <c r="BP25" s="80" t="inlineStr">
        <is>
          <t/>
        </is>
      </c>
      <c r="BQ25" s="81" t="inlineStr">
        <is>
          <t>IPO</t>
        </is>
      </c>
      <c r="BR25" s="82" t="inlineStr">
        <is>
          <t/>
        </is>
      </c>
      <c r="BS25" s="83" t="inlineStr">
        <is>
          <t/>
        </is>
      </c>
      <c r="BT25" s="84" t="inlineStr">
        <is>
          <t>Public Investment</t>
        </is>
      </c>
      <c r="BU25" s="85" t="inlineStr">
        <is>
          <t/>
        </is>
      </c>
      <c r="BV25" s="86" t="inlineStr">
        <is>
          <t/>
        </is>
      </c>
      <c r="BW25" s="87" t="inlineStr">
        <is>
          <t/>
        </is>
      </c>
      <c r="BX25" s="88" t="inlineStr">
        <is>
          <t>Completed</t>
        </is>
      </c>
      <c r="BY25" s="89" t="n">
        <v>43072.0</v>
      </c>
      <c r="BZ25" s="90" t="n">
        <v>0.41</v>
      </c>
      <c r="CA25" s="91" t="inlineStr">
        <is>
          <t>Actual</t>
        </is>
      </c>
      <c r="CB25" s="92" t="n">
        <v>2.41</v>
      </c>
      <c r="CC25" s="93" t="inlineStr">
        <is>
          <t>Estimated</t>
        </is>
      </c>
      <c r="CD25" s="94" t="inlineStr">
        <is>
          <t>PIPE</t>
        </is>
      </c>
      <c r="CE25" s="95" t="inlineStr">
        <is>
          <t/>
        </is>
      </c>
      <c r="CF25" s="96" t="inlineStr">
        <is>
          <t/>
        </is>
      </c>
      <c r="CG25" s="97" t="inlineStr">
        <is>
          <t>Other</t>
        </is>
      </c>
      <c r="CH25" s="98" t="inlineStr">
        <is>
          <t/>
        </is>
      </c>
      <c r="CI25" s="99" t="inlineStr">
        <is>
          <t/>
        </is>
      </c>
      <c r="CJ25" s="100" t="inlineStr">
        <is>
          <t/>
        </is>
      </c>
      <c r="CK25" s="101" t="inlineStr">
        <is>
          <t>Completed</t>
        </is>
      </c>
      <c r="CL25" s="102" t="inlineStr">
        <is>
          <t/>
        </is>
      </c>
      <c r="CM25" s="103" t="inlineStr">
        <is>
          <t/>
        </is>
      </c>
      <c r="CN25" s="104" t="n">
        <v>-1.44</v>
      </c>
      <c r="CO25" s="105" t="n">
        <v>3.0</v>
      </c>
      <c r="CP25" s="106" t="n">
        <v>0.03</v>
      </c>
      <c r="CQ25" s="107" t="n">
        <v>1.83</v>
      </c>
      <c r="CR25" s="108" t="n">
        <v>-1.54</v>
      </c>
      <c r="CS25" s="109" t="n">
        <v>5.0</v>
      </c>
      <c r="CT25" s="110" t="n">
        <v>0.7</v>
      </c>
      <c r="CU25" s="111" t="n">
        <v>97.0</v>
      </c>
      <c r="CV25" s="112" t="n">
        <v>-2.8</v>
      </c>
      <c r="CW25" s="113" t="n">
        <v>17.0</v>
      </c>
      <c r="CX25" s="114" t="n">
        <v>-0.28</v>
      </c>
      <c r="CY25" s="115" t="n">
        <v>8.0</v>
      </c>
      <c r="CZ25" s="116" t="n">
        <v>0.7</v>
      </c>
      <c r="DA25" s="117" t="n">
        <v>97.0</v>
      </c>
      <c r="DB25" s="118" t="n">
        <v>95.42</v>
      </c>
      <c r="DC25" s="119" t="n">
        <v>99.0</v>
      </c>
      <c r="DD25" s="120" t="n">
        <v>4.45</v>
      </c>
      <c r="DE25" s="121" t="n">
        <v>4.89</v>
      </c>
      <c r="DF25" s="122" t="n">
        <v>63.23</v>
      </c>
      <c r="DG25" s="123" t="n">
        <v>99.0</v>
      </c>
      <c r="DH25" s="124" t="n">
        <v>4.51</v>
      </c>
      <c r="DI25" s="125" t="n">
        <v>77.0</v>
      </c>
      <c r="DJ25" s="126" t="n">
        <v>26.1</v>
      </c>
      <c r="DK25" s="127" t="n">
        <v>92.0</v>
      </c>
      <c r="DL25" s="128" t="n">
        <v>100.35</v>
      </c>
      <c r="DM25" s="129" t="n">
        <v>99.0</v>
      </c>
      <c r="DN25" s="130" t="n">
        <v>4.51</v>
      </c>
      <c r="DO25" s="131" t="n">
        <v>78.0</v>
      </c>
      <c r="DP25" s="132" t="n">
        <v>18650.0</v>
      </c>
      <c r="DQ25" s="133" t="n">
        <v>-353.0</v>
      </c>
      <c r="DR25" s="134" t="n">
        <v>-1.86</v>
      </c>
      <c r="DS25" s="135" t="n">
        <v>3404.0</v>
      </c>
      <c r="DT25" s="136" t="n">
        <v>17.0</v>
      </c>
      <c r="DU25" s="137" t="n">
        <v>0.5</v>
      </c>
      <c r="DV25" s="138" t="n">
        <v>1614.0</v>
      </c>
      <c r="DW25" s="139" t="n">
        <v>14.0</v>
      </c>
      <c r="DX25" s="140" t="n">
        <v>0.88</v>
      </c>
      <c r="DY25" s="141" t="inlineStr">
        <is>
          <t>PitchBook Research</t>
        </is>
      </c>
      <c r="DZ25" s="142" t="n">
        <v>43516.0</v>
      </c>
      <c r="EA25" s="143" t="n">
        <v>2.41</v>
      </c>
      <c r="EB25" s="144" t="n">
        <v>43072.0</v>
      </c>
      <c r="EC25" s="145" t="inlineStr">
        <is>
          <t>PIPE</t>
        </is>
      </c>
      <c r="ED25" s="547">
        <f>HYPERLINK("https://my.pitchbook.com?c=10219-51", "View company online")</f>
      </c>
    </row>
    <row r="26">
      <c r="A26" s="147" t="inlineStr">
        <is>
          <t>10308-97</t>
        </is>
      </c>
      <c r="B26" s="148" t="inlineStr">
        <is>
          <t>L Brands (NYS: LB)</t>
        </is>
      </c>
      <c r="C26" s="149" t="inlineStr">
        <is>
          <t>The Limited Inc., Limited Brands Inc.</t>
        </is>
      </c>
      <c r="D26" s="150" t="inlineStr">
        <is>
          <t>LB</t>
        </is>
      </c>
      <c r="E26" s="151" t="inlineStr">
        <is>
          <t>10308-97</t>
        </is>
      </c>
      <c r="F26" s="152" t="inlineStr">
        <is>
          <t>L Brands is a women's intimate, personal care, and beauty retailer operating under the Victoria's Secret, Pink, Bath &amp; Body Works, La Senza, and Henri Bendel brands. The company generates the majority of its business in North America, with only about 4% of sales coming from international markets in fiscal 2017. Distribution channels include about 3,100 stores and online.</t>
        </is>
      </c>
      <c r="G26" s="153" t="inlineStr">
        <is>
          <t>Consumer Products and Services (B2C)</t>
        </is>
      </c>
      <c r="H26" s="154" t="inlineStr">
        <is>
          <t>Retail</t>
        </is>
      </c>
      <c r="I26" s="155" t="inlineStr">
        <is>
          <t>Specialty Retail</t>
        </is>
      </c>
      <c r="J26" s="156" t="inlineStr">
        <is>
          <t>Accessories, Clothing, Personal Products, Specialty Retail*</t>
        </is>
      </c>
      <c r="K26" s="157" t="inlineStr">
        <is>
          <t>E-Commerce, TMT</t>
        </is>
      </c>
      <c r="L26" s="158" t="inlineStr">
        <is>
          <t>beauty product, lingerie, personal care product, retail apparel, women's accessories, womens lingerie</t>
        </is>
      </c>
      <c r="M26" s="159" t="inlineStr">
        <is>
          <t>Corporate Backed or Acquired</t>
        </is>
      </c>
      <c r="N26" s="160" t="inlineStr">
        <is>
          <t/>
        </is>
      </c>
      <c r="O26" s="161" t="inlineStr">
        <is>
          <t>Profitable</t>
        </is>
      </c>
      <c r="P26" s="162" t="inlineStr">
        <is>
          <t>Publicly Held</t>
        </is>
      </c>
      <c r="Q26" s="163" t="inlineStr">
        <is>
          <t>M&amp;A, Publicly Listed</t>
        </is>
      </c>
      <c r="R26" s="164" t="inlineStr">
        <is>
          <t>www.lb.com</t>
        </is>
      </c>
      <c r="S26" s="165" t="n">
        <v>93200.0</v>
      </c>
      <c r="T26" s="166" t="inlineStr">
        <is>
          <t>1990: 63000, 1991: 72500, 1992: 83800, 1993: 100700, 1994: 97500, 1995: 33200, 1996: 104000, 1997: 32800, 1998: 34800, 1999: 34500, 2000: 114600, 2001: 123700, 2002: 100300, 2003: 98900, 2004: 111100, 2005: 115300, 2006: 110000, 2007: 125500, 2008: 97500, 2009: 90900, 2010: 92100, 2011: 96500, 2012: 97000, 2013: 99400, 2014: 94600, 2015: 80100, 2016: 87900, 2017: 93600, 2018: 93200</t>
        </is>
      </c>
      <c r="U26" s="167" t="inlineStr">
        <is>
          <t>NYS</t>
        </is>
      </c>
      <c r="V26" s="168" t="inlineStr">
        <is>
          <t>LB</t>
        </is>
      </c>
      <c r="W26" s="169" t="n">
        <v>1963.0</v>
      </c>
      <c r="X26" s="170" t="inlineStr">
        <is>
          <t/>
        </is>
      </c>
      <c r="Y26" s="171" t="inlineStr">
        <is>
          <t/>
        </is>
      </c>
      <c r="Z26" s="172" t="inlineStr">
        <is>
          <t>News (New) , Filing (New) </t>
        </is>
      </c>
      <c r="AA26" s="173" t="n">
        <v>13237.0</v>
      </c>
      <c r="AB26" s="174" t="n">
        <v>4899.0</v>
      </c>
      <c r="AC26" s="175" t="n">
        <v>644.0</v>
      </c>
      <c r="AD26" s="176" t="n">
        <v>13183.48</v>
      </c>
      <c r="AE26" s="177" t="n">
        <v>1832.0</v>
      </c>
      <c r="AF26" s="178" t="inlineStr">
        <is>
          <t>FY 2019</t>
        </is>
      </c>
      <c r="AG26" s="179" t="n">
        <v>1242.0</v>
      </c>
      <c r="AH26" s="180" t="n">
        <v>7337.58</v>
      </c>
      <c r="AI26" s="181" t="n">
        <v>4398.0</v>
      </c>
      <c r="AJ26" s="182" t="inlineStr">
        <is>
          <t>11769-22P</t>
        </is>
      </c>
      <c r="AK26" s="183" t="inlineStr">
        <is>
          <t>Leslie Wexner</t>
        </is>
      </c>
      <c r="AL26" s="184" t="inlineStr">
        <is>
          <t>Founder, Chairman &amp; Chief Executive Officer</t>
        </is>
      </c>
      <c r="AM26" s="185" t="inlineStr">
        <is>
          <t>leslie.wexner@lb.com</t>
        </is>
      </c>
      <c r="AN26" s="186" t="inlineStr">
        <is>
          <t>+1 (614) 415-7000</t>
        </is>
      </c>
      <c r="AO26" s="187" t="inlineStr">
        <is>
          <t>Columbus, OH</t>
        </is>
      </c>
      <c r="AP26" s="188" t="inlineStr">
        <is>
          <t>Three Limited Parkway</t>
        </is>
      </c>
      <c r="AQ26" s="189" t="inlineStr">
        <is>
          <t/>
        </is>
      </c>
      <c r="AR26" s="190" t="inlineStr">
        <is>
          <t>Columbus</t>
        </is>
      </c>
      <c r="AS26" s="191" t="inlineStr">
        <is>
          <t>Ohio</t>
        </is>
      </c>
      <c r="AT26" s="192" t="inlineStr">
        <is>
          <t>43230</t>
        </is>
      </c>
      <c r="AU26" s="193" t="inlineStr">
        <is>
          <t>United States</t>
        </is>
      </c>
      <c r="AV26" s="194" t="inlineStr">
        <is>
          <t>+1 (614) 415-7000</t>
        </is>
      </c>
      <c r="AW26" s="195" t="inlineStr">
        <is>
          <t/>
        </is>
      </c>
      <c r="AX26" s="196" t="inlineStr">
        <is>
          <t/>
        </is>
      </c>
      <c r="AY26" s="197" t="inlineStr">
        <is>
          <t>Americas</t>
        </is>
      </c>
      <c r="AZ26" s="198" t="inlineStr">
        <is>
          <t>North America</t>
        </is>
      </c>
      <c r="BA26" s="199" t="inlineStr">
        <is>
          <t>International Value Advisers acquired a 5.3% stake in the company (NYSE: LB) for an undisclosed amount on April 4, 2017.</t>
        </is>
      </c>
      <c r="BB26" s="200" t="inlineStr">
        <is>
          <t>International Value Advisers</t>
        </is>
      </c>
      <c r="BC26" s="201" t="n">
        <v>1.0</v>
      </c>
      <c r="BD26" s="202" t="inlineStr">
        <is>
          <t/>
        </is>
      </c>
      <c r="BE26" s="203" t="inlineStr">
        <is>
          <t/>
        </is>
      </c>
      <c r="BF26" s="204" t="inlineStr">
        <is>
          <t/>
        </is>
      </c>
      <c r="BG26" s="205" t="inlineStr">
        <is>
          <t>International Value Advisers(ivafunds.com)</t>
        </is>
      </c>
      <c r="BH26" s="206" t="inlineStr">
        <is>
          <t/>
        </is>
      </c>
      <c r="BI26" s="207" t="inlineStr">
        <is>
          <t/>
        </is>
      </c>
      <c r="BJ26" s="208" t="inlineStr">
        <is>
          <t>Leydig, Voit &amp; Mayer(Legal Advisor), Telsey Advisory Group(Advisor: General)</t>
        </is>
      </c>
      <c r="BK26" s="209" t="inlineStr">
        <is>
          <t/>
        </is>
      </c>
      <c r="BL26" s="210" t="n">
        <v>25505.0</v>
      </c>
      <c r="BM26" s="211" t="inlineStr">
        <is>
          <t/>
        </is>
      </c>
      <c r="BN26" s="212" t="inlineStr">
        <is>
          <t/>
        </is>
      </c>
      <c r="BO26" s="213" t="inlineStr">
        <is>
          <t/>
        </is>
      </c>
      <c r="BP26" s="214" t="inlineStr">
        <is>
          <t/>
        </is>
      </c>
      <c r="BQ26" s="215" t="inlineStr">
        <is>
          <t>IPO</t>
        </is>
      </c>
      <c r="BR26" s="216" t="inlineStr">
        <is>
          <t/>
        </is>
      </c>
      <c r="BS26" s="217" t="inlineStr">
        <is>
          <t/>
        </is>
      </c>
      <c r="BT26" s="218" t="inlineStr">
        <is>
          <t>Public Investment</t>
        </is>
      </c>
      <c r="BU26" s="219" t="inlineStr">
        <is>
          <t/>
        </is>
      </c>
      <c r="BV26" s="220" t="inlineStr">
        <is>
          <t/>
        </is>
      </c>
      <c r="BW26" s="221" t="inlineStr">
        <is>
          <t/>
        </is>
      </c>
      <c r="BX26" s="222" t="inlineStr">
        <is>
          <t>Completed</t>
        </is>
      </c>
      <c r="BY26" s="223" t="n">
        <v>42842.0</v>
      </c>
      <c r="BZ26" s="224" t="inlineStr">
        <is>
          <t/>
        </is>
      </c>
      <c r="CA26" s="225" t="inlineStr">
        <is>
          <t/>
        </is>
      </c>
      <c r="CB26" s="226" t="inlineStr">
        <is>
          <t/>
        </is>
      </c>
      <c r="CC26" s="227" t="inlineStr">
        <is>
          <t/>
        </is>
      </c>
      <c r="CD26" s="228" t="inlineStr">
        <is>
          <t>Secondary Transaction - Private</t>
        </is>
      </c>
      <c r="CE26" s="229" t="inlineStr">
        <is>
          <t/>
        </is>
      </c>
      <c r="CF26" s="230" t="inlineStr">
        <is>
          <t/>
        </is>
      </c>
      <c r="CG26" s="231" t="inlineStr">
        <is>
          <t>Corporate</t>
        </is>
      </c>
      <c r="CH26" s="232" t="inlineStr">
        <is>
          <t/>
        </is>
      </c>
      <c r="CI26" s="233" t="inlineStr">
        <is>
          <t/>
        </is>
      </c>
      <c r="CJ26" s="234" t="inlineStr">
        <is>
          <t/>
        </is>
      </c>
      <c r="CK26" s="235" t="inlineStr">
        <is>
          <t>Completed</t>
        </is>
      </c>
      <c r="CL26" s="236" t="inlineStr">
        <is>
          <t/>
        </is>
      </c>
      <c r="CM26" s="237" t="inlineStr">
        <is>
          <t/>
        </is>
      </c>
      <c r="CN26" s="238" t="n">
        <v>-0.91</v>
      </c>
      <c r="CO26" s="239" t="n">
        <v>5.0</v>
      </c>
      <c r="CP26" s="240" t="n">
        <v>-0.02</v>
      </c>
      <c r="CQ26" s="241" t="n">
        <v>-2.44</v>
      </c>
      <c r="CR26" s="242" t="n">
        <v>-1.81</v>
      </c>
      <c r="CS26" s="243" t="n">
        <v>4.0</v>
      </c>
      <c r="CT26" s="244" t="n">
        <v>-0.01</v>
      </c>
      <c r="CU26" s="245" t="n">
        <v>25.0</v>
      </c>
      <c r="CV26" s="246" t="n">
        <v>-2.81</v>
      </c>
      <c r="CW26" s="247" t="n">
        <v>17.0</v>
      </c>
      <c r="CX26" s="248" t="n">
        <v>-0.81</v>
      </c>
      <c r="CY26" s="249" t="n">
        <v>5.0</v>
      </c>
      <c r="CZ26" s="250" t="n">
        <v>-0.01</v>
      </c>
      <c r="DA26" s="251" t="n">
        <v>27.0</v>
      </c>
      <c r="DB26" s="252" t="n">
        <v>23.63</v>
      </c>
      <c r="DC26" s="253" t="n">
        <v>96.0</v>
      </c>
      <c r="DD26" s="254" t="n">
        <v>2.52</v>
      </c>
      <c r="DE26" s="255" t="n">
        <v>11.95</v>
      </c>
      <c r="DF26" s="256" t="n">
        <v>28.84</v>
      </c>
      <c r="DG26" s="257" t="n">
        <v>96.0</v>
      </c>
      <c r="DH26" s="258" t="n">
        <v>18.41</v>
      </c>
      <c r="DI26" s="259" t="n">
        <v>91.0</v>
      </c>
      <c r="DJ26" s="260" t="n">
        <v>16.8</v>
      </c>
      <c r="DK26" s="261" t="n">
        <v>90.0</v>
      </c>
      <c r="DL26" s="262" t="n">
        <v>40.88</v>
      </c>
      <c r="DM26" s="263" t="n">
        <v>97.0</v>
      </c>
      <c r="DN26" s="264" t="n">
        <v>18.41</v>
      </c>
      <c r="DO26" s="265" t="n">
        <v>92.0</v>
      </c>
      <c r="DP26" s="266" t="n">
        <v>12090.0</v>
      </c>
      <c r="DQ26" s="267" t="n">
        <v>-998.0</v>
      </c>
      <c r="DR26" s="268" t="n">
        <v>-7.63</v>
      </c>
      <c r="DS26" s="269" t="n">
        <v>1391.0</v>
      </c>
      <c r="DT26" s="270" t="n">
        <v>-2.0</v>
      </c>
      <c r="DU26" s="271" t="n">
        <v>-0.14</v>
      </c>
      <c r="DV26" s="272" t="n">
        <v>6611.0</v>
      </c>
      <c r="DW26" s="273" t="n">
        <v>-7.0</v>
      </c>
      <c r="DX26" s="274" t="n">
        <v>-0.11</v>
      </c>
      <c r="DY26" s="275" t="inlineStr">
        <is>
          <t>PitchBook Research</t>
        </is>
      </c>
      <c r="DZ26" s="276" t="n">
        <v>43525.0</v>
      </c>
      <c r="EA26" s="277" t="inlineStr">
        <is>
          <t/>
        </is>
      </c>
      <c r="EB26" s="278" t="inlineStr">
        <is>
          <t/>
        </is>
      </c>
      <c r="EC26" s="279" t="inlineStr">
        <is>
          <t/>
        </is>
      </c>
      <c r="ED26" s="548">
        <f>HYPERLINK("https://my.pitchbook.com?c=10308-97", "View company online")</f>
      </c>
    </row>
    <row r="27">
      <c r="A27" s="13" t="inlineStr">
        <is>
          <t>11821-33</t>
        </is>
      </c>
      <c r="B27" s="14" t="inlineStr">
        <is>
          <t>Sears Holdings (PINX: SHLDQ)</t>
        </is>
      </c>
      <c r="C27" s="15" t="inlineStr">
        <is>
          <t>S.S. Kresge Company, Sears, Roebuck &amp; Co., Sears Watch Company</t>
        </is>
      </c>
      <c r="D27" s="16" t="inlineStr">
        <is>
          <t>Sears</t>
        </is>
      </c>
      <c r="E27" s="17" t="inlineStr">
        <is>
          <t>11821-33</t>
        </is>
      </c>
      <c r="F27" s="18" t="inlineStr">
        <is>
          <t>Sears Holdings Corporation is an America-based retailer that integrates the digital and physical shopping experiences for consumers. The company operates through retail store brands Sears and Kmart. Sears provides a broad range of home merchandise, apparel, automotive products and home services through both online and offline channels across the United States, and it owns proprietary brands, including Kenmore, Craftsman, and DieHard. Kmart is a mass merchandising firm, offering quality products to customers through exclusive brands. The majority of the company's revenue comes from the domestic market.</t>
        </is>
      </c>
      <c r="G27" s="19" t="inlineStr">
        <is>
          <t>Consumer Products and Services (B2C)</t>
        </is>
      </c>
      <c r="H27" s="20" t="inlineStr">
        <is>
          <t>Retail</t>
        </is>
      </c>
      <c r="I27" s="21" t="inlineStr">
        <is>
          <t>Department Stores</t>
        </is>
      </c>
      <c r="J27" s="22" t="inlineStr">
        <is>
          <t>Clothing, Department Stores*, Specialty Retail</t>
        </is>
      </c>
      <c r="K27" s="23" t="inlineStr">
        <is>
          <t/>
        </is>
      </c>
      <c r="L27" s="24" t="inlineStr">
        <is>
          <t>automotive product, home merchandise, specialty retail stores</t>
        </is>
      </c>
      <c r="M27" s="25" t="inlineStr">
        <is>
          <t>Private Equity-Backed</t>
        </is>
      </c>
      <c r="N27" s="26" t="n">
        <v>350.0</v>
      </c>
      <c r="O27" s="27" t="inlineStr">
        <is>
          <t>Generating Revenue/Not Profitable</t>
        </is>
      </c>
      <c r="P27" s="28" t="inlineStr">
        <is>
          <t>Publicly Held</t>
        </is>
      </c>
      <c r="Q27" s="29" t="inlineStr">
        <is>
          <t>Debt Financed, M&amp;A, Private Equity, Publicly Listed</t>
        </is>
      </c>
      <c r="R27" s="30" t="inlineStr">
        <is>
          <t>www.searsholdings.com</t>
        </is>
      </c>
      <c r="S27" s="31" t="n">
        <v>50000.0</v>
      </c>
      <c r="T27" s="32" t="inlineStr">
        <is>
          <t>1969: 350000, 2004: 158000, 2005: 133000, 2006: 355000, 2007: 352000, 2008: 337000, 2009: 291000, 2010: 322000, 2011: 312000, 2012: 293000, 2013: 274000, 2014: 249000, 2015: 196000, 2016: 178000, 2017: 140000, 2018: 90000, 2019: 50000</t>
        </is>
      </c>
      <c r="U27" s="33" t="inlineStr">
        <is>
          <t>PINX</t>
        </is>
      </c>
      <c r="V27" s="34" t="inlineStr">
        <is>
          <t>SHLDQ</t>
        </is>
      </c>
      <c r="W27" s="35" t="n">
        <v>1896.0</v>
      </c>
      <c r="X27" s="36" t="inlineStr">
        <is>
          <t/>
        </is>
      </c>
      <c r="Y27" s="37" t="inlineStr">
        <is>
          <t/>
        </is>
      </c>
      <c r="Z27" s="38" t="inlineStr">
        <is>
          <t>News (New) </t>
        </is>
      </c>
      <c r="AA27" s="39" t="n">
        <v>13191.0</v>
      </c>
      <c r="AB27" s="40" t="n">
        <v>2658.0</v>
      </c>
      <c r="AC27" s="41" t="n">
        <v>-1700.0</v>
      </c>
      <c r="AD27" s="42" t="n">
        <v>5212.8</v>
      </c>
      <c r="AE27" s="43" t="n">
        <v>-1525.0</v>
      </c>
      <c r="AF27" s="44" t="inlineStr">
        <is>
          <t>TTM 3Q2019</t>
        </is>
      </c>
      <c r="AG27" s="45" t="n">
        <v>-1800.0</v>
      </c>
      <c r="AH27" s="46" t="n">
        <v>98.2</v>
      </c>
      <c r="AI27" s="47" t="n">
        <v>3326.0</v>
      </c>
      <c r="AJ27" s="48" t="inlineStr">
        <is>
          <t>100566-37P</t>
        </is>
      </c>
      <c r="AK27" s="49" t="inlineStr">
        <is>
          <t>Robert Riecker</t>
        </is>
      </c>
      <c r="AL27" s="50" t="inlineStr">
        <is>
          <t>Chief Financial Officer</t>
        </is>
      </c>
      <c r="AM27" s="51" t="inlineStr">
        <is>
          <t>robert.riecker@searshc.com</t>
        </is>
      </c>
      <c r="AN27" s="52" t="inlineStr">
        <is>
          <t>+1 (847) 286-2500</t>
        </is>
      </c>
      <c r="AO27" s="53" t="inlineStr">
        <is>
          <t>Hoffman Estates, IL</t>
        </is>
      </c>
      <c r="AP27" s="54" t="inlineStr">
        <is>
          <t>3333 Beverly Road</t>
        </is>
      </c>
      <c r="AQ27" s="55" t="inlineStr">
        <is>
          <t/>
        </is>
      </c>
      <c r="AR27" s="56" t="inlineStr">
        <is>
          <t>Hoffman Estates</t>
        </is>
      </c>
      <c r="AS27" s="57" t="inlineStr">
        <is>
          <t>Illinois</t>
        </is>
      </c>
      <c r="AT27" s="58" t="inlineStr">
        <is>
          <t>60179</t>
        </is>
      </c>
      <c r="AU27" s="59" t="inlineStr">
        <is>
          <t>United States</t>
        </is>
      </c>
      <c r="AV27" s="60" t="inlineStr">
        <is>
          <t>+1 (847) 286-2500</t>
        </is>
      </c>
      <c r="AW27" s="61" t="inlineStr">
        <is>
          <t/>
        </is>
      </c>
      <c r="AX27" s="62" t="inlineStr">
        <is>
          <t>contact@searsholdings.com</t>
        </is>
      </c>
      <c r="AY27" s="63" t="inlineStr">
        <is>
          <t>Americas</t>
        </is>
      </c>
      <c r="AZ27" s="64" t="inlineStr">
        <is>
          <t>North America</t>
        </is>
      </c>
      <c r="BA27" s="65" t="inlineStr">
        <is>
          <t>The company was acquired by ESL Investments through a $5.2 billion LBO on February 11, 2019. Previously, the company filed for Chapter 11 bankruptcy on October 15, 2018.</t>
        </is>
      </c>
      <c r="BB27" s="66" t="inlineStr">
        <is>
          <t>ESL Investments</t>
        </is>
      </c>
      <c r="BC27" s="67" t="n">
        <v>1.0</v>
      </c>
      <c r="BD27" s="68" t="inlineStr">
        <is>
          <t/>
        </is>
      </c>
      <c r="BE27" s="69" t="inlineStr">
        <is>
          <t>Kmart</t>
        </is>
      </c>
      <c r="BF27" s="70" t="inlineStr">
        <is>
          <t/>
        </is>
      </c>
      <c r="BG27" s="71" t="inlineStr">
        <is>
          <t/>
        </is>
      </c>
      <c r="BH27" s="72" t="inlineStr">
        <is>
          <t>Kmart(www.kmart.com)</t>
        </is>
      </c>
      <c r="BI27" s="73" t="inlineStr">
        <is>
          <t/>
        </is>
      </c>
      <c r="BJ27" s="74" t="inlineStr">
        <is>
          <t>Odeon Capital Group(Advisor: General)</t>
        </is>
      </c>
      <c r="BK27" s="75" t="inlineStr">
        <is>
          <t>American Capital (ACAS)(Debt Financing), American Capital Senior Floating(Debt Financing), Bank of America(Debt Financing), ESL Investments(Debt Financing), GE Commercial Finance(Debt Financing), Lazard Middle Market(Advisor: General), M-III Partners(Advisor: General), Third Avenue Management(Debt Financing), Weil, Gotshal &amp; Manges(Legal Advisor)</t>
        </is>
      </c>
      <c r="BL27" s="76" t="n">
        <v>6576.0</v>
      </c>
      <c r="BM27" s="77" t="inlineStr">
        <is>
          <t/>
        </is>
      </c>
      <c r="BN27" s="78" t="inlineStr">
        <is>
          <t/>
        </is>
      </c>
      <c r="BO27" s="79" t="inlineStr">
        <is>
          <t/>
        </is>
      </c>
      <c r="BP27" s="80" t="inlineStr">
        <is>
          <t/>
        </is>
      </c>
      <c r="BQ27" s="81" t="inlineStr">
        <is>
          <t>IPO</t>
        </is>
      </c>
      <c r="BR27" s="82" t="inlineStr">
        <is>
          <t/>
        </is>
      </c>
      <c r="BS27" s="83" t="inlineStr">
        <is>
          <t/>
        </is>
      </c>
      <c r="BT27" s="84" t="inlineStr">
        <is>
          <t>Public Investment</t>
        </is>
      </c>
      <c r="BU27" s="85" t="inlineStr">
        <is>
          <t/>
        </is>
      </c>
      <c r="BV27" s="86" t="inlineStr">
        <is>
          <t/>
        </is>
      </c>
      <c r="BW27" s="87" t="inlineStr">
        <is>
          <t/>
        </is>
      </c>
      <c r="BX27" s="88" t="inlineStr">
        <is>
          <t>Completed</t>
        </is>
      </c>
      <c r="BY27" s="89" t="n">
        <v>43507.0</v>
      </c>
      <c r="BZ27" s="90" t="n">
        <v>5200.0</v>
      </c>
      <c r="CA27" s="91" t="inlineStr">
        <is>
          <t>Actual</t>
        </is>
      </c>
      <c r="CB27" s="92" t="n">
        <v>6407.1</v>
      </c>
      <c r="CC27" s="93" t="inlineStr">
        <is>
          <t>Estimated</t>
        </is>
      </c>
      <c r="CD27" s="94" t="inlineStr">
        <is>
          <t>Buyout/LBO</t>
        </is>
      </c>
      <c r="CE27" s="95" t="inlineStr">
        <is>
          <t/>
        </is>
      </c>
      <c r="CF27" s="96" t="inlineStr">
        <is>
          <t/>
        </is>
      </c>
      <c r="CG27" s="97" t="inlineStr">
        <is>
          <t>Private Equity</t>
        </is>
      </c>
      <c r="CH27" s="98" t="inlineStr">
        <is>
          <t/>
        </is>
      </c>
      <c r="CI27" s="99" t="inlineStr">
        <is>
          <t/>
        </is>
      </c>
      <c r="CJ27" s="100" t="inlineStr">
        <is>
          <t/>
        </is>
      </c>
      <c r="CK27" s="101" t="inlineStr">
        <is>
          <t>Completed</t>
        </is>
      </c>
      <c r="CL27" s="102" t="n">
        <v>42607.0</v>
      </c>
      <c r="CM27" s="103" t="n">
        <v>300.0</v>
      </c>
      <c r="CN27" s="104" t="n">
        <v>-1.05</v>
      </c>
      <c r="CO27" s="105" t="n">
        <v>4.0</v>
      </c>
      <c r="CP27" s="106" t="n">
        <v>-0.03</v>
      </c>
      <c r="CQ27" s="107" t="n">
        <v>-3.36</v>
      </c>
      <c r="CR27" s="108" t="n">
        <v>-1.83</v>
      </c>
      <c r="CS27" s="109" t="n">
        <v>4.0</v>
      </c>
      <c r="CT27" s="110" t="n">
        <v>0.14</v>
      </c>
      <c r="CU27" s="111" t="n">
        <v>78.0</v>
      </c>
      <c r="CV27" s="112" t="n">
        <v>-2.64</v>
      </c>
      <c r="CW27" s="113" t="n">
        <v>17.0</v>
      </c>
      <c r="CX27" s="114" t="n">
        <v>-1.01</v>
      </c>
      <c r="CY27" s="115" t="n">
        <v>4.0</v>
      </c>
      <c r="CZ27" s="116" t="n">
        <v>0.14</v>
      </c>
      <c r="DA27" s="117" t="n">
        <v>81.0</v>
      </c>
      <c r="DB27" s="118" t="n">
        <v>136.42</v>
      </c>
      <c r="DC27" s="119" t="n">
        <v>100.0</v>
      </c>
      <c r="DD27" s="120" t="n">
        <v>6.07</v>
      </c>
      <c r="DE27" s="121" t="n">
        <v>4.66</v>
      </c>
      <c r="DF27" s="122" t="n">
        <v>75.41</v>
      </c>
      <c r="DG27" s="123" t="n">
        <v>99.0</v>
      </c>
      <c r="DH27" s="124" t="n">
        <v>16.91</v>
      </c>
      <c r="DI27" s="125" t="n">
        <v>90.0</v>
      </c>
      <c r="DJ27" s="126" t="n">
        <v>61.0</v>
      </c>
      <c r="DK27" s="127" t="n">
        <v>96.0</v>
      </c>
      <c r="DL27" s="128" t="n">
        <v>89.82</v>
      </c>
      <c r="DM27" s="129" t="n">
        <v>99.0</v>
      </c>
      <c r="DN27" s="130" t="n">
        <v>16.91</v>
      </c>
      <c r="DO27" s="131" t="n">
        <v>91.0</v>
      </c>
      <c r="DP27" s="132" t="n">
        <v>43284.0</v>
      </c>
      <c r="DQ27" s="133" t="n">
        <v>1902.0</v>
      </c>
      <c r="DR27" s="134" t="n">
        <v>4.6</v>
      </c>
      <c r="DS27" s="135" t="n">
        <v>3084.0</v>
      </c>
      <c r="DT27" s="136" t="n">
        <v>-41.0</v>
      </c>
      <c r="DU27" s="137" t="n">
        <v>-1.31</v>
      </c>
      <c r="DV27" s="138" t="n">
        <v>6070.0</v>
      </c>
      <c r="DW27" s="139" t="n">
        <v>-3.0</v>
      </c>
      <c r="DX27" s="140" t="n">
        <v>-0.05</v>
      </c>
      <c r="DY27" s="141" t="inlineStr">
        <is>
          <t>PitchBook Research</t>
        </is>
      </c>
      <c r="DZ27" s="142" t="n">
        <v>43511.0</v>
      </c>
      <c r="EA27" s="143" t="n">
        <v>6407.1</v>
      </c>
      <c r="EB27" s="144" t="n">
        <v>43507.0</v>
      </c>
      <c r="EC27" s="145" t="inlineStr">
        <is>
          <t>Buyout/LBO</t>
        </is>
      </c>
      <c r="ED27" s="547">
        <f>HYPERLINK("https://my.pitchbook.com?c=11821-33", "View company online")</f>
      </c>
    </row>
    <row r="28">
      <c r="A28" s="147" t="inlineStr">
        <is>
          <t>112775-77</t>
        </is>
      </c>
      <c r="B28" s="148" t="inlineStr">
        <is>
          <t>Decathlon France</t>
        </is>
      </c>
      <c r="C28" s="149" t="inlineStr">
        <is>
          <t/>
        </is>
      </c>
      <c r="D28" s="150" t="inlineStr">
        <is>
          <t>Decathlon</t>
        </is>
      </c>
      <c r="E28" s="151" t="inlineStr">
        <is>
          <t>112775-77</t>
        </is>
      </c>
      <c r="F28" s="152" t="inlineStr">
        <is>
          <t>Retailer of sports clothing and related accessories. The company's wide range of sports clothing and related accessories is sold through its retail outlets located all across France and internationally as well as through its website.</t>
        </is>
      </c>
      <c r="G28" s="153" t="inlineStr">
        <is>
          <t>Business Products and Services (B2B)</t>
        </is>
      </c>
      <c r="H28" s="154" t="inlineStr">
        <is>
          <t>Commercial Services</t>
        </is>
      </c>
      <c r="I28" s="155" t="inlineStr">
        <is>
          <t>Logistics</t>
        </is>
      </c>
      <c r="J28" s="156" t="inlineStr">
        <is>
          <t>Clothing, Internet Retail, Logistics*, Recreational Goods</t>
        </is>
      </c>
      <c r="K28" s="157" t="inlineStr">
        <is>
          <t>Industrials</t>
        </is>
      </c>
      <c r="L28" s="158" t="inlineStr">
        <is>
          <t>sports clothing, sports gear, sports retail</t>
        </is>
      </c>
      <c r="M28" s="159" t="inlineStr">
        <is>
          <t>Private Equity-Backed</t>
        </is>
      </c>
      <c r="N28" s="160" t="inlineStr">
        <is>
          <t/>
        </is>
      </c>
      <c r="O28" s="161" t="inlineStr">
        <is>
          <t>Generating Revenue</t>
        </is>
      </c>
      <c r="P28" s="162" t="inlineStr">
        <is>
          <t>Privately Held (backing)</t>
        </is>
      </c>
      <c r="Q28" s="163" t="inlineStr">
        <is>
          <t>Private Equity</t>
        </is>
      </c>
      <c r="R28" s="164" t="inlineStr">
        <is>
          <t>www.decathlon.fr</t>
        </is>
      </c>
      <c r="S28" s="165" t="n">
        <v>85000.0</v>
      </c>
      <c r="T28" s="166" t="inlineStr">
        <is>
          <t>2006: 17285, 2007: 18182, 2009: 3829, 2010: 3991, 2011: 4428, 2012: 4046, 2013: 3020, 2014: 3092, 2015: 3402, 2016: 21600, 2017: 65000, 2018: 85000</t>
        </is>
      </c>
      <c r="U28" s="167" t="inlineStr">
        <is>
          <t/>
        </is>
      </c>
      <c r="V28" s="168" t="inlineStr">
        <is>
          <t/>
        </is>
      </c>
      <c r="W28" s="169" t="n">
        <v>1976.0</v>
      </c>
      <c r="X28" s="170" t="inlineStr">
        <is>
          <t/>
        </is>
      </c>
      <c r="Y28" s="171" t="inlineStr">
        <is>
          <t/>
        </is>
      </c>
      <c r="Z28" s="172" t="inlineStr">
        <is>
          <t/>
        </is>
      </c>
      <c r="AA28" s="173" t="n">
        <v>13000.0</v>
      </c>
      <c r="AB28" s="174" t="inlineStr">
        <is>
          <t/>
        </is>
      </c>
      <c r="AC28" s="175" t="inlineStr">
        <is>
          <t/>
        </is>
      </c>
      <c r="AD28" s="176" t="inlineStr">
        <is>
          <t/>
        </is>
      </c>
      <c r="AE28" s="177" t="inlineStr">
        <is>
          <t/>
        </is>
      </c>
      <c r="AF28" s="178" t="inlineStr">
        <is>
          <t>FY 2017</t>
        </is>
      </c>
      <c r="AG28" s="179" t="inlineStr">
        <is>
          <t/>
        </is>
      </c>
      <c r="AH28" s="180" t="inlineStr">
        <is>
          <t/>
        </is>
      </c>
      <c r="AI28" s="181" t="inlineStr">
        <is>
          <t/>
        </is>
      </c>
      <c r="AJ28" s="182" t="inlineStr">
        <is>
          <t>50201-29P</t>
        </is>
      </c>
      <c r="AK28" s="183" t="inlineStr">
        <is>
          <t>Julien Duchateau</t>
        </is>
      </c>
      <c r="AL28" s="184" t="inlineStr">
        <is>
          <t>Store Manager</t>
        </is>
      </c>
      <c r="AM28" s="185" t="inlineStr">
        <is>
          <t>julien.duchateau@oxylane.com</t>
        </is>
      </c>
      <c r="AN28" s="186" t="inlineStr">
        <is>
          <t>+33 (0)9 69 36 32 10</t>
        </is>
      </c>
      <c r="AO28" s="187" t="inlineStr">
        <is>
          <t>Villeneuve-d'Ascq, France</t>
        </is>
      </c>
      <c r="AP28" s="188" t="inlineStr">
        <is>
          <t>4 boulevard de Mons</t>
        </is>
      </c>
      <c r="AQ28" s="189" t="inlineStr">
        <is>
          <t/>
        </is>
      </c>
      <c r="AR28" s="190" t="inlineStr">
        <is>
          <t>Villeneuve-d'Ascq</t>
        </is>
      </c>
      <c r="AS28" s="191" t="inlineStr">
        <is>
          <t/>
        </is>
      </c>
      <c r="AT28" s="192" t="inlineStr">
        <is>
          <t>59650</t>
        </is>
      </c>
      <c r="AU28" s="193" t="inlineStr">
        <is>
          <t>France</t>
        </is>
      </c>
      <c r="AV28" s="194" t="inlineStr">
        <is>
          <t>+33 (0)9 69 36 32 10</t>
        </is>
      </c>
      <c r="AW28" s="195" t="inlineStr">
        <is>
          <t/>
        </is>
      </c>
      <c r="AX28" s="196" t="inlineStr">
        <is>
          <t>contacts@decathlon.com</t>
        </is>
      </c>
      <c r="AY28" s="197" t="inlineStr">
        <is>
          <t>Europe</t>
        </is>
      </c>
      <c r="AZ28" s="198" t="inlineStr">
        <is>
          <t>Western Europe</t>
        </is>
      </c>
      <c r="BA28" s="199" t="inlineStr">
        <is>
          <t>The company was acquired by Mulliez Family through an LBO on July 27, 1976 for an undisclosed sum.</t>
        </is>
      </c>
      <c r="BB28" s="200" t="inlineStr">
        <is>
          <t>Mulliez Family</t>
        </is>
      </c>
      <c r="BC28" s="201" t="n">
        <v>1.0</v>
      </c>
      <c r="BD28" s="202" t="inlineStr">
        <is>
          <t/>
        </is>
      </c>
      <c r="BE28" s="203" t="inlineStr">
        <is>
          <t/>
        </is>
      </c>
      <c r="BF28" s="204" t="inlineStr">
        <is>
          <t/>
        </is>
      </c>
      <c r="BG28" s="205" t="inlineStr">
        <is>
          <t/>
        </is>
      </c>
      <c r="BH28" s="206" t="inlineStr">
        <is>
          <t/>
        </is>
      </c>
      <c r="BI28" s="207" t="inlineStr">
        <is>
          <t/>
        </is>
      </c>
      <c r="BJ28" s="208" t="inlineStr">
        <is>
          <t>ACA Nexia(Advisor: General), Expense Reduction Analysts(Consulting), Peterka &amp; Partners(Legal Advisor), Sorainen(Legal Advisor), Sprim(Consulting)</t>
        </is>
      </c>
      <c r="BK28" s="209" t="inlineStr">
        <is>
          <t/>
        </is>
      </c>
      <c r="BL28" s="210" t="n">
        <v>27968.0</v>
      </c>
      <c r="BM28" s="211" t="inlineStr">
        <is>
          <t/>
        </is>
      </c>
      <c r="BN28" s="212" t="inlineStr">
        <is>
          <t/>
        </is>
      </c>
      <c r="BO28" s="213" t="inlineStr">
        <is>
          <t/>
        </is>
      </c>
      <c r="BP28" s="214" t="inlineStr">
        <is>
          <t/>
        </is>
      </c>
      <c r="BQ28" s="215" t="inlineStr">
        <is>
          <t>Buyout/LBO</t>
        </is>
      </c>
      <c r="BR28" s="216" t="inlineStr">
        <is>
          <t/>
        </is>
      </c>
      <c r="BS28" s="217" t="inlineStr">
        <is>
          <t/>
        </is>
      </c>
      <c r="BT28" s="218" t="inlineStr">
        <is>
          <t>Private Equity</t>
        </is>
      </c>
      <c r="BU28" s="219" t="inlineStr">
        <is>
          <t/>
        </is>
      </c>
      <c r="BV28" s="220" t="inlineStr">
        <is>
          <t/>
        </is>
      </c>
      <c r="BW28" s="221" t="inlineStr">
        <is>
          <t/>
        </is>
      </c>
      <c r="BX28" s="222" t="inlineStr">
        <is>
          <t>Completed</t>
        </is>
      </c>
      <c r="BY28" s="223" t="n">
        <v>27968.0</v>
      </c>
      <c r="BZ28" s="224" t="inlineStr">
        <is>
          <t/>
        </is>
      </c>
      <c r="CA28" s="225" t="inlineStr">
        <is>
          <t/>
        </is>
      </c>
      <c r="CB28" s="226" t="inlineStr">
        <is>
          <t/>
        </is>
      </c>
      <c r="CC28" s="227" t="inlineStr">
        <is>
          <t/>
        </is>
      </c>
      <c r="CD28" s="228" t="inlineStr">
        <is>
          <t>Buyout/LBO</t>
        </is>
      </c>
      <c r="CE28" s="229" t="inlineStr">
        <is>
          <t/>
        </is>
      </c>
      <c r="CF28" s="230" t="inlineStr">
        <is>
          <t/>
        </is>
      </c>
      <c r="CG28" s="231" t="inlineStr">
        <is>
          <t>Private Equity</t>
        </is>
      </c>
      <c r="CH28" s="232" t="inlineStr">
        <is>
          <t/>
        </is>
      </c>
      <c r="CI28" s="233" t="inlineStr">
        <is>
          <t/>
        </is>
      </c>
      <c r="CJ28" s="234" t="inlineStr">
        <is>
          <t/>
        </is>
      </c>
      <c r="CK28" s="235" t="inlineStr">
        <is>
          <t>Completed</t>
        </is>
      </c>
      <c r="CL28" s="236" t="inlineStr">
        <is>
          <t/>
        </is>
      </c>
      <c r="CM28" s="237" t="inlineStr">
        <is>
          <t/>
        </is>
      </c>
      <c r="CN28" s="238" t="n">
        <v>0.84</v>
      </c>
      <c r="CO28" s="239" t="n">
        <v>97.0</v>
      </c>
      <c r="CP28" s="240" t="n">
        <v>-0.04</v>
      </c>
      <c r="CQ28" s="241" t="n">
        <v>-4.1</v>
      </c>
      <c r="CR28" s="242" t="n">
        <v>1.88</v>
      </c>
      <c r="CS28" s="243" t="n">
        <v>99.0</v>
      </c>
      <c r="CT28" s="244" t="n">
        <v>0.31</v>
      </c>
      <c r="CU28" s="245" t="n">
        <v>90.0</v>
      </c>
      <c r="CV28" s="246" t="n">
        <v>3.24</v>
      </c>
      <c r="CW28" s="247" t="n">
        <v>94.0</v>
      </c>
      <c r="CX28" s="248" t="n">
        <v>0.53</v>
      </c>
      <c r="CY28" s="249" t="n">
        <v>94.0</v>
      </c>
      <c r="CZ28" s="250" t="n">
        <v>0.6</v>
      </c>
      <c r="DA28" s="251" t="n">
        <v>96.0</v>
      </c>
      <c r="DB28" s="252" t="n">
        <v>383.01</v>
      </c>
      <c r="DC28" s="253" t="n">
        <v>100.0</v>
      </c>
      <c r="DD28" s="254" t="n">
        <v>15.18</v>
      </c>
      <c r="DE28" s="255" t="n">
        <v>4.13</v>
      </c>
      <c r="DF28" s="256" t="n">
        <v>171.92</v>
      </c>
      <c r="DG28" s="257" t="n">
        <v>100.0</v>
      </c>
      <c r="DH28" s="258" t="n">
        <v>662.3</v>
      </c>
      <c r="DI28" s="259" t="n">
        <v>100.0</v>
      </c>
      <c r="DJ28" s="260" t="n">
        <v>8.11</v>
      </c>
      <c r="DK28" s="261" t="n">
        <v>84.0</v>
      </c>
      <c r="DL28" s="262" t="n">
        <v>335.74</v>
      </c>
      <c r="DM28" s="263" t="n">
        <v>100.0</v>
      </c>
      <c r="DN28" s="264" t="n">
        <v>195.31</v>
      </c>
      <c r="DO28" s="265" t="n">
        <v>99.0</v>
      </c>
      <c r="DP28" s="266" t="n">
        <v>5755.0</v>
      </c>
      <c r="DQ28" s="267" t="n">
        <v>265.0</v>
      </c>
      <c r="DR28" s="268" t="n">
        <v>4.83</v>
      </c>
      <c r="DS28" s="269" t="n">
        <v>11362.0</v>
      </c>
      <c r="DT28" s="270" t="n">
        <v>97.0</v>
      </c>
      <c r="DU28" s="271" t="n">
        <v>0.86</v>
      </c>
      <c r="DV28" s="272" t="n">
        <v>70080.0</v>
      </c>
      <c r="DW28" s="273" t="n">
        <v>187.0</v>
      </c>
      <c r="DX28" s="274" t="n">
        <v>0.27</v>
      </c>
      <c r="DY28" s="275" t="inlineStr">
        <is>
          <t>PitchBook Research</t>
        </is>
      </c>
      <c r="DZ28" s="276" t="n">
        <v>43523.0</v>
      </c>
      <c r="EA28" s="277" t="inlineStr">
        <is>
          <t/>
        </is>
      </c>
      <c r="EB28" s="278" t="inlineStr">
        <is>
          <t/>
        </is>
      </c>
      <c r="EC28" s="279" t="inlineStr">
        <is>
          <t/>
        </is>
      </c>
      <c r="ED28" s="548">
        <f>HYPERLINK("https://my.pitchbook.com?c=112775-77", "View company online")</f>
      </c>
    </row>
    <row r="29">
      <c r="A29" s="13" t="inlineStr">
        <is>
          <t>56786-68</t>
        </is>
      </c>
      <c r="B29" s="14" t="inlineStr">
        <is>
          <t>Guccio Gucci</t>
        </is>
      </c>
      <c r="C29" s="15" t="inlineStr">
        <is>
          <t/>
        </is>
      </c>
      <c r="D29" s="16" t="inlineStr">
        <is>
          <t>Gucci</t>
        </is>
      </c>
      <c r="E29" s="17" t="inlineStr">
        <is>
          <t>56786-68</t>
        </is>
      </c>
      <c r="F29" s="18" t="inlineStr">
        <is>
          <t>Retailer of luxury fashion brands. The company manufactures and distributes leather goods, shoes, ready-to-wear, silks, timepieces and fine jewelry.</t>
        </is>
      </c>
      <c r="G29" s="19" t="inlineStr">
        <is>
          <t>Consumer Products and Services (B2C)</t>
        </is>
      </c>
      <c r="H29" s="20" t="inlineStr">
        <is>
          <t>Retail</t>
        </is>
      </c>
      <c r="I29" s="21" t="inlineStr">
        <is>
          <t>Other Retail</t>
        </is>
      </c>
      <c r="J29" s="22" t="inlineStr">
        <is>
          <t>Luxury Goods, Other Retail*</t>
        </is>
      </c>
      <c r="K29" s="23" t="inlineStr">
        <is>
          <t>Manufacturing</t>
        </is>
      </c>
      <c r="L29" s="24" t="inlineStr">
        <is>
          <t>fashion branding, fine jewelry, leather good</t>
        </is>
      </c>
      <c r="M29" s="25" t="inlineStr">
        <is>
          <t>Corporate Backed or Acquired</t>
        </is>
      </c>
      <c r="N29" s="26" t="n">
        <v>539.0</v>
      </c>
      <c r="O29" s="27" t="inlineStr">
        <is>
          <t>Profitable</t>
        </is>
      </c>
      <c r="P29" s="28" t="inlineStr">
        <is>
          <t>Acquired/Merged (Operating Subsidiary)</t>
        </is>
      </c>
      <c r="Q29" s="29" t="inlineStr">
        <is>
          <t>M&amp;A, Private Equity, Publicly Listed</t>
        </is>
      </c>
      <c r="R29" s="30" t="inlineStr">
        <is>
          <t>www.gucci.com</t>
        </is>
      </c>
      <c r="S29" s="31" t="n">
        <v>5059.0</v>
      </c>
      <c r="T29" s="32" t="inlineStr">
        <is>
          <t>2016: 5059</t>
        </is>
      </c>
      <c r="U29" s="33" t="inlineStr">
        <is>
          <t/>
        </is>
      </c>
      <c r="V29" s="34" t="inlineStr">
        <is>
          <t/>
        </is>
      </c>
      <c r="W29" s="35" t="n">
        <v>1921.0</v>
      </c>
      <c r="X29" s="36" t="inlineStr">
        <is>
          <t>Kering</t>
        </is>
      </c>
      <c r="Y29" s="37" t="inlineStr">
        <is>
          <t/>
        </is>
      </c>
      <c r="Z29" s="38" t="inlineStr">
        <is>
          <t>News (New) , Competitor (New) Bulgari</t>
        </is>
      </c>
      <c r="AA29" s="39" t="n">
        <v>9794.55</v>
      </c>
      <c r="AB29" s="40" t="inlineStr">
        <is>
          <t/>
        </is>
      </c>
      <c r="AC29" s="41" t="inlineStr">
        <is>
          <t/>
        </is>
      </c>
      <c r="AD29" s="42" t="inlineStr">
        <is>
          <t/>
        </is>
      </c>
      <c r="AE29" s="43" t="inlineStr">
        <is>
          <t/>
        </is>
      </c>
      <c r="AF29" s="44" t="inlineStr">
        <is>
          <t>FY 2018</t>
        </is>
      </c>
      <c r="AG29" s="45" t="inlineStr">
        <is>
          <t/>
        </is>
      </c>
      <c r="AH29" s="46" t="inlineStr">
        <is>
          <t/>
        </is>
      </c>
      <c r="AI29" s="47" t="inlineStr">
        <is>
          <t/>
        </is>
      </c>
      <c r="AJ29" s="48" t="inlineStr">
        <is>
          <t>83894-32P</t>
        </is>
      </c>
      <c r="AK29" s="49" t="inlineStr">
        <is>
          <t>Marco Bizzarri</t>
        </is>
      </c>
      <c r="AL29" s="50" t="inlineStr">
        <is>
          <t>Co-Chief Executive Officer</t>
        </is>
      </c>
      <c r="AM29" s="51" t="inlineStr">
        <is>
          <t/>
        </is>
      </c>
      <c r="AN29" s="52" t="inlineStr">
        <is>
          <t>+39 05 5290 017</t>
        </is>
      </c>
      <c r="AO29" s="53" t="inlineStr">
        <is>
          <t>Florence, Italy</t>
        </is>
      </c>
      <c r="AP29" s="54" t="inlineStr">
        <is>
          <t>Via dei Tornabuoni n. 73 R</t>
        </is>
      </c>
      <c r="AQ29" s="55" t="inlineStr">
        <is>
          <t/>
        </is>
      </c>
      <c r="AR29" s="56" t="inlineStr">
        <is>
          <t>Florence</t>
        </is>
      </c>
      <c r="AS29" s="57" t="inlineStr">
        <is>
          <t/>
        </is>
      </c>
      <c r="AT29" s="58" t="inlineStr">
        <is>
          <t>50123</t>
        </is>
      </c>
      <c r="AU29" s="59" t="inlineStr">
        <is>
          <t>Italy</t>
        </is>
      </c>
      <c r="AV29" s="60" t="inlineStr">
        <is>
          <t>+39 05 5290 017</t>
        </is>
      </c>
      <c r="AW29" s="61" t="inlineStr">
        <is>
          <t>+39 05 5212 634</t>
        </is>
      </c>
      <c r="AX29" s="62" t="inlineStr">
        <is>
          <t/>
        </is>
      </c>
      <c r="AY29" s="63" t="inlineStr">
        <is>
          <t>Europe</t>
        </is>
      </c>
      <c r="AZ29" s="64" t="inlineStr">
        <is>
          <t>Southern Europe</t>
        </is>
      </c>
      <c r="BA29" s="65" t="inlineStr">
        <is>
          <t>The company was acquired by Kering (PAR: KER) for an undisclosed amount in 2004.</t>
        </is>
      </c>
      <c r="BB29" s="66" t="inlineStr">
        <is>
          <t/>
        </is>
      </c>
      <c r="BC29" s="67" t="inlineStr">
        <is>
          <t/>
        </is>
      </c>
      <c r="BD29" s="68" t="inlineStr">
        <is>
          <t>Kering</t>
        </is>
      </c>
      <c r="BE29" s="69" t="inlineStr">
        <is>
          <t>Investcorp Bank, Prada</t>
        </is>
      </c>
      <c r="BF29" s="70" t="inlineStr">
        <is>
          <t/>
        </is>
      </c>
      <c r="BG29" s="71" t="inlineStr">
        <is>
          <t/>
        </is>
      </c>
      <c r="BH29" s="72" t="inlineStr">
        <is>
          <t>Investcorp Bank(www.investcorp.com), Prada(www.pradagroup.com)</t>
        </is>
      </c>
      <c r="BI29" s="73" t="inlineStr">
        <is>
          <t/>
        </is>
      </c>
      <c r="BJ29" s="74" t="inlineStr">
        <is>
          <t>Brown Rudnick(Legal Advisor), Bukhash Brothers(Consulting), Montfort Communications(Advisor: General), Rendersi(Advisor: General), Washington Search Partners(Consulting)</t>
        </is>
      </c>
      <c r="BK29" s="75" t="inlineStr">
        <is>
          <t>MBCF Corporate Finance(Advisor: General)</t>
        </is>
      </c>
      <c r="BL29" s="76" t="n">
        <v>32577.0</v>
      </c>
      <c r="BM29" s="77" t="n">
        <v>169.23</v>
      </c>
      <c r="BN29" s="78" t="inlineStr">
        <is>
          <t>Actual</t>
        </is>
      </c>
      <c r="BO29" s="79" t="n">
        <v>338.45</v>
      </c>
      <c r="BP29" s="80" t="inlineStr">
        <is>
          <t/>
        </is>
      </c>
      <c r="BQ29" s="81" t="inlineStr">
        <is>
          <t>Buyout/LBO</t>
        </is>
      </c>
      <c r="BR29" s="82" t="inlineStr">
        <is>
          <t/>
        </is>
      </c>
      <c r="BS29" s="83" t="inlineStr">
        <is>
          <t/>
        </is>
      </c>
      <c r="BT29" s="84" t="inlineStr">
        <is>
          <t>Private Equity</t>
        </is>
      </c>
      <c r="BU29" s="85" t="inlineStr">
        <is>
          <t/>
        </is>
      </c>
      <c r="BV29" s="86" t="inlineStr">
        <is>
          <t/>
        </is>
      </c>
      <c r="BW29" s="87" t="inlineStr">
        <is>
          <t/>
        </is>
      </c>
      <c r="BX29" s="88" t="inlineStr">
        <is>
          <t>Completed</t>
        </is>
      </c>
      <c r="BY29" s="89" t="n">
        <v>37987.0</v>
      </c>
      <c r="BZ29" s="90" t="inlineStr">
        <is>
          <t/>
        </is>
      </c>
      <c r="CA29" s="91" t="inlineStr">
        <is>
          <t/>
        </is>
      </c>
      <c r="CB29" s="92" t="inlineStr">
        <is>
          <t/>
        </is>
      </c>
      <c r="CC29" s="93" t="inlineStr">
        <is>
          <t/>
        </is>
      </c>
      <c r="CD29" s="94" t="inlineStr">
        <is>
          <t>Merger/Acquisition</t>
        </is>
      </c>
      <c r="CE29" s="95" t="inlineStr">
        <is>
          <t/>
        </is>
      </c>
      <c r="CF29" s="96" t="inlineStr">
        <is>
          <t/>
        </is>
      </c>
      <c r="CG29" s="97" t="inlineStr">
        <is>
          <t>Corporate</t>
        </is>
      </c>
      <c r="CH29" s="98" t="inlineStr">
        <is>
          <t/>
        </is>
      </c>
      <c r="CI29" s="99" t="inlineStr">
        <is>
          <t/>
        </is>
      </c>
      <c r="CJ29" s="100" t="inlineStr">
        <is>
          <t/>
        </is>
      </c>
      <c r="CK29" s="101" t="inlineStr">
        <is>
          <t>Completed</t>
        </is>
      </c>
      <c r="CL29" s="102" t="inlineStr">
        <is>
          <t/>
        </is>
      </c>
      <c r="CM29" s="103" t="inlineStr">
        <is>
          <t/>
        </is>
      </c>
      <c r="CN29" s="104" t="n">
        <v>0.41</v>
      </c>
      <c r="CO29" s="105" t="n">
        <v>93.0</v>
      </c>
      <c r="CP29" s="106" t="n">
        <v>0.0</v>
      </c>
      <c r="CQ29" s="107" t="n">
        <v>-0.48</v>
      </c>
      <c r="CR29" s="108" t="n">
        <v>1.17</v>
      </c>
      <c r="CS29" s="109" t="n">
        <v>97.0</v>
      </c>
      <c r="CT29" s="110" t="n">
        <v>0.04</v>
      </c>
      <c r="CU29" s="111" t="n">
        <v>62.0</v>
      </c>
      <c r="CV29" s="112" t="n">
        <v>2.2</v>
      </c>
      <c r="CW29" s="113" t="n">
        <v>91.0</v>
      </c>
      <c r="CX29" s="114" t="n">
        <v>0.13</v>
      </c>
      <c r="CY29" s="115" t="n">
        <v>87.0</v>
      </c>
      <c r="CZ29" s="116" t="n">
        <v>0.04</v>
      </c>
      <c r="DA29" s="117" t="n">
        <v>67.0</v>
      </c>
      <c r="DB29" s="118" t="n">
        <v>5561.85</v>
      </c>
      <c r="DC29" s="119" t="n">
        <v>100.0</v>
      </c>
      <c r="DD29" s="120" t="n">
        <v>73.42</v>
      </c>
      <c r="DE29" s="121" t="n">
        <v>1.34</v>
      </c>
      <c r="DF29" s="122" t="n">
        <v>1041.7</v>
      </c>
      <c r="DG29" s="123" t="n">
        <v>100.0</v>
      </c>
      <c r="DH29" s="124" t="n">
        <v>15450.95</v>
      </c>
      <c r="DI29" s="125" t="n">
        <v>100.0</v>
      </c>
      <c r="DJ29" s="126" t="n">
        <v>1055.06</v>
      </c>
      <c r="DK29" s="127" t="n">
        <v>100.0</v>
      </c>
      <c r="DL29" s="128" t="n">
        <v>1028.35</v>
      </c>
      <c r="DM29" s="129" t="n">
        <v>100.0</v>
      </c>
      <c r="DN29" s="130" t="n">
        <v>15450.95</v>
      </c>
      <c r="DO29" s="131" t="n">
        <v>100.0</v>
      </c>
      <c r="DP29" s="132" t="n">
        <v>751929.0</v>
      </c>
      <c r="DQ29" s="133" t="n">
        <v>2934.0</v>
      </c>
      <c r="DR29" s="134" t="n">
        <v>0.39</v>
      </c>
      <c r="DS29" s="135" t="n">
        <v>34897.0</v>
      </c>
      <c r="DT29" s="136" t="n">
        <v>155.0</v>
      </c>
      <c r="DU29" s="137" t="n">
        <v>0.45</v>
      </c>
      <c r="DV29" s="138" t="n">
        <v>5547438.0</v>
      </c>
      <c r="DW29" s="139" t="n">
        <v>886.0</v>
      </c>
      <c r="DX29" s="140" t="n">
        <v>0.02</v>
      </c>
      <c r="DY29" s="141" t="inlineStr">
        <is>
          <t>PitchBook Research</t>
        </is>
      </c>
      <c r="DZ29" s="142" t="n">
        <v>43517.0</v>
      </c>
      <c r="EA29" s="143" t="n">
        <v>340.0</v>
      </c>
      <c r="EB29" s="144" t="n">
        <v>34239.0</v>
      </c>
      <c r="EC29" s="145" t="inlineStr">
        <is>
          <t>Buyout/LBO</t>
        </is>
      </c>
      <c r="ED29" s="547">
        <f>HYPERLINK("https://my.pitchbook.com?c=56786-68", "View company online")</f>
      </c>
    </row>
    <row r="30">
      <c r="A30" s="147" t="inlineStr">
        <is>
          <t>11965-51</t>
        </is>
      </c>
      <c r="B30" s="148" t="inlineStr">
        <is>
          <t>PVH (NYS: PVH)</t>
        </is>
      </c>
      <c r="C30" s="149" t="inlineStr">
        <is>
          <t>Phillips-Van Heusen Corporation</t>
        </is>
      </c>
      <c r="D30" s="150" t="inlineStr">
        <is>
          <t/>
        </is>
      </c>
      <c r="E30" s="151" t="inlineStr">
        <is>
          <t>11965-51</t>
        </is>
      </c>
      <c r="F30" s="152" t="inlineStr">
        <is>
          <t>PVH designs and markets branded apparel in more than 40 countries. Its key fashion categories include men's dress shirts, ties, sportswear, underwear, and jeans. PVH's leading designer brands, Calvin Klein and Tommy Hilfiger, generate more than 80% of its revenue. PVH also owns several smaller brands, including IZOD, Van Heusen, and ARROW, and licenses brands from third parties. PVH distributes its clothing wholesale to retailers and through company-owned stores. The company traces its history to 1881 and is based in New York City.</t>
        </is>
      </c>
      <c r="G30" s="153" t="inlineStr">
        <is>
          <t>Consumer Products and Services (B2C)</t>
        </is>
      </c>
      <c r="H30" s="154" t="inlineStr">
        <is>
          <t>Apparel and Accessories</t>
        </is>
      </c>
      <c r="I30" s="155" t="inlineStr">
        <is>
          <t>Clothing</t>
        </is>
      </c>
      <c r="J30" s="156" t="inlineStr">
        <is>
          <t>Accessories, Clothing*, Footwear</t>
        </is>
      </c>
      <c r="K30" s="157" t="inlineStr">
        <is>
          <t>Manufacturing</t>
        </is>
      </c>
      <c r="L30" s="158" t="inlineStr">
        <is>
          <t>sports shirts, sportswear manufacturing, tailored clothing</t>
        </is>
      </c>
      <c r="M30" s="159" t="inlineStr">
        <is>
          <t>Corporation</t>
        </is>
      </c>
      <c r="N30" s="160" t="n">
        <v>4000.68</v>
      </c>
      <c r="O30" s="161" t="inlineStr">
        <is>
          <t>Profitable</t>
        </is>
      </c>
      <c r="P30" s="162" t="inlineStr">
        <is>
          <t>Publicly Held</t>
        </is>
      </c>
      <c r="Q30" s="163" t="inlineStr">
        <is>
          <t>Debt Financed, Private Equity, Publicly Listed, Venture Capital</t>
        </is>
      </c>
      <c r="R30" s="164" t="inlineStr">
        <is>
          <t/>
        </is>
      </c>
      <c r="S30" s="165" t="n">
        <v>36500.0</v>
      </c>
      <c r="T30" s="166" t="inlineStr">
        <is>
          <t>1990: 8500, 1991: 8500, 1992: 9600, 1993: 13400, 1994: 13400, 1995: 13400, 1996: 9800, 1997: 9550, 1998: 8450, 1999: 7550, 2000: 6200, 2001: 10200, 2002: 8800, 2003: 9430, 2004: 9000, 2005: 9100, 2006: 9700, 2007: 10900, 2008: 11600, 2009: 11100, 2010: 10800, 2011: 22700, 2012: 25700, 2013: 28700, 2014: 33200, 2015: 34100, 2016: 34200, 2017: 34500, 2018: 36500</t>
        </is>
      </c>
      <c r="U30" s="167" t="inlineStr">
        <is>
          <t>NYS</t>
        </is>
      </c>
      <c r="V30" s="168" t="inlineStr">
        <is>
          <t>PVH</t>
        </is>
      </c>
      <c r="W30" s="169" t="n">
        <v>1881.0</v>
      </c>
      <c r="X30" s="170" t="inlineStr">
        <is>
          <t/>
        </is>
      </c>
      <c r="Y30" s="171" t="inlineStr">
        <is>
          <t>News (New) </t>
        </is>
      </c>
      <c r="Z30" s="172" t="inlineStr">
        <is>
          <t>News (New) </t>
        </is>
      </c>
      <c r="AA30" s="173" t="n">
        <v>9671.7</v>
      </c>
      <c r="AB30" s="174" t="n">
        <v>5321.8</v>
      </c>
      <c r="AC30" s="175" t="n">
        <v>696.2</v>
      </c>
      <c r="AD30" s="176" t="n">
        <v>11815.26</v>
      </c>
      <c r="AE30" s="177" t="n">
        <v>816.0</v>
      </c>
      <c r="AF30" s="178" t="inlineStr">
        <is>
          <t>TTM 3Q2019</t>
        </is>
      </c>
      <c r="AG30" s="179" t="n">
        <v>816.0</v>
      </c>
      <c r="AH30" s="180" t="n">
        <v>8119.57</v>
      </c>
      <c r="AI30" s="181" t="n">
        <v>2756.5</v>
      </c>
      <c r="AJ30" s="182" t="inlineStr">
        <is>
          <t>15886-27P</t>
        </is>
      </c>
      <c r="AK30" s="183" t="inlineStr">
        <is>
          <t>Michael Shaffer</t>
        </is>
      </c>
      <c r="AL30" s="184" t="inlineStr">
        <is>
          <t>Chief Financial Officer, Executive Vice President &amp; Chief Operating Officer</t>
        </is>
      </c>
      <c r="AM30" s="185" t="inlineStr">
        <is>
          <t>mshaffer@pvh.com</t>
        </is>
      </c>
      <c r="AN30" s="186" t="inlineStr">
        <is>
          <t/>
        </is>
      </c>
      <c r="AO30" s="187" t="inlineStr">
        <is>
          <t>New York, NY</t>
        </is>
      </c>
      <c r="AP30" s="188" t="inlineStr">
        <is>
          <t>200 Madison Avenue</t>
        </is>
      </c>
      <c r="AQ30" s="189" t="inlineStr">
        <is>
          <t/>
        </is>
      </c>
      <c r="AR30" s="190" t="inlineStr">
        <is>
          <t>New York</t>
        </is>
      </c>
      <c r="AS30" s="191" t="inlineStr">
        <is>
          <t>New York</t>
        </is>
      </c>
      <c r="AT30" s="192" t="inlineStr">
        <is>
          <t>10016</t>
        </is>
      </c>
      <c r="AU30" s="193" t="inlineStr">
        <is>
          <t>United States</t>
        </is>
      </c>
      <c r="AV30" s="194" t="inlineStr">
        <is>
          <t/>
        </is>
      </c>
      <c r="AW30" s="195" t="inlineStr">
        <is>
          <t/>
        </is>
      </c>
      <c r="AX30" s="196" t="inlineStr">
        <is>
          <t>communications@pvh.com</t>
        </is>
      </c>
      <c r="AY30" s="197" t="inlineStr">
        <is>
          <t>Americas</t>
        </is>
      </c>
      <c r="AZ30" s="198" t="inlineStr">
        <is>
          <t>North America</t>
        </is>
      </c>
      <c r="BA30" s="199" t="inlineStr">
        <is>
          <t>Certain shareholders sold their stake in the company (NYSE: PVH) on an undisclosed date. The company will not get any proceeds from the offering.</t>
        </is>
      </c>
      <c r="BB30" s="200" t="inlineStr">
        <is>
          <t/>
        </is>
      </c>
      <c r="BC30" s="201" t="inlineStr">
        <is>
          <t/>
        </is>
      </c>
      <c r="BD30" s="202" t="inlineStr">
        <is>
          <t/>
        </is>
      </c>
      <c r="BE30" s="203" t="inlineStr">
        <is>
          <t>Apax Partners, EMERAM Capital Partners, Grace Beauty Capital, LNK Partners, MSD Capital</t>
        </is>
      </c>
      <c r="BF30" s="204" t="inlineStr">
        <is>
          <t/>
        </is>
      </c>
      <c r="BG30" s="205" t="inlineStr">
        <is>
          <t/>
        </is>
      </c>
      <c r="BH30" s="206" t="inlineStr">
        <is>
          <t>Apax Partners(www.apax.com), EMERAM Capital Partners(www.emeram.com), Grace Beauty Capital(www.gracebeautycapital.com), LNK Partners(www.lnkpartners.com), MSD Capital(www.msdcapital.com)</t>
        </is>
      </c>
      <c r="BI30" s="207" t="inlineStr">
        <is>
          <t/>
        </is>
      </c>
      <c r="BJ30" s="208" t="inlineStr">
        <is>
          <t>Centerstone Executive Search &amp; Consulting(Consulting), CL King &amp; Associates(Advisor: General), ClearBridge Compensation Group(Consulting), DelMorgan &amp; Co.(Advisor: General), Forward Focus(Consulting), Odeon Capital Group(Advisor: General), Olshan Frome Wolosky(Legal Advisor), Sard Verbinnen(Advisor: Communications), Telsey Advisory Group(Advisor: General), Washington Search Partners(Consulting)</t>
        </is>
      </c>
      <c r="BK30" s="209" t="inlineStr">
        <is>
          <t>Bank of America Merrill Lynch(Underwriter), Barclays(Debt Financing), Barclays Investment Bank(Underwriter), Citigroup Global Markets(Debt Financing), Credit Suisse Securities (USA)(Debt Financing), DelMorgan &amp; Co.(Advisor: General), Deutsche Bank(Underwriter), Kaye Scholer(Legal Advisor), Lehman Brothers(Underwriter), Merrill Lynch Pierce Fenner &amp; Smith(Debt Financing), PJ SOLOMON(Advisor: General), RBC Capital Markets(Debt Financing)</t>
        </is>
      </c>
      <c r="BL30" s="210" t="n">
        <v>31968.0</v>
      </c>
      <c r="BM30" s="211" t="inlineStr">
        <is>
          <t/>
        </is>
      </c>
      <c r="BN30" s="212" t="inlineStr">
        <is>
          <t/>
        </is>
      </c>
      <c r="BO30" s="213" t="inlineStr">
        <is>
          <t/>
        </is>
      </c>
      <c r="BP30" s="214" t="inlineStr">
        <is>
          <t/>
        </is>
      </c>
      <c r="BQ30" s="215" t="inlineStr">
        <is>
          <t>IPO</t>
        </is>
      </c>
      <c r="BR30" s="216" t="inlineStr">
        <is>
          <t/>
        </is>
      </c>
      <c r="BS30" s="217" t="inlineStr">
        <is>
          <t/>
        </is>
      </c>
      <c r="BT30" s="218" t="inlineStr">
        <is>
          <t>Public Investment</t>
        </is>
      </c>
      <c r="BU30" s="219" t="inlineStr">
        <is>
          <t/>
        </is>
      </c>
      <c r="BV30" s="220" t="inlineStr">
        <is>
          <t/>
        </is>
      </c>
      <c r="BW30" s="221" t="inlineStr">
        <is>
          <t/>
        </is>
      </c>
      <c r="BX30" s="222" t="inlineStr">
        <is>
          <t>Completed</t>
        </is>
      </c>
      <c r="BY30" s="223" t="inlineStr">
        <is>
          <t/>
        </is>
      </c>
      <c r="BZ30" s="224" t="inlineStr">
        <is>
          <t/>
        </is>
      </c>
      <c r="CA30" s="225" t="inlineStr">
        <is>
          <t/>
        </is>
      </c>
      <c r="CB30" s="226" t="inlineStr">
        <is>
          <t/>
        </is>
      </c>
      <c r="CC30" s="227" t="inlineStr">
        <is>
          <t/>
        </is>
      </c>
      <c r="CD30" s="228" t="inlineStr">
        <is>
          <t>Secondary Transaction - Open Market</t>
        </is>
      </c>
      <c r="CE30" s="229" t="inlineStr">
        <is>
          <t/>
        </is>
      </c>
      <c r="CF30" s="230" t="inlineStr">
        <is>
          <t/>
        </is>
      </c>
      <c r="CG30" s="231" t="inlineStr">
        <is>
          <t>Private Equity</t>
        </is>
      </c>
      <c r="CH30" s="232" t="inlineStr">
        <is>
          <t/>
        </is>
      </c>
      <c r="CI30" s="233" t="inlineStr">
        <is>
          <t/>
        </is>
      </c>
      <c r="CJ30" s="234" t="inlineStr">
        <is>
          <t/>
        </is>
      </c>
      <c r="CK30" s="235" t="inlineStr">
        <is>
          <t>Completed</t>
        </is>
      </c>
      <c r="CL30" s="236" t="n">
        <v>41318.0</v>
      </c>
      <c r="CM30" s="237" t="n">
        <v>750.0</v>
      </c>
      <c r="CN30" s="238" t="n">
        <v>-0.84</v>
      </c>
      <c r="CO30" s="239" t="n">
        <v>5.0</v>
      </c>
      <c r="CP30" s="240" t="n">
        <v>-0.02</v>
      </c>
      <c r="CQ30" s="241" t="n">
        <v>-2.09</v>
      </c>
      <c r="CR30" s="242" t="n">
        <v>-1.95</v>
      </c>
      <c r="CS30" s="243" t="n">
        <v>4.0</v>
      </c>
      <c r="CT30" s="244" t="n">
        <v>0.27</v>
      </c>
      <c r="CU30" s="245" t="n">
        <v>88.0</v>
      </c>
      <c r="CV30" s="246" t="n">
        <v>-4.31</v>
      </c>
      <c r="CW30" s="247" t="n">
        <v>11.0</v>
      </c>
      <c r="CX30" s="248" t="n">
        <v>0.41</v>
      </c>
      <c r="CY30" s="249" t="n">
        <v>93.0</v>
      </c>
      <c r="CZ30" s="250" t="n">
        <v>0.12</v>
      </c>
      <c r="DA30" s="251" t="n">
        <v>79.0</v>
      </c>
      <c r="DB30" s="252" t="n">
        <v>26.64</v>
      </c>
      <c r="DC30" s="253" t="n">
        <v>96.0</v>
      </c>
      <c r="DD30" s="254" t="n">
        <v>5.42</v>
      </c>
      <c r="DE30" s="255" t="n">
        <v>25.53</v>
      </c>
      <c r="DF30" s="256" t="n">
        <v>47.84</v>
      </c>
      <c r="DG30" s="257" t="n">
        <v>98.0</v>
      </c>
      <c r="DH30" s="258" t="n">
        <v>5.44</v>
      </c>
      <c r="DI30" s="259" t="n">
        <v>79.0</v>
      </c>
      <c r="DJ30" s="260" t="n">
        <v>9.3</v>
      </c>
      <c r="DK30" s="261" t="n">
        <v>85.0</v>
      </c>
      <c r="DL30" s="262" t="n">
        <v>86.38</v>
      </c>
      <c r="DM30" s="263" t="n">
        <v>99.0</v>
      </c>
      <c r="DN30" s="264" t="n">
        <v>0.3</v>
      </c>
      <c r="DO30" s="265" t="n">
        <v>30.0</v>
      </c>
      <c r="DP30" s="266" t="n">
        <v>6679.0</v>
      </c>
      <c r="DQ30" s="267" t="n">
        <v>-450.0</v>
      </c>
      <c r="DR30" s="268" t="n">
        <v>-6.31</v>
      </c>
      <c r="DS30" s="269" t="n">
        <v>2927.0</v>
      </c>
      <c r="DT30" s="270" t="n">
        <v>21.0</v>
      </c>
      <c r="DU30" s="271" t="n">
        <v>0.72</v>
      </c>
      <c r="DV30" s="272" t="n">
        <v>108.0</v>
      </c>
      <c r="DW30" s="273" t="n">
        <v>-1.0</v>
      </c>
      <c r="DX30" s="274" t="n">
        <v>-0.92</v>
      </c>
      <c r="DY30" s="275" t="inlineStr">
        <is>
          <t>PitchBook Research</t>
        </is>
      </c>
      <c r="DZ30" s="276" t="n">
        <v>43537.0</v>
      </c>
      <c r="EA30" s="277" t="n">
        <v>1136.36</v>
      </c>
      <c r="EB30" s="278" t="n">
        <v>37579.0</v>
      </c>
      <c r="EC30" s="279" t="inlineStr">
        <is>
          <t>PIPE</t>
        </is>
      </c>
      <c r="ED30" s="548">
        <f>HYPERLINK("https://my.pitchbook.com?c=11965-51", "View company online")</f>
      </c>
    </row>
    <row r="31">
      <c r="A31" s="13" t="inlineStr">
        <is>
          <t>165615-67</t>
        </is>
      </c>
      <c r="B31" s="14" t="inlineStr">
        <is>
          <t>Pou Chen (TAI: 9904)</t>
        </is>
      </c>
      <c r="C31" s="15" t="inlineStr">
        <is>
          <t/>
        </is>
      </c>
      <c r="D31" s="16" t="inlineStr">
        <is>
          <t/>
        </is>
      </c>
      <c r="E31" s="17" t="inlineStr">
        <is>
          <t>165615-67</t>
        </is>
      </c>
      <c r="F31" s="18" t="inlineStr">
        <is>
          <t>Pou Chen Corp manufactures athletic shoes, casual shoes, and shoe components for large, international brands. It also has a retail business that sells predominantly brand-licensed footwear, apparel, and sporting goods to consumers in China. The retail business sells through the company's nearly 8,000 retail counters and stores in addition to its e-commerce platforms. Shoe sales to international brands make up roughly half of the company's total revenue. Geographically, most of the company's revenue comes from customers located in Asia and the United States. Pou Chen's manufacturing facilities are primarily in China, Vietnam, and Indonesia.</t>
        </is>
      </c>
      <c r="G31" s="19" t="inlineStr">
        <is>
          <t>Consumer Products and Services (B2C)</t>
        </is>
      </c>
      <c r="H31" s="20" t="inlineStr">
        <is>
          <t>Apparel and Accessories</t>
        </is>
      </c>
      <c r="I31" s="21" t="inlineStr">
        <is>
          <t>Footwear</t>
        </is>
      </c>
      <c r="J31" s="22" t="inlineStr">
        <is>
          <t>Footwear*</t>
        </is>
      </c>
      <c r="K31" s="23" t="inlineStr">
        <is>
          <t>Manufacturing</t>
        </is>
      </c>
      <c r="L31" s="24" t="inlineStr">
        <is>
          <t>athletic shoes, casual footwear, footwear product</t>
        </is>
      </c>
      <c r="M31" s="25" t="inlineStr">
        <is>
          <t>Corporation</t>
        </is>
      </c>
      <c r="N31" s="26" t="inlineStr">
        <is>
          <t/>
        </is>
      </c>
      <c r="O31" s="27" t="inlineStr">
        <is>
          <t>Profitable</t>
        </is>
      </c>
      <c r="P31" s="28" t="inlineStr">
        <is>
          <t>Publicly Held</t>
        </is>
      </c>
      <c r="Q31" s="29" t="inlineStr">
        <is>
          <t>Publicly Listed</t>
        </is>
      </c>
      <c r="R31" s="30" t="inlineStr">
        <is>
          <t>www.pouchen.com</t>
        </is>
      </c>
      <c r="S31" s="31" t="n">
        <v>348989.0</v>
      </c>
      <c r="T31" s="32" t="inlineStr">
        <is>
          <t>2005: 2948, 2006: 305059, 2007: 337670, 2008: 345185, 2011: 484035, 2012: 449696, 2013: 432888, 2014: 422719, 2015: 415296, 2016: 410836, 2017: 373051, 2018: 357000</t>
        </is>
      </c>
      <c r="U31" s="33" t="inlineStr">
        <is>
          <t>TAI</t>
        </is>
      </c>
      <c r="V31" s="34" t="inlineStr">
        <is>
          <t>9904</t>
        </is>
      </c>
      <c r="W31" s="35" t="n">
        <v>1969.0</v>
      </c>
      <c r="X31" s="36" t="inlineStr">
        <is>
          <t/>
        </is>
      </c>
      <c r="Y31" s="37" t="inlineStr">
        <is>
          <t/>
        </is>
      </c>
      <c r="Z31" s="38" t="inlineStr">
        <is>
          <t/>
        </is>
      </c>
      <c r="AA31" s="39" t="n">
        <v>9579.32</v>
      </c>
      <c r="AB31" s="40" t="n">
        <v>2484.94</v>
      </c>
      <c r="AC31" s="41" t="n">
        <v>410.57</v>
      </c>
      <c r="AD31" s="42" t="n">
        <v>6998.41</v>
      </c>
      <c r="AE31" s="43" t="n">
        <v>1141.82</v>
      </c>
      <c r="AF31" s="44" t="inlineStr">
        <is>
          <t>TTM 3Q2018</t>
        </is>
      </c>
      <c r="AG31" s="45" t="n">
        <v>798.42</v>
      </c>
      <c r="AH31" s="46" t="n">
        <v>3656.8</v>
      </c>
      <c r="AI31" s="47" t="n">
        <v>1568.65</v>
      </c>
      <c r="AJ31" s="48" t="inlineStr">
        <is>
          <t/>
        </is>
      </c>
      <c r="AK31" s="49" t="inlineStr">
        <is>
          <t/>
        </is>
      </c>
      <c r="AL31" s="50" t="inlineStr">
        <is>
          <t/>
        </is>
      </c>
      <c r="AM31" s="51" t="inlineStr">
        <is>
          <t/>
        </is>
      </c>
      <c r="AN31" s="52" t="inlineStr">
        <is>
          <t/>
        </is>
      </c>
      <c r="AO31" s="53" t="inlineStr">
        <is>
          <t>Taichung, Taiwan</t>
        </is>
      </c>
      <c r="AP31" s="54" t="inlineStr">
        <is>
          <t>Taiwan Boulevard</t>
        </is>
      </c>
      <c r="AQ31" s="55" t="inlineStr">
        <is>
          <t>4th Floor, No. 600, Sec. 4</t>
        </is>
      </c>
      <c r="AR31" s="56" t="inlineStr">
        <is>
          <t>Taichung</t>
        </is>
      </c>
      <c r="AS31" s="57" t="inlineStr">
        <is>
          <t/>
        </is>
      </c>
      <c r="AT31" s="58" t="inlineStr">
        <is>
          <t>407-64</t>
        </is>
      </c>
      <c r="AU31" s="59" t="inlineStr">
        <is>
          <t>Taiwan</t>
        </is>
      </c>
      <c r="AV31" s="60" t="inlineStr">
        <is>
          <t>+886 (0)42 4615678</t>
        </is>
      </c>
      <c r="AW31" s="61" t="inlineStr">
        <is>
          <t>+886 (0)42 4606668</t>
        </is>
      </c>
      <c r="AX31" s="62" t="inlineStr">
        <is>
          <t/>
        </is>
      </c>
      <c r="AY31" s="63" t="inlineStr">
        <is>
          <t>Asia</t>
        </is>
      </c>
      <c r="AZ31" s="64" t="inlineStr">
        <is>
          <t>East Asia</t>
        </is>
      </c>
      <c r="BA31" s="65" t="inlineStr">
        <is>
          <t/>
        </is>
      </c>
      <c r="BB31" s="66" t="inlineStr">
        <is>
          <t/>
        </is>
      </c>
      <c r="BC31" s="67" t="inlineStr">
        <is>
          <t/>
        </is>
      </c>
      <c r="BD31" s="68" t="inlineStr">
        <is>
          <t/>
        </is>
      </c>
      <c r="BE31" s="69" t="inlineStr">
        <is>
          <t/>
        </is>
      </c>
      <c r="BF31" s="70" t="inlineStr">
        <is>
          <t/>
        </is>
      </c>
      <c r="BG31" s="71" t="inlineStr">
        <is>
          <t/>
        </is>
      </c>
      <c r="BH31" s="72" t="inlineStr">
        <is>
          <t/>
        </is>
      </c>
      <c r="BI31" s="73" t="inlineStr">
        <is>
          <t/>
        </is>
      </c>
      <c r="BJ31" s="74" t="inlineStr">
        <is>
          <t/>
        </is>
      </c>
      <c r="BK31" s="75" t="inlineStr">
        <is>
          <t/>
        </is>
      </c>
      <c r="BL31" s="76" t="inlineStr">
        <is>
          <t/>
        </is>
      </c>
      <c r="BM31" s="77" t="inlineStr">
        <is>
          <t/>
        </is>
      </c>
      <c r="BN31" s="78" t="inlineStr">
        <is>
          <t/>
        </is>
      </c>
      <c r="BO31" s="79" t="inlineStr">
        <is>
          <t/>
        </is>
      </c>
      <c r="BP31" s="80" t="inlineStr">
        <is>
          <t/>
        </is>
      </c>
      <c r="BQ31" s="81" t="inlineStr">
        <is>
          <t/>
        </is>
      </c>
      <c r="BR31" s="82" t="inlineStr">
        <is>
          <t/>
        </is>
      </c>
      <c r="BS31" s="83" t="inlineStr">
        <is>
          <t/>
        </is>
      </c>
      <c r="BT31" s="84" t="inlineStr">
        <is>
          <t/>
        </is>
      </c>
      <c r="BU31" s="85" t="inlineStr">
        <is>
          <t/>
        </is>
      </c>
      <c r="BV31" s="86" t="inlineStr">
        <is>
          <t/>
        </is>
      </c>
      <c r="BW31" s="87" t="inlineStr">
        <is>
          <t/>
        </is>
      </c>
      <c r="BX31" s="88" t="inlineStr">
        <is>
          <t/>
        </is>
      </c>
      <c r="BY31" s="89" t="inlineStr">
        <is>
          <t/>
        </is>
      </c>
      <c r="BZ31" s="90" t="inlineStr">
        <is>
          <t/>
        </is>
      </c>
      <c r="CA31" s="91" t="inlineStr">
        <is>
          <t/>
        </is>
      </c>
      <c r="CB31" s="92" t="inlineStr">
        <is>
          <t/>
        </is>
      </c>
      <c r="CC31" s="93" t="inlineStr">
        <is>
          <t/>
        </is>
      </c>
      <c r="CD31" s="94" t="inlineStr">
        <is>
          <t/>
        </is>
      </c>
      <c r="CE31" s="95" t="inlineStr">
        <is>
          <t/>
        </is>
      </c>
      <c r="CF31" s="96" t="inlineStr">
        <is>
          <t/>
        </is>
      </c>
      <c r="CG31" s="97" t="inlineStr">
        <is>
          <t/>
        </is>
      </c>
      <c r="CH31" s="98" t="inlineStr">
        <is>
          <t/>
        </is>
      </c>
      <c r="CI31" s="99" t="inlineStr">
        <is>
          <t/>
        </is>
      </c>
      <c r="CJ31" s="100" t="inlineStr">
        <is>
          <t/>
        </is>
      </c>
      <c r="CK31" s="101" t="inlineStr">
        <is>
          <t/>
        </is>
      </c>
      <c r="CL31" s="102" t="inlineStr">
        <is>
          <t/>
        </is>
      </c>
      <c r="CM31" s="103" t="inlineStr">
        <is>
          <t/>
        </is>
      </c>
      <c r="CN31" s="104" t="n">
        <v>0.86</v>
      </c>
      <c r="CO31" s="105" t="n">
        <v>97.0</v>
      </c>
      <c r="CP31" s="106" t="n">
        <v>-0.1</v>
      </c>
      <c r="CQ31" s="107" t="n">
        <v>-10.62</v>
      </c>
      <c r="CR31" s="108" t="n">
        <v>1.73</v>
      </c>
      <c r="CS31" s="109" t="n">
        <v>99.0</v>
      </c>
      <c r="CT31" s="110" t="inlineStr">
        <is>
          <t/>
        </is>
      </c>
      <c r="CU31" s="111" t="inlineStr">
        <is>
          <t/>
        </is>
      </c>
      <c r="CV31" s="112" t="inlineStr">
        <is>
          <t/>
        </is>
      </c>
      <c r="CW31" s="113" t="inlineStr">
        <is>
          <t/>
        </is>
      </c>
      <c r="CX31" s="114" t="n">
        <v>1.73</v>
      </c>
      <c r="CY31" s="115" t="n">
        <v>99.0</v>
      </c>
      <c r="CZ31" s="116" t="inlineStr">
        <is>
          <t/>
        </is>
      </c>
      <c r="DA31" s="117" t="inlineStr">
        <is>
          <t/>
        </is>
      </c>
      <c r="DB31" s="118" t="n">
        <v>649.41</v>
      </c>
      <c r="DC31" s="119" t="n">
        <v>100.0</v>
      </c>
      <c r="DD31" s="120" t="n">
        <v>3.15</v>
      </c>
      <c r="DE31" s="121" t="n">
        <v>0.49</v>
      </c>
      <c r="DF31" s="122" t="n">
        <v>6.26</v>
      </c>
      <c r="DG31" s="123" t="n">
        <v>86.0</v>
      </c>
      <c r="DH31" s="124" t="inlineStr">
        <is>
          <t/>
        </is>
      </c>
      <c r="DI31" s="125" t="inlineStr">
        <is>
          <t/>
        </is>
      </c>
      <c r="DJ31" s="126" t="inlineStr">
        <is>
          <t/>
        </is>
      </c>
      <c r="DK31" s="127" t="inlineStr">
        <is>
          <t/>
        </is>
      </c>
      <c r="DL31" s="128" t="n">
        <v>6.26</v>
      </c>
      <c r="DM31" s="129" t="n">
        <v>85.0</v>
      </c>
      <c r="DN31" s="130" t="inlineStr">
        <is>
          <t/>
        </is>
      </c>
      <c r="DO31" s="131" t="inlineStr">
        <is>
          <t/>
        </is>
      </c>
      <c r="DP31" s="132" t="inlineStr">
        <is>
          <t/>
        </is>
      </c>
      <c r="DQ31" s="133" t="inlineStr">
        <is>
          <t/>
        </is>
      </c>
      <c r="DR31" s="134" t="inlineStr">
        <is>
          <t/>
        </is>
      </c>
      <c r="DS31" s="135" t="n">
        <v>213.0</v>
      </c>
      <c r="DT31" s="136" t="n">
        <v>0.0</v>
      </c>
      <c r="DU31" s="137" t="n">
        <v>0.0</v>
      </c>
      <c r="DV31" s="138" t="inlineStr">
        <is>
          <t/>
        </is>
      </c>
      <c r="DW31" s="139" t="inlineStr">
        <is>
          <t/>
        </is>
      </c>
      <c r="DX31" s="140" t="inlineStr">
        <is>
          <t/>
        </is>
      </c>
      <c r="DY31" s="141" t="inlineStr">
        <is>
          <t>PitchBook Research</t>
        </is>
      </c>
      <c r="DZ31" s="142" t="n">
        <v>43492.0</v>
      </c>
      <c r="EA31" s="143" t="inlineStr">
        <is>
          <t/>
        </is>
      </c>
      <c r="EB31" s="144" t="inlineStr">
        <is>
          <t/>
        </is>
      </c>
      <c r="EC31" s="145" t="inlineStr">
        <is>
          <t/>
        </is>
      </c>
      <c r="ED31" s="547">
        <f>HYPERLINK("https://my.pitchbook.com?c=165615-67", "View company online")</f>
      </c>
    </row>
    <row r="32">
      <c r="A32" s="147" t="inlineStr">
        <is>
          <t>163898-47</t>
        </is>
      </c>
      <c r="B32" s="148" t="inlineStr">
        <is>
          <t>C&amp;A Mode</t>
        </is>
      </c>
      <c r="C32" s="149" t="inlineStr">
        <is>
          <t>C&amp;A Mode Brenninkmeijer &amp; Co.</t>
        </is>
      </c>
      <c r="D32" s="150" t="inlineStr">
        <is>
          <t>C&amp;A</t>
        </is>
      </c>
      <c r="E32" s="151" t="inlineStr">
        <is>
          <t>163898-47</t>
        </is>
      </c>
      <c r="F32" s="152" t="inlineStr">
        <is>
          <t>Owner and operator of a chain of clothing stores. The company focuses on offering affordable clothing for men, women and children through its physical retail stores across Europe, China, Mexico and Brazil, as well as its online platform.</t>
        </is>
      </c>
      <c r="G32" s="153" t="inlineStr">
        <is>
          <t>Consumer Products and Services (B2C)</t>
        </is>
      </c>
      <c r="H32" s="154" t="inlineStr">
        <is>
          <t>Apparel and Accessories</t>
        </is>
      </c>
      <c r="I32" s="155" t="inlineStr">
        <is>
          <t>Clothing</t>
        </is>
      </c>
      <c r="J32" s="156" t="inlineStr">
        <is>
          <t>Clothing*, Internet Retail, Specialty Retail</t>
        </is>
      </c>
      <c r="K32" s="157" t="inlineStr">
        <is>
          <t>E-Commerce, TMT</t>
        </is>
      </c>
      <c r="L32" s="158" t="inlineStr">
        <is>
          <t>clothes, clothing, clothing retail</t>
        </is>
      </c>
      <c r="M32" s="159" t="inlineStr">
        <is>
          <t>Failed Transaction (PE)</t>
        </is>
      </c>
      <c r="N32" s="160" t="inlineStr">
        <is>
          <t/>
        </is>
      </c>
      <c r="O32" s="161" t="inlineStr">
        <is>
          <t>Profitable</t>
        </is>
      </c>
      <c r="P32" s="162" t="inlineStr">
        <is>
          <t>Privately Held (no backing)</t>
        </is>
      </c>
      <c r="Q32" s="163" t="inlineStr">
        <is>
          <t>Private Equity</t>
        </is>
      </c>
      <c r="R32" s="164" t="inlineStr">
        <is>
          <t>www.c-and-a.com</t>
        </is>
      </c>
      <c r="S32" s="165" t="n">
        <v>51000.0</v>
      </c>
      <c r="T32" s="166" t="inlineStr">
        <is>
          <t>2018: 35000, 2019: 51000</t>
        </is>
      </c>
      <c r="U32" s="167" t="inlineStr">
        <is>
          <t/>
        </is>
      </c>
      <c r="V32" s="168" t="inlineStr">
        <is>
          <t/>
        </is>
      </c>
      <c r="W32" s="169" t="n">
        <v>1841.0</v>
      </c>
      <c r="X32" s="170" t="inlineStr">
        <is>
          <t/>
        </is>
      </c>
      <c r="Y32" s="171" t="inlineStr">
        <is>
          <t/>
        </is>
      </c>
      <c r="Z32" s="172" t="inlineStr">
        <is>
          <t/>
        </is>
      </c>
      <c r="AA32" s="173" t="n">
        <v>8800.0</v>
      </c>
      <c r="AB32" s="174" t="inlineStr">
        <is>
          <t/>
        </is>
      </c>
      <c r="AC32" s="175" t="inlineStr">
        <is>
          <t/>
        </is>
      </c>
      <c r="AD32" s="176" t="inlineStr">
        <is>
          <t/>
        </is>
      </c>
      <c r="AE32" s="177" t="inlineStr">
        <is>
          <t/>
        </is>
      </c>
      <c r="AF32" s="178" t="inlineStr">
        <is>
          <t>FY 2016</t>
        </is>
      </c>
      <c r="AG32" s="179" t="inlineStr">
        <is>
          <t/>
        </is>
      </c>
      <c r="AH32" s="180" t="inlineStr">
        <is>
          <t/>
        </is>
      </c>
      <c r="AI32" s="181" t="inlineStr">
        <is>
          <t/>
        </is>
      </c>
      <c r="AJ32" s="182" t="inlineStr">
        <is>
          <t>97144-75P</t>
        </is>
      </c>
      <c r="AK32" s="183" t="inlineStr">
        <is>
          <t>Alain Caparros</t>
        </is>
      </c>
      <c r="AL32" s="184" t="inlineStr">
        <is>
          <t>Chief Executive Officer</t>
        </is>
      </c>
      <c r="AM32" s="185" t="inlineStr">
        <is>
          <t>alain.caparros@c-and-a.com</t>
        </is>
      </c>
      <c r="AN32" s="186" t="inlineStr">
        <is>
          <t>+49 (0)21 1987 20</t>
        </is>
      </c>
      <c r="AO32" s="187" t="inlineStr">
        <is>
          <t>Dusseldorf, Germany</t>
        </is>
      </c>
      <c r="AP32" s="188" t="inlineStr">
        <is>
          <t>Wanheimer Straße 70</t>
        </is>
      </c>
      <c r="AQ32" s="189" t="inlineStr">
        <is>
          <t/>
        </is>
      </c>
      <c r="AR32" s="190" t="inlineStr">
        <is>
          <t>Dusseldorf</t>
        </is>
      </c>
      <c r="AS32" s="191" t="inlineStr">
        <is>
          <t/>
        </is>
      </c>
      <c r="AT32" s="192" t="inlineStr">
        <is>
          <t>40468</t>
        </is>
      </c>
      <c r="AU32" s="193" t="inlineStr">
        <is>
          <t>Germany</t>
        </is>
      </c>
      <c r="AV32" s="194" t="inlineStr">
        <is>
          <t>+49 (0)21 1987 20</t>
        </is>
      </c>
      <c r="AW32" s="195" t="inlineStr">
        <is>
          <t>+49 (0)21 1166 2498</t>
        </is>
      </c>
      <c r="AX32" s="196" t="inlineStr">
        <is>
          <t>info@c-and-a.com</t>
        </is>
      </c>
      <c r="AY32" s="197" t="inlineStr">
        <is>
          <t>Europe</t>
        </is>
      </c>
      <c r="AZ32" s="198" t="inlineStr">
        <is>
          <t>Western Europe</t>
        </is>
      </c>
      <c r="BA32" s="199" t="inlineStr">
        <is>
          <t>The company was in talks to be acquired by undisclosed Chinese investors on January 14, 2018. Subsequently the deal was cancelled.</t>
        </is>
      </c>
      <c r="BB32" s="200" t="inlineStr">
        <is>
          <t/>
        </is>
      </c>
      <c r="BC32" s="201" t="inlineStr">
        <is>
          <t/>
        </is>
      </c>
      <c r="BD32" s="202" t="inlineStr">
        <is>
          <t/>
        </is>
      </c>
      <c r="BE32" s="203" t="inlineStr">
        <is>
          <t/>
        </is>
      </c>
      <c r="BF32" s="204" t="inlineStr">
        <is>
          <t/>
        </is>
      </c>
      <c r="BG32" s="205" t="inlineStr">
        <is>
          <t/>
        </is>
      </c>
      <c r="BH32" s="206" t="inlineStr">
        <is>
          <t/>
        </is>
      </c>
      <c r="BI32" s="207" t="inlineStr">
        <is>
          <t/>
        </is>
      </c>
      <c r="BJ32" s="208" t="inlineStr">
        <is>
          <t>Integration Consulting(Consulting)</t>
        </is>
      </c>
      <c r="BK32" s="209" t="inlineStr">
        <is>
          <t/>
        </is>
      </c>
      <c r="BL32" s="210" t="inlineStr">
        <is>
          <t/>
        </is>
      </c>
      <c r="BM32" s="211" t="inlineStr">
        <is>
          <t/>
        </is>
      </c>
      <c r="BN32" s="212" t="inlineStr">
        <is>
          <t/>
        </is>
      </c>
      <c r="BO32" s="213" t="inlineStr">
        <is>
          <t/>
        </is>
      </c>
      <c r="BP32" s="214" t="inlineStr">
        <is>
          <t/>
        </is>
      </c>
      <c r="BQ32" s="215" t="inlineStr">
        <is>
          <t>Undetermined</t>
        </is>
      </c>
      <c r="BR32" s="216" t="inlineStr">
        <is>
          <t/>
        </is>
      </c>
      <c r="BS32" s="217" t="inlineStr">
        <is>
          <t/>
        </is>
      </c>
      <c r="BT32" s="218" t="inlineStr">
        <is>
          <t>Other</t>
        </is>
      </c>
      <c r="BU32" s="219" t="inlineStr">
        <is>
          <t/>
        </is>
      </c>
      <c r="BV32" s="220" t="inlineStr">
        <is>
          <t/>
        </is>
      </c>
      <c r="BW32" s="221" t="inlineStr">
        <is>
          <t/>
        </is>
      </c>
      <c r="BX32" s="222" t="inlineStr">
        <is>
          <t>Failed/Cancelled</t>
        </is>
      </c>
      <c r="BY32" s="223" t="inlineStr">
        <is>
          <t/>
        </is>
      </c>
      <c r="BZ32" s="224" t="inlineStr">
        <is>
          <t/>
        </is>
      </c>
      <c r="CA32" s="225" t="inlineStr">
        <is>
          <t/>
        </is>
      </c>
      <c r="CB32" s="226" t="inlineStr">
        <is>
          <t/>
        </is>
      </c>
      <c r="CC32" s="227" t="inlineStr">
        <is>
          <t/>
        </is>
      </c>
      <c r="CD32" s="228" t="inlineStr">
        <is>
          <t>Undetermined</t>
        </is>
      </c>
      <c r="CE32" s="229" t="inlineStr">
        <is>
          <t/>
        </is>
      </c>
      <c r="CF32" s="230" t="inlineStr">
        <is>
          <t/>
        </is>
      </c>
      <c r="CG32" s="231" t="inlineStr">
        <is>
          <t>Other</t>
        </is>
      </c>
      <c r="CH32" s="232" t="inlineStr">
        <is>
          <t/>
        </is>
      </c>
      <c r="CI32" s="233" t="inlineStr">
        <is>
          <t/>
        </is>
      </c>
      <c r="CJ32" s="234" t="inlineStr">
        <is>
          <t/>
        </is>
      </c>
      <c r="CK32" s="235" t="inlineStr">
        <is>
          <t>Failed/Cancelled</t>
        </is>
      </c>
      <c r="CL32" s="236" t="inlineStr">
        <is>
          <t/>
        </is>
      </c>
      <c r="CM32" s="237" t="inlineStr">
        <is>
          <t/>
        </is>
      </c>
      <c r="CN32" s="238" t="n">
        <v>0.53</v>
      </c>
      <c r="CO32" s="239" t="n">
        <v>95.0</v>
      </c>
      <c r="CP32" s="240" t="n">
        <v>-0.01</v>
      </c>
      <c r="CQ32" s="241" t="n">
        <v>-2.01</v>
      </c>
      <c r="CR32" s="242" t="n">
        <v>0.99</v>
      </c>
      <c r="CS32" s="243" t="n">
        <v>97.0</v>
      </c>
      <c r="CT32" s="244" t="n">
        <v>0.07</v>
      </c>
      <c r="CU32" s="245" t="n">
        <v>68.0</v>
      </c>
      <c r="CV32" s="246" t="n">
        <v>1.6</v>
      </c>
      <c r="CW32" s="247" t="n">
        <v>89.0</v>
      </c>
      <c r="CX32" s="248" t="n">
        <v>0.37</v>
      </c>
      <c r="CY32" s="249" t="n">
        <v>92.0</v>
      </c>
      <c r="CZ32" s="250" t="n">
        <v>0.07</v>
      </c>
      <c r="DA32" s="251" t="n">
        <v>72.0</v>
      </c>
      <c r="DB32" s="252" t="n">
        <v>95.4</v>
      </c>
      <c r="DC32" s="253" t="n">
        <v>99.0</v>
      </c>
      <c r="DD32" s="254" t="n">
        <v>23.32</v>
      </c>
      <c r="DE32" s="255" t="n">
        <v>32.36</v>
      </c>
      <c r="DF32" s="256" t="n">
        <v>190.3</v>
      </c>
      <c r="DG32" s="257" t="n">
        <v>100.0</v>
      </c>
      <c r="DH32" s="258" t="n">
        <v>0.51</v>
      </c>
      <c r="DI32" s="259" t="n">
        <v>37.0</v>
      </c>
      <c r="DJ32" s="260" t="n">
        <v>10.54</v>
      </c>
      <c r="DK32" s="261" t="n">
        <v>86.0</v>
      </c>
      <c r="DL32" s="262" t="n">
        <v>370.06</v>
      </c>
      <c r="DM32" s="263" t="n">
        <v>100.0</v>
      </c>
      <c r="DN32" s="264" t="n">
        <v>0.51</v>
      </c>
      <c r="DO32" s="265" t="n">
        <v>38.0</v>
      </c>
      <c r="DP32" s="266" t="n">
        <v>7482.0</v>
      </c>
      <c r="DQ32" s="267" t="n">
        <v>306.0</v>
      </c>
      <c r="DR32" s="268" t="n">
        <v>4.26</v>
      </c>
      <c r="DS32" s="269" t="n">
        <v>12529.0</v>
      </c>
      <c r="DT32" s="270" t="n">
        <v>108.0</v>
      </c>
      <c r="DU32" s="271" t="n">
        <v>0.87</v>
      </c>
      <c r="DV32" s="272" t="n">
        <v>181.0</v>
      </c>
      <c r="DW32" s="273" t="n">
        <v>0.0</v>
      </c>
      <c r="DX32" s="274" t="n">
        <v>0.0</v>
      </c>
      <c r="DY32" s="275" t="inlineStr">
        <is>
          <t>PitchBook Research</t>
        </is>
      </c>
      <c r="DZ32" s="276" t="n">
        <v>43549.0</v>
      </c>
      <c r="EA32" s="277" t="inlineStr">
        <is>
          <t/>
        </is>
      </c>
      <c r="EB32" s="278" t="inlineStr">
        <is>
          <t/>
        </is>
      </c>
      <c r="EC32" s="279" t="inlineStr">
        <is>
          <t/>
        </is>
      </c>
      <c r="ED32" s="548">
        <f>HYPERLINK("https://my.pitchbook.com?c=163898-47", "View company online")</f>
      </c>
    </row>
    <row r="33">
      <c r="A33" s="13" t="inlineStr">
        <is>
          <t>265777-48</t>
        </is>
      </c>
      <c r="B33" s="14" t="inlineStr">
        <is>
          <t>Old Navy</t>
        </is>
      </c>
      <c r="C33" s="15" t="inlineStr">
        <is>
          <t/>
        </is>
      </c>
      <c r="D33" s="16" t="inlineStr">
        <is>
          <t/>
        </is>
      </c>
      <c r="E33" s="17" t="inlineStr">
        <is>
          <t>265777-48</t>
        </is>
      </c>
      <c r="F33" s="18" t="inlineStr">
        <is>
          <t>Manufacturer and provider of clothing and accessories.The company offers a wide range of apparel and accessories for children, men, and women, enabling families to purchase all their clothing in one store.</t>
        </is>
      </c>
      <c r="G33" s="19" t="inlineStr">
        <is>
          <t>Consumer Products and Services (B2C)</t>
        </is>
      </c>
      <c r="H33" s="20" t="inlineStr">
        <is>
          <t>Apparel and Accessories</t>
        </is>
      </c>
      <c r="I33" s="21" t="inlineStr">
        <is>
          <t>Accessories</t>
        </is>
      </c>
      <c r="J33" s="22" t="inlineStr">
        <is>
          <t>Accessories*, Clothing</t>
        </is>
      </c>
      <c r="K33" s="23" t="inlineStr">
        <is>
          <t>Manufacturing</t>
        </is>
      </c>
      <c r="L33" s="24" t="inlineStr">
        <is>
          <t>apparel, clothing, family clothing, fashion</t>
        </is>
      </c>
      <c r="M33" s="25" t="inlineStr">
        <is>
          <t>Corporation</t>
        </is>
      </c>
      <c r="N33" s="26" t="inlineStr">
        <is>
          <t/>
        </is>
      </c>
      <c r="O33" s="27" t="inlineStr">
        <is>
          <t>Generating Revenue</t>
        </is>
      </c>
      <c r="P33" s="28" t="inlineStr">
        <is>
          <t>Privately Held (no backing)</t>
        </is>
      </c>
      <c r="Q33" s="29" t="inlineStr">
        <is>
          <t>Other Private Companies</t>
        </is>
      </c>
      <c r="R33" s="30" t="inlineStr">
        <is>
          <t>oldnavy.gap.com</t>
        </is>
      </c>
      <c r="S33" s="31" t="inlineStr">
        <is>
          <t/>
        </is>
      </c>
      <c r="T33" s="32" t="inlineStr">
        <is>
          <t/>
        </is>
      </c>
      <c r="U33" s="33" t="inlineStr">
        <is>
          <t/>
        </is>
      </c>
      <c r="V33" s="34" t="inlineStr">
        <is>
          <t/>
        </is>
      </c>
      <c r="W33" s="35" t="inlineStr">
        <is>
          <t/>
        </is>
      </c>
      <c r="X33" s="36" t="inlineStr">
        <is>
          <t>Gap</t>
        </is>
      </c>
      <c r="Y33" s="37" t="inlineStr">
        <is>
          <t/>
        </is>
      </c>
      <c r="Z33" s="38" t="inlineStr">
        <is>
          <t/>
        </is>
      </c>
      <c r="AA33" s="39" t="n">
        <v>8800.0</v>
      </c>
      <c r="AB33" s="40" t="inlineStr">
        <is>
          <t/>
        </is>
      </c>
      <c r="AC33" s="41" t="inlineStr">
        <is>
          <t/>
        </is>
      </c>
      <c r="AD33" s="42" t="inlineStr">
        <is>
          <t/>
        </is>
      </c>
      <c r="AE33" s="43" t="inlineStr">
        <is>
          <t/>
        </is>
      </c>
      <c r="AF33" s="44" t="inlineStr">
        <is>
          <t>FY 2018</t>
        </is>
      </c>
      <c r="AG33" s="45" t="inlineStr">
        <is>
          <t/>
        </is>
      </c>
      <c r="AH33" s="46" t="inlineStr">
        <is>
          <t/>
        </is>
      </c>
      <c r="AI33" s="47" t="inlineStr">
        <is>
          <t/>
        </is>
      </c>
      <c r="AJ33" s="48" t="inlineStr">
        <is>
          <t/>
        </is>
      </c>
      <c r="AK33" s="49" t="inlineStr">
        <is>
          <t/>
        </is>
      </c>
      <c r="AL33" s="50" t="inlineStr">
        <is>
          <t/>
        </is>
      </c>
      <c r="AM33" s="51" t="inlineStr">
        <is>
          <t/>
        </is>
      </c>
      <c r="AN33" s="52" t="inlineStr">
        <is>
          <t/>
        </is>
      </c>
      <c r="AO33" s="53" t="inlineStr">
        <is>
          <t>San Francisco, CA</t>
        </is>
      </c>
      <c r="AP33" s="54" t="inlineStr">
        <is>
          <t/>
        </is>
      </c>
      <c r="AQ33" s="55" t="inlineStr">
        <is>
          <t/>
        </is>
      </c>
      <c r="AR33" s="56" t="inlineStr">
        <is>
          <t>San Francisco</t>
        </is>
      </c>
      <c r="AS33" s="57" t="inlineStr">
        <is>
          <t>California</t>
        </is>
      </c>
      <c r="AT33" s="58" t="inlineStr">
        <is>
          <t/>
        </is>
      </c>
      <c r="AU33" s="59" t="inlineStr">
        <is>
          <t>United States</t>
        </is>
      </c>
      <c r="AV33" s="60" t="inlineStr">
        <is>
          <t/>
        </is>
      </c>
      <c r="AW33" s="61" t="inlineStr">
        <is>
          <t/>
        </is>
      </c>
      <c r="AX33" s="62" t="inlineStr">
        <is>
          <t/>
        </is>
      </c>
      <c r="AY33" s="63" t="inlineStr">
        <is>
          <t>Americas</t>
        </is>
      </c>
      <c r="AZ33" s="64" t="inlineStr">
        <is>
          <t>North America</t>
        </is>
      </c>
      <c r="BA33" s="65" t="inlineStr">
        <is>
          <t>Gap (NYSE: GPS) is planning to spin-off the company through an initial public offering as of February 28, 2019. The company is being actively tracked by PitchBook.</t>
        </is>
      </c>
      <c r="BB33" s="66" t="inlineStr">
        <is>
          <t>Gap</t>
        </is>
      </c>
      <c r="BC33" s="67" t="n">
        <v>1.0</v>
      </c>
      <c r="BD33" s="68" t="inlineStr">
        <is>
          <t/>
        </is>
      </c>
      <c r="BE33" s="69" t="inlineStr">
        <is>
          <t/>
        </is>
      </c>
      <c r="BF33" s="70" t="inlineStr">
        <is>
          <t/>
        </is>
      </c>
      <c r="BG33" s="71" t="inlineStr">
        <is>
          <t>Gap(www.gapinc.com)</t>
        </is>
      </c>
      <c r="BH33" s="72" t="inlineStr">
        <is>
          <t/>
        </is>
      </c>
      <c r="BI33" s="73" t="inlineStr">
        <is>
          <t/>
        </is>
      </c>
      <c r="BJ33" s="74" t="inlineStr">
        <is>
          <t>Pacific Project Management(Consulting)</t>
        </is>
      </c>
      <c r="BK33" s="75" t="inlineStr">
        <is>
          <t/>
        </is>
      </c>
      <c r="BL33" s="76" t="n">
        <v>43524.0</v>
      </c>
      <c r="BM33" s="77" t="inlineStr">
        <is>
          <t/>
        </is>
      </c>
      <c r="BN33" s="78" t="inlineStr">
        <is>
          <t/>
        </is>
      </c>
      <c r="BO33" s="79" t="inlineStr">
        <is>
          <t/>
        </is>
      </c>
      <c r="BP33" s="80" t="inlineStr">
        <is>
          <t/>
        </is>
      </c>
      <c r="BQ33" s="81" t="inlineStr">
        <is>
          <t>IPO</t>
        </is>
      </c>
      <c r="BR33" s="82" t="inlineStr">
        <is>
          <t>Spin-Off</t>
        </is>
      </c>
      <c r="BS33" s="83" t="inlineStr">
        <is>
          <t/>
        </is>
      </c>
      <c r="BT33" s="84" t="inlineStr">
        <is>
          <t>Public Investment</t>
        </is>
      </c>
      <c r="BU33" s="85" t="inlineStr">
        <is>
          <t/>
        </is>
      </c>
      <c r="BV33" s="86" t="inlineStr">
        <is>
          <t/>
        </is>
      </c>
      <c r="BW33" s="87" t="inlineStr">
        <is>
          <t/>
        </is>
      </c>
      <c r="BX33" s="88" t="inlineStr">
        <is>
          <t>Announced/In Progress</t>
        </is>
      </c>
      <c r="BY33" s="89" t="n">
        <v>43524.0</v>
      </c>
      <c r="BZ33" s="90" t="inlineStr">
        <is>
          <t/>
        </is>
      </c>
      <c r="CA33" s="91" t="inlineStr">
        <is>
          <t/>
        </is>
      </c>
      <c r="CB33" s="92" t="inlineStr">
        <is>
          <t/>
        </is>
      </c>
      <c r="CC33" s="93" t="inlineStr">
        <is>
          <t/>
        </is>
      </c>
      <c r="CD33" s="94" t="inlineStr">
        <is>
          <t>IPO</t>
        </is>
      </c>
      <c r="CE33" s="95" t="inlineStr">
        <is>
          <t>Spin-Off</t>
        </is>
      </c>
      <c r="CF33" s="96" t="inlineStr">
        <is>
          <t/>
        </is>
      </c>
      <c r="CG33" s="97" t="inlineStr">
        <is>
          <t>Public Investment</t>
        </is>
      </c>
      <c r="CH33" s="98" t="inlineStr">
        <is>
          <t/>
        </is>
      </c>
      <c r="CI33" s="99" t="inlineStr">
        <is>
          <t/>
        </is>
      </c>
      <c r="CJ33" s="100" t="inlineStr">
        <is>
          <t/>
        </is>
      </c>
      <c r="CK33" s="101" t="inlineStr">
        <is>
          <t>Announced/In Progress</t>
        </is>
      </c>
      <c r="CL33" s="102" t="inlineStr">
        <is>
          <t/>
        </is>
      </c>
      <c r="CM33" s="103" t="inlineStr">
        <is>
          <t/>
        </is>
      </c>
      <c r="CN33" s="104" t="inlineStr">
        <is>
          <t/>
        </is>
      </c>
      <c r="CO33" s="105" t="inlineStr">
        <is>
          <t/>
        </is>
      </c>
      <c r="CP33" s="106" t="inlineStr">
        <is>
          <t/>
        </is>
      </c>
      <c r="CQ33" s="107" t="inlineStr">
        <is>
          <t/>
        </is>
      </c>
      <c r="CR33" s="108" t="inlineStr">
        <is>
          <t/>
        </is>
      </c>
      <c r="CS33" s="109" t="inlineStr">
        <is>
          <t/>
        </is>
      </c>
      <c r="CT33" s="110" t="inlineStr">
        <is>
          <t/>
        </is>
      </c>
      <c r="CU33" s="111" t="inlineStr">
        <is>
          <t/>
        </is>
      </c>
      <c r="CV33" s="112" t="inlineStr">
        <is>
          <t/>
        </is>
      </c>
      <c r="CW33" s="113" t="inlineStr">
        <is>
          <t/>
        </is>
      </c>
      <c r="CX33" s="114" t="inlineStr">
        <is>
          <t/>
        </is>
      </c>
      <c r="CY33" s="115" t="inlineStr">
        <is>
          <t/>
        </is>
      </c>
      <c r="CZ33" s="116" t="inlineStr">
        <is>
          <t/>
        </is>
      </c>
      <c r="DA33" s="117" t="inlineStr">
        <is>
          <t/>
        </is>
      </c>
      <c r="DB33" s="118" t="inlineStr">
        <is>
          <t/>
        </is>
      </c>
      <c r="DC33" s="119" t="inlineStr">
        <is>
          <t/>
        </is>
      </c>
      <c r="DD33" s="120" t="inlineStr">
        <is>
          <t/>
        </is>
      </c>
      <c r="DE33" s="121" t="inlineStr">
        <is>
          <t/>
        </is>
      </c>
      <c r="DF33" s="122" t="inlineStr">
        <is>
          <t/>
        </is>
      </c>
      <c r="DG33" s="123" t="inlineStr">
        <is>
          <t/>
        </is>
      </c>
      <c r="DH33" s="124" t="inlineStr">
        <is>
          <t/>
        </is>
      </c>
      <c r="DI33" s="125" t="inlineStr">
        <is>
          <t/>
        </is>
      </c>
      <c r="DJ33" s="126" t="inlineStr">
        <is>
          <t/>
        </is>
      </c>
      <c r="DK33" s="127" t="inlineStr">
        <is>
          <t/>
        </is>
      </c>
      <c r="DL33" s="128" t="inlineStr">
        <is>
          <t/>
        </is>
      </c>
      <c r="DM33" s="129" t="inlineStr">
        <is>
          <t/>
        </is>
      </c>
      <c r="DN33" s="130" t="inlineStr">
        <is>
          <t/>
        </is>
      </c>
      <c r="DO33" s="131" t="inlineStr">
        <is>
          <t/>
        </is>
      </c>
      <c r="DP33" s="132" t="inlineStr">
        <is>
          <t/>
        </is>
      </c>
      <c r="DQ33" s="133" t="inlineStr">
        <is>
          <t/>
        </is>
      </c>
      <c r="DR33" s="134" t="inlineStr">
        <is>
          <t/>
        </is>
      </c>
      <c r="DS33" s="135" t="inlineStr">
        <is>
          <t/>
        </is>
      </c>
      <c r="DT33" s="136" t="inlineStr">
        <is>
          <t/>
        </is>
      </c>
      <c r="DU33" s="137" t="inlineStr">
        <is>
          <t/>
        </is>
      </c>
      <c r="DV33" s="138" t="inlineStr">
        <is>
          <t/>
        </is>
      </c>
      <c r="DW33" s="139" t="inlineStr">
        <is>
          <t/>
        </is>
      </c>
      <c r="DX33" s="140" t="inlineStr">
        <is>
          <t/>
        </is>
      </c>
      <c r="DY33" s="141" t="inlineStr">
        <is>
          <t>PitchBook Research</t>
        </is>
      </c>
      <c r="DZ33" s="142" t="n">
        <v>43542.0</v>
      </c>
      <c r="EA33" s="143" t="inlineStr">
        <is>
          <t/>
        </is>
      </c>
      <c r="EB33" s="144" t="inlineStr">
        <is>
          <t/>
        </is>
      </c>
      <c r="EC33" s="145" t="inlineStr">
        <is>
          <t/>
        </is>
      </c>
      <c r="ED33" s="547">
        <f>HYPERLINK("https://my.pitchbook.com?c=265777-48", "View company online")</f>
      </c>
    </row>
    <row r="34">
      <c r="A34" s="147" t="inlineStr">
        <is>
          <t>11058-13</t>
        </is>
      </c>
      <c r="B34" s="148" t="inlineStr">
        <is>
          <t>Dick's Sporting Goods (NYS: DKS)</t>
        </is>
      </c>
      <c r="C34" s="149" t="inlineStr">
        <is>
          <t>Dick's Clothing and Sporting Goods</t>
        </is>
      </c>
      <c r="D34" s="150" t="inlineStr">
        <is>
          <t>Dick's</t>
        </is>
      </c>
      <c r="E34" s="151" t="inlineStr">
        <is>
          <t>11058-13</t>
        </is>
      </c>
      <c r="F34" s="152" t="inlineStr">
        <is>
          <t>Founded in 1948, Dick's Sporting Goods operated 732 namesake stores in 46 states at the end of the third quarter of fiscal 2018. It also owns and operates 129 specialty stores, including Golf Galaxy and Field &amp; Stream concept stores. Namesake Dick's stores offer a broad assortment of sporting goods equipment, apparel, and footwear across a wide range of price points. Most stores are located in shopping centers in regional shopping areas, as well as in freestanding locations and malls.</t>
        </is>
      </c>
      <c r="G34" s="153" t="inlineStr">
        <is>
          <t>Consumer Products and Services (B2C)</t>
        </is>
      </c>
      <c r="H34" s="154" t="inlineStr">
        <is>
          <t>Retail</t>
        </is>
      </c>
      <c r="I34" s="155" t="inlineStr">
        <is>
          <t>Specialty Retail</t>
        </is>
      </c>
      <c r="J34" s="156" t="inlineStr">
        <is>
          <t>Footwear, Internet Retail, Specialty Retail*</t>
        </is>
      </c>
      <c r="K34" s="157" t="inlineStr">
        <is>
          <t>E-Commerce</t>
        </is>
      </c>
      <c r="L34" s="158" t="inlineStr">
        <is>
          <t>cardio equipment, jackets, sporting good, sports merchandise, sports retail</t>
        </is>
      </c>
      <c r="M34" s="159" t="inlineStr">
        <is>
          <t>Corporate Backed or Acquired</t>
        </is>
      </c>
      <c r="N34" s="160" t="n">
        <v>100.58</v>
      </c>
      <c r="O34" s="161" t="inlineStr">
        <is>
          <t>Profitable</t>
        </is>
      </c>
      <c r="P34" s="162" t="inlineStr">
        <is>
          <t>Publicly Held</t>
        </is>
      </c>
      <c r="Q34" s="163" t="inlineStr">
        <is>
          <t>M&amp;A, Private Equity, Publicly Listed, Venture Capital</t>
        </is>
      </c>
      <c r="R34" s="164" t="inlineStr">
        <is>
          <t>www.dickssportinggoods.com</t>
        </is>
      </c>
      <c r="S34" s="165" t="n">
        <v>45200.0</v>
      </c>
      <c r="T34" s="166" t="inlineStr">
        <is>
          <t>2002: 9000, 2003: 9900, 2004: 10400, 2005: 16900, 2006: 18100, 2007: 19920, 2008: 26400, 2009: 27600, 2010: 25200, 2011: 26700, 2012: 28400, 2013: 29800, 2014: 34300, 2015: 37600, 2016: 37200, 2017: 40500, 2018: 45200</t>
        </is>
      </c>
      <c r="U34" s="167" t="inlineStr">
        <is>
          <t>NYS</t>
        </is>
      </c>
      <c r="V34" s="168" t="inlineStr">
        <is>
          <t>DKS</t>
        </is>
      </c>
      <c r="W34" s="169" t="n">
        <v>1948.0</v>
      </c>
      <c r="X34" s="170" t="inlineStr">
        <is>
          <t/>
        </is>
      </c>
      <c r="Y34" s="171" t="inlineStr">
        <is>
          <t/>
        </is>
      </c>
      <c r="Z34" s="172" t="inlineStr">
        <is>
          <t/>
        </is>
      </c>
      <c r="AA34" s="173" t="n">
        <v>8436.57</v>
      </c>
      <c r="AB34" s="174" t="n">
        <v>2437.78</v>
      </c>
      <c r="AC34" s="175" t="n">
        <v>319.86</v>
      </c>
      <c r="AD34" s="176" t="n">
        <v>3822.63</v>
      </c>
      <c r="AE34" s="177" t="n">
        <v>686.0</v>
      </c>
      <c r="AF34" s="178" t="inlineStr">
        <is>
          <t>FY 2019</t>
        </is>
      </c>
      <c r="AG34" s="179" t="n">
        <v>442.17</v>
      </c>
      <c r="AH34" s="180" t="n">
        <v>3376.7</v>
      </c>
      <c r="AI34" s="181" t="inlineStr">
        <is>
          <t/>
        </is>
      </c>
      <c r="AJ34" s="182" t="inlineStr">
        <is>
          <t>12695-23P</t>
        </is>
      </c>
      <c r="AK34" s="183" t="inlineStr">
        <is>
          <t>Edward Stack</t>
        </is>
      </c>
      <c r="AL34" s="184" t="inlineStr">
        <is>
          <t>Chairman &amp; Chief Executive Officer</t>
        </is>
      </c>
      <c r="AM34" s="185" t="inlineStr">
        <is>
          <t/>
        </is>
      </c>
      <c r="AN34" s="186" t="inlineStr">
        <is>
          <t/>
        </is>
      </c>
      <c r="AO34" s="187" t="inlineStr">
        <is>
          <t>Coraopolis, PA</t>
        </is>
      </c>
      <c r="AP34" s="188" t="inlineStr">
        <is>
          <t>345 Court Street</t>
        </is>
      </c>
      <c r="AQ34" s="189" t="inlineStr">
        <is>
          <t/>
        </is>
      </c>
      <c r="AR34" s="190" t="inlineStr">
        <is>
          <t>Coraopolis</t>
        </is>
      </c>
      <c r="AS34" s="191" t="inlineStr">
        <is>
          <t>Pennsylvania</t>
        </is>
      </c>
      <c r="AT34" s="192" t="inlineStr">
        <is>
          <t>15108</t>
        </is>
      </c>
      <c r="AU34" s="193" t="inlineStr">
        <is>
          <t>United States</t>
        </is>
      </c>
      <c r="AV34" s="194" t="inlineStr">
        <is>
          <t>+1 (724) 273-3400</t>
        </is>
      </c>
      <c r="AW34" s="195" t="inlineStr">
        <is>
          <t/>
        </is>
      </c>
      <c r="AX34" s="196" t="inlineStr">
        <is>
          <t/>
        </is>
      </c>
      <c r="AY34" s="197" t="inlineStr">
        <is>
          <t>Americas</t>
        </is>
      </c>
      <c r="AZ34" s="198" t="inlineStr">
        <is>
          <t>North America</t>
        </is>
      </c>
      <c r="BA34" s="199" t="inlineStr">
        <is>
          <t>The company repurchased 3,300,000 shares for $107.9 million on March 31, 2018.</t>
        </is>
      </c>
      <c r="BB34" s="200" t="inlineStr">
        <is>
          <t>Sports Direct International</t>
        </is>
      </c>
      <c r="BC34" s="201" t="n">
        <v>1.0</v>
      </c>
      <c r="BD34" s="202" t="inlineStr">
        <is>
          <t/>
        </is>
      </c>
      <c r="BE34" s="203" t="inlineStr">
        <is>
          <t>Bayview Investors, Bessemer Venture Partners, Northwood Ventures, Oak Investment Partners, Upfront Ventures, Wells Fargo</t>
        </is>
      </c>
      <c r="BF34" s="204" t="inlineStr">
        <is>
          <t/>
        </is>
      </c>
      <c r="BG34" s="205" t="inlineStr">
        <is>
          <t>Sports Direct International(www.sportsdirectplc.com)</t>
        </is>
      </c>
      <c r="BH34" s="206" t="inlineStr">
        <is>
          <t>Bessemer Venture Partners(www.bvp.com), Northwood Ventures(www.northwoodventures.com), Oak Investment Partners(www.oakinv.com), Upfront Ventures(www.upfront.com), Wells Fargo(www.wellsfargo.com)</t>
        </is>
      </c>
      <c r="BI34" s="207" t="inlineStr">
        <is>
          <t/>
        </is>
      </c>
      <c r="BJ34" s="208" t="inlineStr">
        <is>
          <t>Alliant Partners(Advisor: General), Auriemma Consulting Group(Consulting), Brown Rudnick(Legal Advisor), Integrity Square(Advisor: General), Odeon Capital Group(Advisor: General), Telsey Advisory Group(Advisor: General)</t>
        </is>
      </c>
      <c r="BK34" s="209" t="inlineStr">
        <is>
          <t>Buchanan Ingersoll &amp; Rooney(Legal Advisor), PJ SOLOMON(Advisor: General)</t>
        </is>
      </c>
      <c r="BL34" s="210" t="inlineStr">
        <is>
          <t/>
        </is>
      </c>
      <c r="BM34" s="211" t="inlineStr">
        <is>
          <t/>
        </is>
      </c>
      <c r="BN34" s="212" t="inlineStr">
        <is>
          <t/>
        </is>
      </c>
      <c r="BO34" s="213" t="inlineStr">
        <is>
          <t/>
        </is>
      </c>
      <c r="BP34" s="214" t="inlineStr">
        <is>
          <t/>
        </is>
      </c>
      <c r="BQ34" s="215" t="inlineStr">
        <is>
          <t>Early Stage VC</t>
        </is>
      </c>
      <c r="BR34" s="216" t="inlineStr">
        <is>
          <t/>
        </is>
      </c>
      <c r="BS34" s="217" t="inlineStr">
        <is>
          <t/>
        </is>
      </c>
      <c r="BT34" s="218" t="inlineStr">
        <is>
          <t>Venture Capital</t>
        </is>
      </c>
      <c r="BU34" s="219" t="inlineStr">
        <is>
          <t/>
        </is>
      </c>
      <c r="BV34" s="220" t="inlineStr">
        <is>
          <t/>
        </is>
      </c>
      <c r="BW34" s="221" t="inlineStr">
        <is>
          <t/>
        </is>
      </c>
      <c r="BX34" s="222" t="inlineStr">
        <is>
          <t>Completed</t>
        </is>
      </c>
      <c r="BY34" s="223" t="n">
        <v>43190.0</v>
      </c>
      <c r="BZ34" s="224" t="n">
        <v>107.9</v>
      </c>
      <c r="CA34" s="225" t="inlineStr">
        <is>
          <t>Actual</t>
        </is>
      </c>
      <c r="CB34" s="226" t="inlineStr">
        <is>
          <t/>
        </is>
      </c>
      <c r="CC34" s="227" t="inlineStr">
        <is>
          <t/>
        </is>
      </c>
      <c r="CD34" s="228" t="inlineStr">
        <is>
          <t>Share Repurchase</t>
        </is>
      </c>
      <c r="CE34" s="229" t="inlineStr">
        <is>
          <t/>
        </is>
      </c>
      <c r="CF34" s="230" t="inlineStr">
        <is>
          <t/>
        </is>
      </c>
      <c r="CG34" s="231" t="inlineStr">
        <is>
          <t>Other</t>
        </is>
      </c>
      <c r="CH34" s="232" t="inlineStr">
        <is>
          <t/>
        </is>
      </c>
      <c r="CI34" s="233" t="inlineStr">
        <is>
          <t/>
        </is>
      </c>
      <c r="CJ34" s="234" t="inlineStr">
        <is>
          <t/>
        </is>
      </c>
      <c r="CK34" s="235" t="inlineStr">
        <is>
          <t>Completed</t>
        </is>
      </c>
      <c r="CL34" s="236" t="inlineStr">
        <is>
          <t/>
        </is>
      </c>
      <c r="CM34" s="237" t="inlineStr">
        <is>
          <t/>
        </is>
      </c>
      <c r="CN34" s="238" t="n">
        <v>0.87</v>
      </c>
      <c r="CO34" s="239" t="n">
        <v>97.0</v>
      </c>
      <c r="CP34" s="240" t="n">
        <v>0.05</v>
      </c>
      <c r="CQ34" s="241" t="n">
        <v>6.66</v>
      </c>
      <c r="CR34" s="242" t="n">
        <v>0.84</v>
      </c>
      <c r="CS34" s="243" t="n">
        <v>96.0</v>
      </c>
      <c r="CT34" s="244" t="n">
        <v>-0.05</v>
      </c>
      <c r="CU34" s="245" t="n">
        <v>15.0</v>
      </c>
      <c r="CV34" s="246" t="n">
        <v>0.07</v>
      </c>
      <c r="CW34" s="247" t="n">
        <v>82.0</v>
      </c>
      <c r="CX34" s="248" t="n">
        <v>1.61</v>
      </c>
      <c r="CY34" s="249" t="n">
        <v>99.0</v>
      </c>
      <c r="CZ34" s="250" t="n">
        <v>-0.09</v>
      </c>
      <c r="DA34" s="251" t="n">
        <v>11.0</v>
      </c>
      <c r="DB34" s="252" t="n">
        <v>1573.56</v>
      </c>
      <c r="DC34" s="253" t="n">
        <v>100.0</v>
      </c>
      <c r="DD34" s="254" t="n">
        <v>19.85</v>
      </c>
      <c r="DE34" s="255" t="n">
        <v>1.28</v>
      </c>
      <c r="DF34" s="256" t="n">
        <v>5.98</v>
      </c>
      <c r="DG34" s="257" t="n">
        <v>85.0</v>
      </c>
      <c r="DH34" s="258" t="n">
        <v>3668.46</v>
      </c>
      <c r="DI34" s="259" t="n">
        <v>100.0</v>
      </c>
      <c r="DJ34" s="260" t="n">
        <v>1.4</v>
      </c>
      <c r="DK34" s="261" t="n">
        <v>58.0</v>
      </c>
      <c r="DL34" s="262" t="n">
        <v>10.56</v>
      </c>
      <c r="DM34" s="263" t="n">
        <v>89.0</v>
      </c>
      <c r="DN34" s="264" t="n">
        <v>1072.86</v>
      </c>
      <c r="DO34" s="265" t="n">
        <v>100.0</v>
      </c>
      <c r="DP34" s="266" t="n">
        <v>998.0</v>
      </c>
      <c r="DQ34" s="267" t="n">
        <v>-20.0</v>
      </c>
      <c r="DR34" s="268" t="n">
        <v>-1.96</v>
      </c>
      <c r="DS34" s="269" t="n">
        <v>359.0</v>
      </c>
      <c r="DT34" s="270" t="n">
        <v>3.0</v>
      </c>
      <c r="DU34" s="271" t="n">
        <v>0.84</v>
      </c>
      <c r="DV34" s="272" t="n">
        <v>385396.0</v>
      </c>
      <c r="DW34" s="273" t="n">
        <v>-625.0</v>
      </c>
      <c r="DX34" s="274" t="n">
        <v>-0.16</v>
      </c>
      <c r="DY34" s="275" t="inlineStr">
        <is>
          <t>PitchBook Research</t>
        </is>
      </c>
      <c r="DZ34" s="276" t="n">
        <v>43507.0</v>
      </c>
      <c r="EA34" s="277" t="inlineStr">
        <is>
          <t/>
        </is>
      </c>
      <c r="EB34" s="278" t="inlineStr">
        <is>
          <t/>
        </is>
      </c>
      <c r="EC34" s="279" t="inlineStr">
        <is>
          <t/>
        </is>
      </c>
      <c r="ED34" s="548">
        <f>HYPERLINK("https://my.pitchbook.com?c=11058-13", "View company online")</f>
      </c>
    </row>
    <row r="35">
      <c r="A35" s="13" t="inlineStr">
        <is>
          <t>224554-42</t>
        </is>
      </c>
      <c r="B35" s="14" t="inlineStr">
        <is>
          <t>Avon Celli</t>
        </is>
      </c>
      <c r="C35" s="15" t="inlineStr">
        <is>
          <t/>
        </is>
      </c>
      <c r="D35" s="16" t="inlineStr">
        <is>
          <t/>
        </is>
      </c>
      <c r="E35" s="17" t="inlineStr">
        <is>
          <t>224554-42</t>
        </is>
      </c>
      <c r="F35" s="18" t="inlineStr">
        <is>
          <t>Manufacturer of woolen garments. The company's woolen garments include knitwear, stockings, bathing suit, cashmere clothes, enabling customers to buy quality based woolen garments.</t>
        </is>
      </c>
      <c r="G35" s="19" t="inlineStr">
        <is>
          <t>Consumer Products and Services (B2C)</t>
        </is>
      </c>
      <c r="H35" s="20" t="inlineStr">
        <is>
          <t>Apparel and Accessories</t>
        </is>
      </c>
      <c r="I35" s="21" t="inlineStr">
        <is>
          <t>Clothing</t>
        </is>
      </c>
      <c r="J35" s="22" t="inlineStr">
        <is>
          <t>Clothing*</t>
        </is>
      </c>
      <c r="K35" s="23" t="inlineStr">
        <is>
          <t>Manufacturing</t>
        </is>
      </c>
      <c r="L35" s="24" t="inlineStr">
        <is>
          <t>cashmere wool, knitwear, stockings, woolen wear, woolen yarn</t>
        </is>
      </c>
      <c r="M35" s="25" t="inlineStr">
        <is>
          <t>Corporate Backed or Acquired</t>
        </is>
      </c>
      <c r="N35" s="26" t="inlineStr">
        <is>
          <t/>
        </is>
      </c>
      <c r="O35" s="27" t="inlineStr">
        <is>
          <t>Generating Revenue</t>
        </is>
      </c>
      <c r="P35" s="28" t="inlineStr">
        <is>
          <t>Acquired/Merged (Operating Subsidiary)</t>
        </is>
      </c>
      <c r="Q35" s="29" t="inlineStr">
        <is>
          <t>M&amp;A</t>
        </is>
      </c>
      <c r="R35" s="30" t="inlineStr">
        <is>
          <t>www.avoncelli.com</t>
        </is>
      </c>
      <c r="S35" s="31" t="inlineStr">
        <is>
          <t/>
        </is>
      </c>
      <c r="T35" s="32" t="inlineStr">
        <is>
          <t/>
        </is>
      </c>
      <c r="U35" s="33" t="inlineStr">
        <is>
          <t/>
        </is>
      </c>
      <c r="V35" s="34" t="inlineStr">
        <is>
          <t/>
        </is>
      </c>
      <c r="W35" s="35" t="n">
        <v>1922.0</v>
      </c>
      <c r="X35" s="36" t="inlineStr">
        <is>
          <t>WP Lavori</t>
        </is>
      </c>
      <c r="Y35" s="37" t="inlineStr">
        <is>
          <t/>
        </is>
      </c>
      <c r="Z35" s="38" t="inlineStr">
        <is>
          <t/>
        </is>
      </c>
      <c r="AA35" s="39" t="n">
        <v>7500.9</v>
      </c>
      <c r="AB35" s="40" t="inlineStr">
        <is>
          <t/>
        </is>
      </c>
      <c r="AC35" s="41" t="inlineStr">
        <is>
          <t/>
        </is>
      </c>
      <c r="AD35" s="42" t="inlineStr">
        <is>
          <t/>
        </is>
      </c>
      <c r="AE35" s="43" t="inlineStr">
        <is>
          <t/>
        </is>
      </c>
      <c r="AF35" s="44" t="inlineStr">
        <is>
          <t>FY 2000</t>
        </is>
      </c>
      <c r="AG35" s="45" t="inlineStr">
        <is>
          <t/>
        </is>
      </c>
      <c r="AH35" s="46" t="inlineStr">
        <is>
          <t/>
        </is>
      </c>
      <c r="AI35" s="47" t="inlineStr">
        <is>
          <t/>
        </is>
      </c>
      <c r="AJ35" s="48" t="inlineStr">
        <is>
          <t/>
        </is>
      </c>
      <c r="AK35" s="49" t="inlineStr">
        <is>
          <t/>
        </is>
      </c>
      <c r="AL35" s="50" t="inlineStr">
        <is>
          <t/>
        </is>
      </c>
      <c r="AM35" s="51" t="inlineStr">
        <is>
          <t/>
        </is>
      </c>
      <c r="AN35" s="52" t="inlineStr">
        <is>
          <t/>
        </is>
      </c>
      <c r="AO35" s="53" t="inlineStr">
        <is>
          <t>Milan, Italy</t>
        </is>
      </c>
      <c r="AP35" s="54" t="inlineStr">
        <is>
          <t>Via Amatore Sciesa 24a</t>
        </is>
      </c>
      <c r="AQ35" s="55" t="inlineStr">
        <is>
          <t/>
        </is>
      </c>
      <c r="AR35" s="56" t="inlineStr">
        <is>
          <t>Milan</t>
        </is>
      </c>
      <c r="AS35" s="57" t="inlineStr">
        <is>
          <t/>
        </is>
      </c>
      <c r="AT35" s="58" t="inlineStr">
        <is>
          <t>20135</t>
        </is>
      </c>
      <c r="AU35" s="59" t="inlineStr">
        <is>
          <t>Italy</t>
        </is>
      </c>
      <c r="AV35" s="60" t="inlineStr">
        <is>
          <t>+39 02 5412 2896</t>
        </is>
      </c>
      <c r="AW35" s="61" t="inlineStr">
        <is>
          <t>+39 02 5401 0507</t>
        </is>
      </c>
      <c r="AX35" s="62" t="inlineStr">
        <is>
          <t/>
        </is>
      </c>
      <c r="AY35" s="63" t="inlineStr">
        <is>
          <t>Europe</t>
        </is>
      </c>
      <c r="AZ35" s="64" t="inlineStr">
        <is>
          <t>Southern Europe</t>
        </is>
      </c>
      <c r="BA35" s="65" t="inlineStr">
        <is>
          <t>The company was acquired by WP Lavori for an undisclosed amount on May 18, 2010.</t>
        </is>
      </c>
      <c r="BB35" s="66" t="inlineStr">
        <is>
          <t>Fbp Italia</t>
        </is>
      </c>
      <c r="BC35" s="67" t="n">
        <v>1.0</v>
      </c>
      <c r="BD35" s="68" t="inlineStr">
        <is>
          <t>WP Lavori</t>
        </is>
      </c>
      <c r="BE35" s="69" t="inlineStr">
        <is>
          <t>Doratex</t>
        </is>
      </c>
      <c r="BF35" s="70" t="inlineStr">
        <is>
          <t/>
        </is>
      </c>
      <c r="BG35" s="71" t="inlineStr">
        <is>
          <t>Fbp Italia(www.fbpporte.com)</t>
        </is>
      </c>
      <c r="BH35" s="72" t="inlineStr">
        <is>
          <t>Doratex(www.doratex.it)</t>
        </is>
      </c>
      <c r="BI35" s="73" t="inlineStr">
        <is>
          <t/>
        </is>
      </c>
      <c r="BJ35" s="74" t="inlineStr">
        <is>
          <t/>
        </is>
      </c>
      <c r="BK35" s="75" t="inlineStr">
        <is>
          <t/>
        </is>
      </c>
      <c r="BL35" s="76" t="n">
        <v>35796.0</v>
      </c>
      <c r="BM35" s="77" t="inlineStr">
        <is>
          <t/>
        </is>
      </c>
      <c r="BN35" s="78" t="inlineStr">
        <is>
          <t/>
        </is>
      </c>
      <c r="BO35" s="79" t="inlineStr">
        <is>
          <t/>
        </is>
      </c>
      <c r="BP35" s="80" t="inlineStr">
        <is>
          <t/>
        </is>
      </c>
      <c r="BQ35" s="81" t="inlineStr">
        <is>
          <t>Merger/Acquisition</t>
        </is>
      </c>
      <c r="BR35" s="82" t="inlineStr">
        <is>
          <t/>
        </is>
      </c>
      <c r="BS35" s="83" t="inlineStr">
        <is>
          <t/>
        </is>
      </c>
      <c r="BT35" s="84" t="inlineStr">
        <is>
          <t>Corporate</t>
        </is>
      </c>
      <c r="BU35" s="85" t="inlineStr">
        <is>
          <t/>
        </is>
      </c>
      <c r="BV35" s="86" t="inlineStr">
        <is>
          <t/>
        </is>
      </c>
      <c r="BW35" s="87" t="inlineStr">
        <is>
          <t/>
        </is>
      </c>
      <c r="BX35" s="88" t="inlineStr">
        <is>
          <t>Completed</t>
        </is>
      </c>
      <c r="BY35" s="89" t="n">
        <v>40316.0</v>
      </c>
      <c r="BZ35" s="90" t="inlineStr">
        <is>
          <t/>
        </is>
      </c>
      <c r="CA35" s="91" t="inlineStr">
        <is>
          <t/>
        </is>
      </c>
      <c r="CB35" s="92" t="inlineStr">
        <is>
          <t/>
        </is>
      </c>
      <c r="CC35" s="93" t="inlineStr">
        <is>
          <t/>
        </is>
      </c>
      <c r="CD35" s="94" t="inlineStr">
        <is>
          <t>Merger/Acquisition</t>
        </is>
      </c>
      <c r="CE35" s="95" t="inlineStr">
        <is>
          <t>Corporate Divestiture</t>
        </is>
      </c>
      <c r="CF35" s="96" t="inlineStr">
        <is>
          <t/>
        </is>
      </c>
      <c r="CG35" s="97" t="inlineStr">
        <is>
          <t>Corporate</t>
        </is>
      </c>
      <c r="CH35" s="98" t="inlineStr">
        <is>
          <t/>
        </is>
      </c>
      <c r="CI35" s="99" t="inlineStr">
        <is>
          <t/>
        </is>
      </c>
      <c r="CJ35" s="100" t="inlineStr">
        <is>
          <t/>
        </is>
      </c>
      <c r="CK35" s="101" t="inlineStr">
        <is>
          <t>Completed</t>
        </is>
      </c>
      <c r="CL35" s="102" t="inlineStr">
        <is>
          <t/>
        </is>
      </c>
      <c r="CM35" s="103" t="inlineStr">
        <is>
          <t/>
        </is>
      </c>
      <c r="CN35" s="104" t="n">
        <v>0.0</v>
      </c>
      <c r="CO35" s="105" t="n">
        <v>18.0</v>
      </c>
      <c r="CP35" s="106" t="n">
        <v>0.0</v>
      </c>
      <c r="CQ35" s="107" t="n">
        <v>0.0</v>
      </c>
      <c r="CR35" s="108" t="n">
        <v>0.0</v>
      </c>
      <c r="CS35" s="109" t="n">
        <v>14.0</v>
      </c>
      <c r="CT35" s="110" t="inlineStr">
        <is>
          <t/>
        </is>
      </c>
      <c r="CU35" s="111" t="inlineStr">
        <is>
          <t/>
        </is>
      </c>
      <c r="CV35" s="112" t="inlineStr">
        <is>
          <t/>
        </is>
      </c>
      <c r="CW35" s="113" t="inlineStr">
        <is>
          <t/>
        </is>
      </c>
      <c r="CX35" s="114" t="n">
        <v>0.0</v>
      </c>
      <c r="CY35" s="115" t="n">
        <v>11.0</v>
      </c>
      <c r="CZ35" s="116" t="inlineStr">
        <is>
          <t/>
        </is>
      </c>
      <c r="DA35" s="117" t="inlineStr">
        <is>
          <t/>
        </is>
      </c>
      <c r="DB35" s="118" t="n">
        <v>0.88</v>
      </c>
      <c r="DC35" s="119" t="n">
        <v>47.0</v>
      </c>
      <c r="DD35" s="120" t="n">
        <v>0.22</v>
      </c>
      <c r="DE35" s="121" t="n">
        <v>32.35</v>
      </c>
      <c r="DF35" s="122" t="n">
        <v>0.88</v>
      </c>
      <c r="DG35" s="123" t="n">
        <v>48.0</v>
      </c>
      <c r="DH35" s="124" t="inlineStr">
        <is>
          <t/>
        </is>
      </c>
      <c r="DI35" s="125" t="inlineStr">
        <is>
          <t/>
        </is>
      </c>
      <c r="DJ35" s="126" t="inlineStr">
        <is>
          <t/>
        </is>
      </c>
      <c r="DK35" s="127" t="inlineStr">
        <is>
          <t/>
        </is>
      </c>
      <c r="DL35" s="128" t="n">
        <v>0.88</v>
      </c>
      <c r="DM35" s="129" t="n">
        <v>47.0</v>
      </c>
      <c r="DN35" s="130" t="inlineStr">
        <is>
          <t/>
        </is>
      </c>
      <c r="DO35" s="131" t="inlineStr">
        <is>
          <t/>
        </is>
      </c>
      <c r="DP35" s="132" t="inlineStr">
        <is>
          <t/>
        </is>
      </c>
      <c r="DQ35" s="133" t="inlineStr">
        <is>
          <t/>
        </is>
      </c>
      <c r="DR35" s="134" t="inlineStr">
        <is>
          <t/>
        </is>
      </c>
      <c r="DS35" s="135" t="n">
        <v>30.0</v>
      </c>
      <c r="DT35" s="136" t="n">
        <v>0.0</v>
      </c>
      <c r="DU35" s="137" t="n">
        <v>0.0</v>
      </c>
      <c r="DV35" s="138" t="inlineStr">
        <is>
          <t/>
        </is>
      </c>
      <c r="DW35" s="139" t="inlineStr">
        <is>
          <t/>
        </is>
      </c>
      <c r="DX35" s="140" t="inlineStr">
        <is>
          <t/>
        </is>
      </c>
      <c r="DY35" s="141" t="inlineStr">
        <is>
          <t>PitchBook Research</t>
        </is>
      </c>
      <c r="DZ35" s="142" t="n">
        <v>43528.0</v>
      </c>
      <c r="EA35" s="143" t="inlineStr">
        <is>
          <t/>
        </is>
      </c>
      <c r="EB35" s="144" t="inlineStr">
        <is>
          <t/>
        </is>
      </c>
      <c r="EC35" s="145" t="inlineStr">
        <is>
          <t/>
        </is>
      </c>
      <c r="ED35" s="547">
        <f>HYPERLINK("https://my.pitchbook.com?c=224554-42", "View company online")</f>
      </c>
    </row>
    <row r="36">
      <c r="A36" s="147" t="inlineStr">
        <is>
          <t>41616-73</t>
        </is>
      </c>
      <c r="B36" s="148" t="inlineStr">
        <is>
          <t>Hanesbrands (NYS: HBI)</t>
        </is>
      </c>
      <c r="C36" s="149" t="inlineStr">
        <is>
          <t>P.H. Hanes Knitting, Shamrock Hills</t>
        </is>
      </c>
      <c r="D36" s="150" t="inlineStr">
        <is>
          <t>Hanes</t>
        </is>
      </c>
      <c r="E36" s="151" t="inlineStr">
        <is>
          <t>41616-73</t>
        </is>
      </c>
      <c r="F36" s="152" t="inlineStr">
        <is>
          <t>Hanesbrands manufactures basic and athletic apparel under brands including Hanes, Champion, Playtex, Bali, and Bonds. The company sells wholesale to discount, mid-market, and department store retailers as well as direct to consumers. Hanesbrands is vertically integrated as it produces more than 70% of its products in company-controlled factories in more than three dozen nations. Hanesbrands distributes products in the Americas, Europe, and Asia-Pacific. The company was founded in 1901 and is based in Winston-Salem, North Carolina.</t>
        </is>
      </c>
      <c r="G36" s="153" t="inlineStr">
        <is>
          <t>Consumer Products and Services (B2C)</t>
        </is>
      </c>
      <c r="H36" s="154" t="inlineStr">
        <is>
          <t>Retail</t>
        </is>
      </c>
      <c r="I36" s="155" t="inlineStr">
        <is>
          <t>Specialty Retail</t>
        </is>
      </c>
      <c r="J36" s="156" t="inlineStr">
        <is>
          <t>Clothing, Specialty Retail*</t>
        </is>
      </c>
      <c r="K36" s="157" t="inlineStr">
        <is>
          <t>Manufacturing</t>
        </is>
      </c>
      <c r="L36" s="158" t="inlineStr">
        <is>
          <t/>
        </is>
      </c>
      <c r="M36" s="159" t="inlineStr">
        <is>
          <t>Corporation</t>
        </is>
      </c>
      <c r="N36" s="160" t="inlineStr">
        <is>
          <t/>
        </is>
      </c>
      <c r="O36" s="161" t="inlineStr">
        <is>
          <t>Profitable</t>
        </is>
      </c>
      <c r="P36" s="162" t="inlineStr">
        <is>
          <t>Publicly Held</t>
        </is>
      </c>
      <c r="Q36" s="163" t="inlineStr">
        <is>
          <t>Publicly Listed</t>
        </is>
      </c>
      <c r="R36" s="164" t="inlineStr">
        <is>
          <t/>
        </is>
      </c>
      <c r="S36" s="165" t="n">
        <v>68000.0</v>
      </c>
      <c r="T36" s="166" t="inlineStr">
        <is>
          <t>2005: 50000, 2006: 49000, 2007: 47600, 2008: 45200, 2010: 47400, 2011: 55500, 2012: 51500, 2013: 49700, 2015: 59500, 2016: 67800, 2017: 67200, 2018: 68000</t>
        </is>
      </c>
      <c r="U36" s="167" t="inlineStr">
        <is>
          <t>NYS</t>
        </is>
      </c>
      <c r="V36" s="168" t="inlineStr">
        <is>
          <t>HBI</t>
        </is>
      </c>
      <c r="W36" s="169" t="n">
        <v>1901.0</v>
      </c>
      <c r="X36" s="170" t="inlineStr">
        <is>
          <t/>
        </is>
      </c>
      <c r="Y36" s="171" t="inlineStr">
        <is>
          <t/>
        </is>
      </c>
      <c r="Z36" s="172" t="inlineStr">
        <is>
          <t>News (New) </t>
        </is>
      </c>
      <c r="AA36" s="173" t="n">
        <v>6803.96</v>
      </c>
      <c r="AB36" s="174" t="n">
        <v>2656.52</v>
      </c>
      <c r="AC36" s="175" t="n">
        <v>553.08</v>
      </c>
      <c r="AD36" s="176" t="n">
        <v>8505.31</v>
      </c>
      <c r="AE36" s="177" t="n">
        <v>973.35</v>
      </c>
      <c r="AF36" s="178" t="inlineStr">
        <is>
          <t>FY 2018</t>
        </is>
      </c>
      <c r="AG36" s="179" t="n">
        <v>841.56</v>
      </c>
      <c r="AH36" s="180" t="n">
        <v>6116.09</v>
      </c>
      <c r="AI36" s="181" t="n">
        <v>3547.57</v>
      </c>
      <c r="AJ36" s="182" t="inlineStr">
        <is>
          <t>84243-25P</t>
        </is>
      </c>
      <c r="AK36" s="183" t="inlineStr">
        <is>
          <t>Barry Hytinen</t>
        </is>
      </c>
      <c r="AL36" s="184" t="inlineStr">
        <is>
          <t>Chief Financial Officer</t>
        </is>
      </c>
      <c r="AM36" s="185" t="inlineStr">
        <is>
          <t>barry.hytinen@hanes.com</t>
        </is>
      </c>
      <c r="AN36" s="186" t="inlineStr">
        <is>
          <t/>
        </is>
      </c>
      <c r="AO36" s="187" t="inlineStr">
        <is>
          <t>Rural Hall, NC</t>
        </is>
      </c>
      <c r="AP36" s="188" t="inlineStr">
        <is>
          <t>P.O. Box 748</t>
        </is>
      </c>
      <c r="AQ36" s="189" t="inlineStr">
        <is>
          <t/>
        </is>
      </c>
      <c r="AR36" s="190" t="inlineStr">
        <is>
          <t>Rural Hall</t>
        </is>
      </c>
      <c r="AS36" s="191" t="inlineStr">
        <is>
          <t>North Carolina</t>
        </is>
      </c>
      <c r="AT36" s="192" t="inlineStr">
        <is>
          <t>27098</t>
        </is>
      </c>
      <c r="AU36" s="193" t="inlineStr">
        <is>
          <t>United States</t>
        </is>
      </c>
      <c r="AV36" s="194" t="inlineStr">
        <is>
          <t/>
        </is>
      </c>
      <c r="AW36" s="195" t="inlineStr">
        <is>
          <t/>
        </is>
      </c>
      <c r="AX36" s="196" t="inlineStr">
        <is>
          <t/>
        </is>
      </c>
      <c r="AY36" s="197" t="inlineStr">
        <is>
          <t>Americas</t>
        </is>
      </c>
      <c r="AZ36" s="198" t="inlineStr">
        <is>
          <t>North America</t>
        </is>
      </c>
      <c r="BA36" s="199" t="inlineStr">
        <is>
          <t>The company underwent an initial public offering on the NYSE stock exchange under the ticker symbol of HBI on September 6, 2006.</t>
        </is>
      </c>
      <c r="BB36" s="200" t="inlineStr">
        <is>
          <t/>
        </is>
      </c>
      <c r="BC36" s="201" t="inlineStr">
        <is>
          <t/>
        </is>
      </c>
      <c r="BD36" s="202" t="inlineStr">
        <is>
          <t/>
        </is>
      </c>
      <c r="BE36" s="203" t="inlineStr">
        <is>
          <t>Kitchens of Sara Lee</t>
        </is>
      </c>
      <c r="BF36" s="204" t="inlineStr">
        <is>
          <t/>
        </is>
      </c>
      <c r="BG36" s="205" t="inlineStr">
        <is>
          <t/>
        </is>
      </c>
      <c r="BH36" s="206" t="inlineStr">
        <is>
          <t>Kitchens of Sara Lee(www.saralee.com.au)</t>
        </is>
      </c>
      <c r="BI36" s="207" t="inlineStr">
        <is>
          <t/>
        </is>
      </c>
      <c r="BJ36" s="208" t="inlineStr">
        <is>
          <t/>
        </is>
      </c>
      <c r="BK36" s="209" t="inlineStr">
        <is>
          <t/>
        </is>
      </c>
      <c r="BL36" s="210" t="n">
        <v>38966.0</v>
      </c>
      <c r="BM36" s="211" t="inlineStr">
        <is>
          <t/>
        </is>
      </c>
      <c r="BN36" s="212" t="inlineStr">
        <is>
          <t/>
        </is>
      </c>
      <c r="BO36" s="213" t="inlineStr">
        <is>
          <t/>
        </is>
      </c>
      <c r="BP36" s="214" t="inlineStr">
        <is>
          <t/>
        </is>
      </c>
      <c r="BQ36" s="215" t="inlineStr">
        <is>
          <t>IPO</t>
        </is>
      </c>
      <c r="BR36" s="216" t="inlineStr">
        <is>
          <t>Spin-Off</t>
        </is>
      </c>
      <c r="BS36" s="217" t="inlineStr">
        <is>
          <t/>
        </is>
      </c>
      <c r="BT36" s="218" t="inlineStr">
        <is>
          <t>Public Investment</t>
        </is>
      </c>
      <c r="BU36" s="219" t="inlineStr">
        <is>
          <t/>
        </is>
      </c>
      <c r="BV36" s="220" t="inlineStr">
        <is>
          <t/>
        </is>
      </c>
      <c r="BW36" s="221" t="inlineStr">
        <is>
          <t/>
        </is>
      </c>
      <c r="BX36" s="222" t="inlineStr">
        <is>
          <t>Completed</t>
        </is>
      </c>
      <c r="BY36" s="223" t="n">
        <v>38966.0</v>
      </c>
      <c r="BZ36" s="224" t="inlineStr">
        <is>
          <t/>
        </is>
      </c>
      <c r="CA36" s="225" t="inlineStr">
        <is>
          <t/>
        </is>
      </c>
      <c r="CB36" s="226" t="inlineStr">
        <is>
          <t/>
        </is>
      </c>
      <c r="CC36" s="227" t="inlineStr">
        <is>
          <t/>
        </is>
      </c>
      <c r="CD36" s="228" t="inlineStr">
        <is>
          <t>IPO</t>
        </is>
      </c>
      <c r="CE36" s="229" t="inlineStr">
        <is>
          <t>Spin-Off</t>
        </is>
      </c>
      <c r="CF36" s="230" t="inlineStr">
        <is>
          <t/>
        </is>
      </c>
      <c r="CG36" s="231" t="inlineStr">
        <is>
          <t>Public Investment</t>
        </is>
      </c>
      <c r="CH36" s="232" t="inlineStr">
        <is>
          <t/>
        </is>
      </c>
      <c r="CI36" s="233" t="inlineStr">
        <is>
          <t/>
        </is>
      </c>
      <c r="CJ36" s="234" t="inlineStr">
        <is>
          <t/>
        </is>
      </c>
      <c r="CK36" s="235" t="inlineStr">
        <is>
          <t>Completed</t>
        </is>
      </c>
      <c r="CL36" s="236" t="inlineStr">
        <is>
          <t/>
        </is>
      </c>
      <c r="CM36" s="237" t="inlineStr">
        <is>
          <t/>
        </is>
      </c>
      <c r="CN36" s="238" t="n">
        <v>0.08</v>
      </c>
      <c r="CO36" s="239" t="n">
        <v>83.0</v>
      </c>
      <c r="CP36" s="240" t="n">
        <v>0.04</v>
      </c>
      <c r="CQ36" s="241" t="n">
        <v>95.92</v>
      </c>
      <c r="CR36" s="242" t="n">
        <v>-0.06</v>
      </c>
      <c r="CS36" s="243" t="n">
        <v>13.0</v>
      </c>
      <c r="CT36" s="244" t="n">
        <v>0.21</v>
      </c>
      <c r="CU36" s="245" t="n">
        <v>85.0</v>
      </c>
      <c r="CV36" s="246" t="n">
        <v>-0.12</v>
      </c>
      <c r="CW36" s="247" t="n">
        <v>32.0</v>
      </c>
      <c r="CX36" s="248" t="n">
        <v>0.0</v>
      </c>
      <c r="CY36" s="249" t="n">
        <v>11.0</v>
      </c>
      <c r="CZ36" s="250" t="n">
        <v>0.21</v>
      </c>
      <c r="DA36" s="251" t="n">
        <v>86.0</v>
      </c>
      <c r="DB36" s="252" t="n">
        <v>166.84</v>
      </c>
      <c r="DC36" s="253" t="n">
        <v>100.0</v>
      </c>
      <c r="DD36" s="254" t="n">
        <v>10.58</v>
      </c>
      <c r="DE36" s="255" t="n">
        <v>6.77</v>
      </c>
      <c r="DF36" s="256" t="n">
        <v>331.22</v>
      </c>
      <c r="DG36" s="257" t="n">
        <v>100.0</v>
      </c>
      <c r="DH36" s="258" t="n">
        <v>2.46</v>
      </c>
      <c r="DI36" s="259" t="n">
        <v>67.0</v>
      </c>
      <c r="DJ36" s="260" t="n">
        <v>490.74</v>
      </c>
      <c r="DK36" s="261" t="n">
        <v>100.0</v>
      </c>
      <c r="DL36" s="262" t="n">
        <v>171.71</v>
      </c>
      <c r="DM36" s="263" t="n">
        <v>100.0</v>
      </c>
      <c r="DN36" s="264" t="n">
        <v>2.46</v>
      </c>
      <c r="DO36" s="265" t="n">
        <v>67.0</v>
      </c>
      <c r="DP36" s="266" t="n">
        <v>350356.0</v>
      </c>
      <c r="DQ36" s="267" t="n">
        <v>-4102.0</v>
      </c>
      <c r="DR36" s="268" t="n">
        <v>-1.16</v>
      </c>
      <c r="DS36" s="269" t="n">
        <v>5832.0</v>
      </c>
      <c r="DT36" s="270" t="n">
        <v>5.0</v>
      </c>
      <c r="DU36" s="271" t="n">
        <v>0.09</v>
      </c>
      <c r="DV36" s="272" t="n">
        <v>883.0</v>
      </c>
      <c r="DW36" s="273" t="n">
        <v>4.0</v>
      </c>
      <c r="DX36" s="274" t="n">
        <v>0.46</v>
      </c>
      <c r="DY36" s="275" t="inlineStr">
        <is>
          <t>PitchBook Research</t>
        </is>
      </c>
      <c r="DZ36" s="276" t="n">
        <v>43543.0</v>
      </c>
      <c r="EA36" s="277" t="inlineStr">
        <is>
          <t/>
        </is>
      </c>
      <c r="EB36" s="278" t="inlineStr">
        <is>
          <t/>
        </is>
      </c>
      <c r="EC36" s="279" t="inlineStr">
        <is>
          <t/>
        </is>
      </c>
      <c r="ED36" s="548">
        <f>HYPERLINK("https://my.pitchbook.com?c=41616-73", "View company online")</f>
      </c>
    </row>
    <row r="37">
      <c r="A37" s="13" t="inlineStr">
        <is>
          <t>56813-32</t>
        </is>
      </c>
      <c r="B37" s="14" t="inlineStr">
        <is>
          <t>Hermes International (PAR: RMS)</t>
        </is>
      </c>
      <c r="C37" s="15" t="inlineStr">
        <is>
          <t/>
        </is>
      </c>
      <c r="D37" s="16" t="inlineStr">
        <is>
          <t>Hermes</t>
        </is>
      </c>
      <c r="E37" s="17" t="inlineStr">
        <is>
          <t>56813-32</t>
        </is>
      </c>
      <c r="F37" s="18" t="inlineStr">
        <is>
          <t>Hermes is a 180-year-old family-controlled luxury goods company best known for its Birkin and Kelly bags. Its biggest segments are leather goods and saddlery, accounting for around half of revenue; clothes and accessories (21% of sales); silk and textiles (10%); and other products such as perfumes, watches, jewellery, and home furnishings. Hermes has a record of smooth sales growth, with no sales decline over the past 10 years. It has around 300 stores globally, of which it owns and operates around 200.</t>
        </is>
      </c>
      <c r="G37" s="19" t="inlineStr">
        <is>
          <t>Business Products and Services (B2B)</t>
        </is>
      </c>
      <c r="H37" s="20" t="inlineStr">
        <is>
          <t>Commercial Services</t>
        </is>
      </c>
      <c r="I37" s="21" t="inlineStr">
        <is>
          <t>Other Commercial Services</t>
        </is>
      </c>
      <c r="J37" s="22" t="inlineStr">
        <is>
          <t>Accessories, Clothing, Footwear, Other Commercial Services*</t>
        </is>
      </c>
      <c r="K37" s="23" t="inlineStr">
        <is>
          <t>Manufacturing</t>
        </is>
      </c>
      <c r="L37" s="24" t="inlineStr">
        <is>
          <t>accessories, garments, leather product, luxury clothing, silk and textile</t>
        </is>
      </c>
      <c r="M37" s="25" t="inlineStr">
        <is>
          <t>Corporate Backed or Acquired</t>
        </is>
      </c>
      <c r="N37" s="26" t="inlineStr">
        <is>
          <t/>
        </is>
      </c>
      <c r="O37" s="27" t="inlineStr">
        <is>
          <t>Profitable</t>
        </is>
      </c>
      <c r="P37" s="28" t="inlineStr">
        <is>
          <t>Publicly Held</t>
        </is>
      </c>
      <c r="Q37" s="29" t="inlineStr">
        <is>
          <t>M&amp;A, Publicly Listed</t>
        </is>
      </c>
      <c r="R37" s="30" t="inlineStr">
        <is>
          <t>www.hermes.com</t>
        </is>
      </c>
      <c r="S37" s="31" t="n">
        <v>13764.0</v>
      </c>
      <c r="T37" s="32" t="inlineStr">
        <is>
          <t>2006: 6825, 2008: 7894, 2009: 8057, 2010: 8366, 2011: 9081, 2012: 10118, 2013: 11037, 2014: 11718, 2015: 12244, 2016: 12834, 2017: 13483, 2018: 13764</t>
        </is>
      </c>
      <c r="U37" s="33" t="inlineStr">
        <is>
          <t>PAR</t>
        </is>
      </c>
      <c r="V37" s="34" t="inlineStr">
        <is>
          <t>RMS</t>
        </is>
      </c>
      <c r="W37" s="35" t="n">
        <v>1837.0</v>
      </c>
      <c r="X37" s="36" t="inlineStr">
        <is>
          <t/>
        </is>
      </c>
      <c r="Y37" s="37" t="inlineStr">
        <is>
          <t/>
        </is>
      </c>
      <c r="Z37" s="38" t="inlineStr">
        <is>
          <t>News (New) </t>
        </is>
      </c>
      <c r="AA37" s="39" t="n">
        <v>6786.14</v>
      </c>
      <c r="AB37" s="40" t="n">
        <v>4748.09</v>
      </c>
      <c r="AC37" s="41" t="n">
        <v>1579.32</v>
      </c>
      <c r="AD37" s="42" t="n">
        <v>59633.02</v>
      </c>
      <c r="AE37" s="43" t="n">
        <v>2630.13</v>
      </c>
      <c r="AF37" s="44" t="inlineStr">
        <is>
          <t>TTM 2Q2018</t>
        </is>
      </c>
      <c r="AG37" s="45" t="n">
        <v>2382.99</v>
      </c>
      <c r="AH37" s="46" t="n">
        <v>69164.25</v>
      </c>
      <c r="AI37" s="47" t="n">
        <v>-3097.5</v>
      </c>
      <c r="AJ37" s="48" t="inlineStr">
        <is>
          <t>77885-74P</t>
        </is>
      </c>
      <c r="AK37" s="49" t="inlineStr">
        <is>
          <t>Axel Dumas</t>
        </is>
      </c>
      <c r="AL37" s="50" t="inlineStr">
        <is>
          <t>Chief Executive Officer &amp; Executive Chairman</t>
        </is>
      </c>
      <c r="AM37" s="51" t="inlineStr">
        <is>
          <t>axel.dumas@hermes.com</t>
        </is>
      </c>
      <c r="AN37" s="52" t="inlineStr">
        <is>
          <t>+33 (0)1 49 92 38 92</t>
        </is>
      </c>
      <c r="AO37" s="53" t="inlineStr">
        <is>
          <t>Paris, France</t>
        </is>
      </c>
      <c r="AP37" s="54" t="inlineStr">
        <is>
          <t>24, rue du Faubourg</t>
        </is>
      </c>
      <c r="AQ37" s="55" t="inlineStr">
        <is>
          <t>Saint-Honoré</t>
        </is>
      </c>
      <c r="AR37" s="56" t="inlineStr">
        <is>
          <t>Paris</t>
        </is>
      </c>
      <c r="AS37" s="57" t="inlineStr">
        <is>
          <t/>
        </is>
      </c>
      <c r="AT37" s="58" t="inlineStr">
        <is>
          <t>75008</t>
        </is>
      </c>
      <c r="AU37" s="59" t="inlineStr">
        <is>
          <t>France</t>
        </is>
      </c>
      <c r="AV37" s="60" t="inlineStr">
        <is>
          <t>+33 (0)1 49 92 38 92</t>
        </is>
      </c>
      <c r="AW37" s="61" t="inlineStr">
        <is>
          <t>+33 (0)1 40 17 49 54</t>
        </is>
      </c>
      <c r="AX37" s="62" t="inlineStr">
        <is>
          <t/>
        </is>
      </c>
      <c r="AY37" s="63" t="inlineStr">
        <is>
          <t>Europe</t>
        </is>
      </c>
      <c r="AZ37" s="64" t="inlineStr">
        <is>
          <t>Western Europe</t>
        </is>
      </c>
      <c r="BA37" s="65" t="inlineStr">
        <is>
          <t>Existing shareholders sold 18,647 shares of the company's (PAR: RMS) common stock, raising EUR 8.186 million on July 12, 2017.</t>
        </is>
      </c>
      <c r="BB37" s="66" t="inlineStr">
        <is>
          <t>LVMH Moët Hennessy Louis Vuitton</t>
        </is>
      </c>
      <c r="BC37" s="67" t="n">
        <v>1.0</v>
      </c>
      <c r="BD37" s="68" t="inlineStr">
        <is>
          <t/>
        </is>
      </c>
      <c r="BE37" s="69" t="inlineStr">
        <is>
          <t/>
        </is>
      </c>
      <c r="BF37" s="70" t="inlineStr">
        <is>
          <t/>
        </is>
      </c>
      <c r="BG37" s="71" t="inlineStr">
        <is>
          <t>LVMH Moët Hennessy Louis Vuitton(www.lvmh.com)</t>
        </is>
      </c>
      <c r="BH37" s="72" t="inlineStr">
        <is>
          <t/>
        </is>
      </c>
      <c r="BI37" s="73" t="inlineStr">
        <is>
          <t/>
        </is>
      </c>
      <c r="BJ37" s="74" t="inlineStr">
        <is>
          <t>Handal &amp; Morofsky(Legal Advisor), Plateeze(Consulting)</t>
        </is>
      </c>
      <c r="BK37" s="75" t="inlineStr">
        <is>
          <t/>
        </is>
      </c>
      <c r="BL37" s="76" t="n">
        <v>34121.0</v>
      </c>
      <c r="BM37" s="77" t="inlineStr">
        <is>
          <t/>
        </is>
      </c>
      <c r="BN37" s="78" t="inlineStr">
        <is>
          <t/>
        </is>
      </c>
      <c r="BO37" s="79" t="inlineStr">
        <is>
          <t/>
        </is>
      </c>
      <c r="BP37" s="80" t="inlineStr">
        <is>
          <t/>
        </is>
      </c>
      <c r="BQ37" s="81" t="inlineStr">
        <is>
          <t>IPO</t>
        </is>
      </c>
      <c r="BR37" s="82" t="inlineStr">
        <is>
          <t/>
        </is>
      </c>
      <c r="BS37" s="83" t="inlineStr">
        <is>
          <t/>
        </is>
      </c>
      <c r="BT37" s="84" t="inlineStr">
        <is>
          <t>Public Investment</t>
        </is>
      </c>
      <c r="BU37" s="85" t="inlineStr">
        <is>
          <t/>
        </is>
      </c>
      <c r="BV37" s="86" t="inlineStr">
        <is>
          <t/>
        </is>
      </c>
      <c r="BW37" s="87" t="inlineStr">
        <is>
          <t/>
        </is>
      </c>
      <c r="BX37" s="88" t="inlineStr">
        <is>
          <t>Completed</t>
        </is>
      </c>
      <c r="BY37" s="89" t="n">
        <v>42928.0</v>
      </c>
      <c r="BZ37" s="90" t="n">
        <v>9.43</v>
      </c>
      <c r="CA37" s="91" t="inlineStr">
        <is>
          <t>Actual</t>
        </is>
      </c>
      <c r="CB37" s="92" t="inlineStr">
        <is>
          <t/>
        </is>
      </c>
      <c r="CC37" s="93" t="inlineStr">
        <is>
          <t/>
        </is>
      </c>
      <c r="CD37" s="94" t="inlineStr">
        <is>
          <t>Secondary Transaction - Open Market</t>
        </is>
      </c>
      <c r="CE37" s="95" t="inlineStr">
        <is>
          <t/>
        </is>
      </c>
      <c r="CF37" s="96" t="inlineStr">
        <is>
          <t/>
        </is>
      </c>
      <c r="CG37" s="97" t="inlineStr">
        <is>
          <t>Corporate</t>
        </is>
      </c>
      <c r="CH37" s="98" t="inlineStr">
        <is>
          <t/>
        </is>
      </c>
      <c r="CI37" s="99" t="inlineStr">
        <is>
          <t/>
        </is>
      </c>
      <c r="CJ37" s="100" t="inlineStr">
        <is>
          <t/>
        </is>
      </c>
      <c r="CK37" s="101" t="inlineStr">
        <is>
          <t>Completed</t>
        </is>
      </c>
      <c r="CL37" s="102" t="inlineStr">
        <is>
          <t/>
        </is>
      </c>
      <c r="CM37" s="103" t="inlineStr">
        <is>
          <t/>
        </is>
      </c>
      <c r="CN37" s="104" t="n">
        <v>1.19</v>
      </c>
      <c r="CO37" s="105" t="n">
        <v>98.0</v>
      </c>
      <c r="CP37" s="106" t="n">
        <v>-0.05</v>
      </c>
      <c r="CQ37" s="107" t="n">
        <v>-3.73</v>
      </c>
      <c r="CR37" s="108" t="n">
        <v>1.64</v>
      </c>
      <c r="CS37" s="109" t="n">
        <v>98.0</v>
      </c>
      <c r="CT37" s="110" t="n">
        <v>0.73</v>
      </c>
      <c r="CU37" s="111" t="n">
        <v>97.0</v>
      </c>
      <c r="CV37" s="112" t="n">
        <v>2.97</v>
      </c>
      <c r="CW37" s="113" t="n">
        <v>93.0</v>
      </c>
      <c r="CX37" s="114" t="n">
        <v>0.31</v>
      </c>
      <c r="CY37" s="115" t="n">
        <v>91.0</v>
      </c>
      <c r="CZ37" s="116" t="n">
        <v>0.73</v>
      </c>
      <c r="DA37" s="117" t="n">
        <v>97.0</v>
      </c>
      <c r="DB37" s="118" t="n">
        <v>279.88</v>
      </c>
      <c r="DC37" s="119" t="n">
        <v>100.0</v>
      </c>
      <c r="DD37" s="120" t="n">
        <v>30.78</v>
      </c>
      <c r="DE37" s="121" t="n">
        <v>12.36</v>
      </c>
      <c r="DF37" s="122" t="n">
        <v>397.86</v>
      </c>
      <c r="DG37" s="123" t="n">
        <v>100.0</v>
      </c>
      <c r="DH37" s="124" t="n">
        <v>161.91</v>
      </c>
      <c r="DI37" s="125" t="n">
        <v>98.0</v>
      </c>
      <c r="DJ37" s="126" t="n">
        <v>308.57</v>
      </c>
      <c r="DK37" s="127" t="n">
        <v>99.0</v>
      </c>
      <c r="DL37" s="128" t="n">
        <v>487.15</v>
      </c>
      <c r="DM37" s="129" t="n">
        <v>100.0</v>
      </c>
      <c r="DN37" s="130" t="n">
        <v>161.91</v>
      </c>
      <c r="DO37" s="131" t="n">
        <v>99.0</v>
      </c>
      <c r="DP37" s="132" t="n">
        <v>219421.0</v>
      </c>
      <c r="DQ37" s="133" t="n">
        <v>5316.0</v>
      </c>
      <c r="DR37" s="134" t="n">
        <v>2.48</v>
      </c>
      <c r="DS37" s="135" t="n">
        <v>16528.0</v>
      </c>
      <c r="DT37" s="136" t="n">
        <v>87.0</v>
      </c>
      <c r="DU37" s="137" t="n">
        <v>0.53</v>
      </c>
      <c r="DV37" s="138" t="n">
        <v>58085.0</v>
      </c>
      <c r="DW37" s="139" t="n">
        <v>80.0</v>
      </c>
      <c r="DX37" s="140" t="n">
        <v>0.14</v>
      </c>
      <c r="DY37" s="141" t="inlineStr">
        <is>
          <t>PitchBook Research</t>
        </is>
      </c>
      <c r="DZ37" s="142" t="n">
        <v>43530.0</v>
      </c>
      <c r="EA37" s="143" t="inlineStr">
        <is>
          <t/>
        </is>
      </c>
      <c r="EB37" s="144" t="inlineStr">
        <is>
          <t/>
        </is>
      </c>
      <c r="EC37" s="145" t="inlineStr">
        <is>
          <t/>
        </is>
      </c>
      <c r="ED37" s="547">
        <f>HYPERLINK("https://my.pitchbook.com?c=56813-32", "View company online")</f>
      </c>
    </row>
    <row r="38">
      <c r="A38" s="147" t="inlineStr">
        <is>
          <t>10825-66</t>
        </is>
      </c>
      <c r="B38" s="148" t="inlineStr">
        <is>
          <t>ULTA Beauty (NAS: ULTA)</t>
        </is>
      </c>
      <c r="C38" s="149" t="inlineStr">
        <is>
          <t/>
        </is>
      </c>
      <c r="D38" s="150" t="inlineStr">
        <is>
          <t>ULTA</t>
        </is>
      </c>
      <c r="E38" s="151" t="inlineStr">
        <is>
          <t>10825-66</t>
        </is>
      </c>
      <c r="F38" s="152" t="inlineStr">
        <is>
          <t>Ulta Salon Cosmetics &amp; Fragrance is a North American beauty retailer for cosmetics, skin-care products, fragrance, hair-care products, and salon services. The company offers products from over 500 beauty brands across all categories and price points, including its own private label. Additionally, Ulta offers full-service salon in every store, featuring hair, skin, and brow services. Its stores are predominantly located in convenient and high-traffic locations. A typical Ulta store has more than 20,000 prestige, mass, and professional beauty products.</t>
        </is>
      </c>
      <c r="G38" s="153" t="inlineStr">
        <is>
          <t>Consumer Products and Services (B2C)</t>
        </is>
      </c>
      <c r="H38" s="154" t="inlineStr">
        <is>
          <t>Apparel and Accessories</t>
        </is>
      </c>
      <c r="I38" s="155" t="inlineStr">
        <is>
          <t>Luxury Goods</t>
        </is>
      </c>
      <c r="J38" s="156" t="inlineStr">
        <is>
          <t>Internet Software, Luxury Goods*, Personal Products</t>
        </is>
      </c>
      <c r="K38" s="157" t="inlineStr">
        <is>
          <t>Beauty, E-Commerce, TMT</t>
        </is>
      </c>
      <c r="L38" s="158" t="inlineStr">
        <is>
          <t>cosmetics, internet retail, luxury goods, online marketplace, salon services</t>
        </is>
      </c>
      <c r="M38" s="159" t="inlineStr">
        <is>
          <t>Venture Capital-Backed</t>
        </is>
      </c>
      <c r="N38" s="160" t="n">
        <v>1173.72</v>
      </c>
      <c r="O38" s="161" t="inlineStr">
        <is>
          <t>Profitable</t>
        </is>
      </c>
      <c r="P38" s="162" t="inlineStr">
        <is>
          <t>Publicly Held</t>
        </is>
      </c>
      <c r="Q38" s="163" t="inlineStr">
        <is>
          <t>Publicly Listed, Venture Capital</t>
        </is>
      </c>
      <c r="R38" s="164" t="inlineStr">
        <is>
          <t>www.ulta.com</t>
        </is>
      </c>
      <c r="S38" s="165" t="n">
        <v>34700.0</v>
      </c>
      <c r="T38" s="166" t="inlineStr">
        <is>
          <t>2006: 7100, 2007: 7100, 2008: 7900, 2009: 9800, 2010: 10300, 2011: 11700, 2012: 14000, 2013: 16100, 2014: 19600, 2015: 22400, 2016: 26500, 2017: 31800, 2018: 34700</t>
        </is>
      </c>
      <c r="U38" s="167" t="inlineStr">
        <is>
          <t>NAS</t>
        </is>
      </c>
      <c r="V38" s="168" t="inlineStr">
        <is>
          <t>ULTA</t>
        </is>
      </c>
      <c r="W38" s="169" t="n">
        <v>1990.0</v>
      </c>
      <c r="X38" s="170" t="inlineStr">
        <is>
          <t/>
        </is>
      </c>
      <c r="Y38" s="171" t="inlineStr">
        <is>
          <t>News (New) </t>
        </is>
      </c>
      <c r="Z38" s="172" t="inlineStr">
        <is>
          <t>News (New) , Filing (New) </t>
        </is>
      </c>
      <c r="AA38" s="173" t="n">
        <v>6716.62</v>
      </c>
      <c r="AB38" s="174" t="n">
        <v>2409.31</v>
      </c>
      <c r="AC38" s="175" t="n">
        <v>658.56</v>
      </c>
      <c r="AD38" s="176" t="n">
        <v>16845.32</v>
      </c>
      <c r="AE38" s="177" t="n">
        <v>1133.55</v>
      </c>
      <c r="AF38" s="178" t="inlineStr">
        <is>
          <t>FY 2019</t>
        </is>
      </c>
      <c r="AG38" s="179" t="n">
        <v>854.08</v>
      </c>
      <c r="AH38" s="180" t="n">
        <v>19603.85</v>
      </c>
      <c r="AI38" s="181" t="n">
        <v>-409.25</v>
      </c>
      <c r="AJ38" s="182" t="inlineStr">
        <is>
          <t>82053-01P</t>
        </is>
      </c>
      <c r="AK38" s="183" t="inlineStr">
        <is>
          <t>Mary Dillon</t>
        </is>
      </c>
      <c r="AL38" s="184" t="inlineStr">
        <is>
          <t>Chief Executive Officer</t>
        </is>
      </c>
      <c r="AM38" s="185" t="inlineStr">
        <is>
          <t>mdillon@ulta.com</t>
        </is>
      </c>
      <c r="AN38" s="186" t="inlineStr">
        <is>
          <t>+1 (866) 983-8582</t>
        </is>
      </c>
      <c r="AO38" s="187" t="inlineStr">
        <is>
          <t>Bolingbrook, IL</t>
        </is>
      </c>
      <c r="AP38" s="188" t="inlineStr">
        <is>
          <t>1000 Remington Boulevard</t>
        </is>
      </c>
      <c r="AQ38" s="189" t="inlineStr">
        <is>
          <t>Suite 120</t>
        </is>
      </c>
      <c r="AR38" s="190" t="inlineStr">
        <is>
          <t>Bolingbrook</t>
        </is>
      </c>
      <c r="AS38" s="191" t="inlineStr">
        <is>
          <t>Illinois</t>
        </is>
      </c>
      <c r="AT38" s="192" t="inlineStr">
        <is>
          <t>60440</t>
        </is>
      </c>
      <c r="AU38" s="193" t="inlineStr">
        <is>
          <t>United States</t>
        </is>
      </c>
      <c r="AV38" s="194" t="inlineStr">
        <is>
          <t>+1 (866) 983-8582</t>
        </is>
      </c>
      <c r="AW38" s="195" t="inlineStr">
        <is>
          <t/>
        </is>
      </c>
      <c r="AX38" s="196" t="inlineStr">
        <is>
          <t>gethelp@ulta.com</t>
        </is>
      </c>
      <c r="AY38" s="197" t="inlineStr">
        <is>
          <t>Americas</t>
        </is>
      </c>
      <c r="AZ38" s="198" t="inlineStr">
        <is>
          <t>North America</t>
        </is>
      </c>
      <c r="BA38" s="199" t="inlineStr">
        <is>
          <t>The company raised an undisclosed amount of venture funding from Advisory Services Network, Cypress Capital Management and Dimensional Fund Advisors on October 11, 2016. Dragon Global, Ropes &amp; Gray and Southport Capital Management also participated in the round.</t>
        </is>
      </c>
      <c r="BB38" s="200" t="inlineStr">
        <is>
          <t>Advisory Services Network, Cypress Capital Management, Dimensional Fund Advisors, Dragon Global, Ropes &amp; Gray, Southport Capital Management</t>
        </is>
      </c>
      <c r="BC38" s="201" t="n">
        <v>6.0</v>
      </c>
      <c r="BD38" s="202" t="inlineStr">
        <is>
          <t/>
        </is>
      </c>
      <c r="BE38" s="203" t="inlineStr">
        <is>
          <t>Credit Suisse, Mousse Partners, Oak Investment Partners, Upfront Ventures</t>
        </is>
      </c>
      <c r="BF38" s="204" t="inlineStr">
        <is>
          <t/>
        </is>
      </c>
      <c r="BG38" s="205" t="inlineStr">
        <is>
          <t>Advisory Services Network(advservnet.com), Cypress Capital Management(www.cypress-capital.com), Dimensional Fund Advisors(www.dimensional.com), Dragon Global(www.dragonglobal.com), Ropes &amp; Gray(www.ropesgray.com), Southport Capital Management(www.southportcapital.com)</t>
        </is>
      </c>
      <c r="BH38" s="206" t="inlineStr">
        <is>
          <t>Credit Suisse(www.credit-suisse.com), Mousse Partners(www.mousse-partners.com), Oak Investment Partners(www.oakinv.com), Upfront Ventures(www.upfront.com)</t>
        </is>
      </c>
      <c r="BI38" s="207" t="inlineStr">
        <is>
          <t/>
        </is>
      </c>
      <c r="BJ38" s="208" t="inlineStr">
        <is>
          <t>Aspect Consumer Partners(Lead Manager or Arranger), Barnes &amp; Thornburg(Legal Advisor), Brown Rudnick(Legal Advisor), Centerstone Executive Search &amp; Consulting(Consulting), Herbert Mines Associates(Placement Agent), Kahn Swick &amp; Foti(Legal Advisor), Odeon Capital Group(Advisor: General), Telsey Advisory Group(Advisor: General), The Brownestone Group(Consulting)</t>
        </is>
      </c>
      <c r="BK38" s="209" t="inlineStr">
        <is>
          <t>Aspect Consumer Partners(Lead Manager or Arranger), Cowen and Company(Underwriter), EY(Accounting), J.P. Morgan(Underwriter), Latham &amp; Watkins(Legal Advisor), Piper Jaffray(Underwriter), Raymond James Financial(Underwriter), The Goldman Sachs Group(Underwriter), Thomas Weisel Partners Group(Underwriter), Wachovia Bank(Underwriter), Wells Fargo Advisors(Underwriter), William Blair &amp; Company(Underwriter)</t>
        </is>
      </c>
      <c r="BL38" s="210" t="inlineStr">
        <is>
          <t/>
        </is>
      </c>
      <c r="BM38" s="211" t="inlineStr">
        <is>
          <t/>
        </is>
      </c>
      <c r="BN38" s="212" t="inlineStr">
        <is>
          <t/>
        </is>
      </c>
      <c r="BO38" s="213" t="inlineStr">
        <is>
          <t/>
        </is>
      </c>
      <c r="BP38" s="214" t="inlineStr">
        <is>
          <t/>
        </is>
      </c>
      <c r="BQ38" s="215" t="inlineStr">
        <is>
          <t>Early Stage VC</t>
        </is>
      </c>
      <c r="BR38" s="216" t="inlineStr">
        <is>
          <t/>
        </is>
      </c>
      <c r="BS38" s="217" t="inlineStr">
        <is>
          <t/>
        </is>
      </c>
      <c r="BT38" s="218" t="inlineStr">
        <is>
          <t>Venture Capital</t>
        </is>
      </c>
      <c r="BU38" s="219" t="inlineStr">
        <is>
          <t/>
        </is>
      </c>
      <c r="BV38" s="220" t="inlineStr">
        <is>
          <t/>
        </is>
      </c>
      <c r="BW38" s="221" t="inlineStr">
        <is>
          <t/>
        </is>
      </c>
      <c r="BX38" s="222" t="inlineStr">
        <is>
          <t>Completed</t>
        </is>
      </c>
      <c r="BY38" s="223" t="n">
        <v>42654.0</v>
      </c>
      <c r="BZ38" s="224" t="inlineStr">
        <is>
          <t/>
        </is>
      </c>
      <c r="CA38" s="225" t="inlineStr">
        <is>
          <t/>
        </is>
      </c>
      <c r="CB38" s="226" t="inlineStr">
        <is>
          <t/>
        </is>
      </c>
      <c r="CC38" s="227" t="inlineStr">
        <is>
          <t/>
        </is>
      </c>
      <c r="CD38" s="228" t="inlineStr">
        <is>
          <t>PIPE</t>
        </is>
      </c>
      <c r="CE38" s="229" t="inlineStr">
        <is>
          <t/>
        </is>
      </c>
      <c r="CF38" s="230" t="inlineStr">
        <is>
          <t/>
        </is>
      </c>
      <c r="CG38" s="231" t="inlineStr">
        <is>
          <t>Venture Capital</t>
        </is>
      </c>
      <c r="CH38" s="232" t="inlineStr">
        <is>
          <t/>
        </is>
      </c>
      <c r="CI38" s="233" t="inlineStr">
        <is>
          <t/>
        </is>
      </c>
      <c r="CJ38" s="234" t="inlineStr">
        <is>
          <t/>
        </is>
      </c>
      <c r="CK38" s="235" t="inlineStr">
        <is>
          <t>Completed</t>
        </is>
      </c>
      <c r="CL38" s="236" t="inlineStr">
        <is>
          <t/>
        </is>
      </c>
      <c r="CM38" s="237" t="inlineStr">
        <is>
          <t/>
        </is>
      </c>
      <c r="CN38" s="238" t="n">
        <v>1.1</v>
      </c>
      <c r="CO38" s="239" t="n">
        <v>98.0</v>
      </c>
      <c r="CP38" s="240" t="n">
        <v>0.0</v>
      </c>
      <c r="CQ38" s="241" t="n">
        <v>0.37</v>
      </c>
      <c r="CR38" s="242" t="n">
        <v>1.95</v>
      </c>
      <c r="CS38" s="243" t="n">
        <v>99.0</v>
      </c>
      <c r="CT38" s="244" t="n">
        <v>0.05</v>
      </c>
      <c r="CU38" s="245" t="n">
        <v>64.0</v>
      </c>
      <c r="CV38" s="246" t="n">
        <v>3.46</v>
      </c>
      <c r="CW38" s="247" t="n">
        <v>94.0</v>
      </c>
      <c r="CX38" s="248" t="n">
        <v>0.43</v>
      </c>
      <c r="CY38" s="249" t="n">
        <v>93.0</v>
      </c>
      <c r="CZ38" s="250" t="n">
        <v>0.05</v>
      </c>
      <c r="DA38" s="251" t="n">
        <v>69.0</v>
      </c>
      <c r="DB38" s="252" t="n">
        <v>3772.62</v>
      </c>
      <c r="DC38" s="253" t="n">
        <v>100.0</v>
      </c>
      <c r="DD38" s="254" t="n">
        <v>139.74</v>
      </c>
      <c r="DE38" s="255" t="n">
        <v>3.85</v>
      </c>
      <c r="DF38" s="256" t="n">
        <v>2895.72</v>
      </c>
      <c r="DG38" s="257" t="n">
        <v>100.0</v>
      </c>
      <c r="DH38" s="258" t="n">
        <v>1768.24</v>
      </c>
      <c r="DI38" s="259" t="n">
        <v>100.0</v>
      </c>
      <c r="DJ38" s="260" t="n">
        <v>5013.08</v>
      </c>
      <c r="DK38" s="261" t="n">
        <v>100.0</v>
      </c>
      <c r="DL38" s="262" t="n">
        <v>778.35</v>
      </c>
      <c r="DM38" s="263" t="n">
        <v>100.0</v>
      </c>
      <c r="DN38" s="264" t="n">
        <v>1768.24</v>
      </c>
      <c r="DO38" s="265" t="n">
        <v>100.0</v>
      </c>
      <c r="DP38" s="266" t="n">
        <v>3576669.0</v>
      </c>
      <c r="DQ38" s="267" t="n">
        <v>-21108.0</v>
      </c>
      <c r="DR38" s="268" t="n">
        <v>-0.59</v>
      </c>
      <c r="DS38" s="269" t="n">
        <v>26356.0</v>
      </c>
      <c r="DT38" s="270" t="n">
        <v>206.0</v>
      </c>
      <c r="DU38" s="271" t="n">
        <v>0.79</v>
      </c>
      <c r="DV38" s="272" t="n">
        <v>634849.0</v>
      </c>
      <c r="DW38" s="273" t="n">
        <v>-332.0</v>
      </c>
      <c r="DX38" s="274" t="n">
        <v>-0.05</v>
      </c>
      <c r="DY38" s="275" t="inlineStr">
        <is>
          <t>PitchBook Research</t>
        </is>
      </c>
      <c r="DZ38" s="276" t="n">
        <v>43538.0</v>
      </c>
      <c r="EA38" s="277" t="n">
        <v>1312.58</v>
      </c>
      <c r="EB38" s="278" t="n">
        <v>40340.0</v>
      </c>
      <c r="EC38" s="279" t="inlineStr">
        <is>
          <t>Public Investment 2nd Offering</t>
        </is>
      </c>
      <c r="ED38" s="548">
        <f>HYPERLINK("https://my.pitchbook.com?c=10825-66", "View company online")</f>
      </c>
    </row>
    <row r="39">
      <c r="A39" s="13" t="inlineStr">
        <is>
          <t>10896-31</t>
        </is>
      </c>
      <c r="B39" s="14" t="inlineStr">
        <is>
          <t>Burlington Stores (NYS: BURL)</t>
        </is>
      </c>
      <c r="C39" s="15" t="inlineStr">
        <is>
          <t>Burlington Coat Factory</t>
        </is>
      </c>
      <c r="D39" s="16" t="inlineStr">
        <is>
          <t>Burlington</t>
        </is>
      </c>
      <c r="E39" s="17" t="inlineStr">
        <is>
          <t>10896-31</t>
        </is>
      </c>
      <c r="F39" s="18" t="inlineStr">
        <is>
          <t>The third- largest American off-price apparel and home fashion retail firm (with 629 stores as of the end of fiscal 2017), Burlington Stores offers an assortment of products from over 5,000 brands through an everyday low price approach that undercuts conventional retailers' regular prices by up to 65%. The company focuses on providing a treasure hunt experience, with a quickly changing array of merchandise in a relatively low-frills shopping environment. In fiscal 2017, 23% of sales came from women's ready-to-wear apparel, 22% from accessories and footwear, 20% from menswear, 16% from youth apparel and baby, 14% from home décor, and 5% from coats. All sales come from the United States.</t>
        </is>
      </c>
      <c r="G39" s="19" t="inlineStr">
        <is>
          <t>Consumer Products and Services (B2C)</t>
        </is>
      </c>
      <c r="H39" s="20" t="inlineStr">
        <is>
          <t>Retail</t>
        </is>
      </c>
      <c r="I39" s="21" t="inlineStr">
        <is>
          <t>Department Stores</t>
        </is>
      </c>
      <c r="J39" s="22" t="inlineStr">
        <is>
          <t>Accessories, Clothing, Department Stores*</t>
        </is>
      </c>
      <c r="K39" s="23" t="inlineStr">
        <is>
          <t/>
        </is>
      </c>
      <c r="L39" s="24" t="inlineStr">
        <is>
          <t>home furnishing, shopping complex, shopping depot, shopping mall</t>
        </is>
      </c>
      <c r="M39" s="25" t="inlineStr">
        <is>
          <t>Formerly PE-Backed</t>
        </is>
      </c>
      <c r="N39" s="26" t="n">
        <v>10.0</v>
      </c>
      <c r="O39" s="27" t="inlineStr">
        <is>
          <t>Profitable</t>
        </is>
      </c>
      <c r="P39" s="28" t="inlineStr">
        <is>
          <t>Publicly Held</t>
        </is>
      </c>
      <c r="Q39" s="29" t="inlineStr">
        <is>
          <t>Debt Financed, Private Equity, Publicly Listed</t>
        </is>
      </c>
      <c r="R39" s="30" t="inlineStr">
        <is>
          <t>www.burlingtoninvestors.com</t>
        </is>
      </c>
      <c r="S39" s="31" t="n">
        <v>44000.0</v>
      </c>
      <c r="T39" s="32" t="inlineStr">
        <is>
          <t>2006: 28000, 2007: 28000, 2009: 26704, 2013: 29556, 2014: 30095, 2015: 34000, 2016: 37500, 2017: 40000, 2018: 40000, 2019: 44000</t>
        </is>
      </c>
      <c r="U39" s="33" t="inlineStr">
        <is>
          <t>NYS</t>
        </is>
      </c>
      <c r="V39" s="34" t="inlineStr">
        <is>
          <t>BURL</t>
        </is>
      </c>
      <c r="W39" s="35" t="n">
        <v>1972.0</v>
      </c>
      <c r="X39" s="36" t="inlineStr">
        <is>
          <t/>
        </is>
      </c>
      <c r="Y39" s="37" t="inlineStr">
        <is>
          <t>News (New) </t>
        </is>
      </c>
      <c r="Z39" s="38" t="inlineStr">
        <is>
          <t>People (New) Fred Hand, Chief Customer Officer &amp; Principal, Promotion (New) Jennifer Vecchio, Executive Vice President, Principal &amp; Chief Merchandising Officer, Promotion (New) Marc Katz, Chief Financial Officer, Principal &amp; Executive Vice President, Departure (New) Todd Weyhrich, Chief Financial Officer &amp; Executive Vice President, News (New) , Filing (New) </t>
        </is>
      </c>
      <c r="AA39" s="39" t="n">
        <v>6668.48</v>
      </c>
      <c r="AB39" s="40" t="n">
        <v>2800.36</v>
      </c>
      <c r="AC39" s="41" t="n">
        <v>414.75</v>
      </c>
      <c r="AD39" s="42" t="n">
        <v>12581.15</v>
      </c>
      <c r="AE39" s="43" t="n">
        <v>781.46</v>
      </c>
      <c r="AF39" s="44" t="inlineStr">
        <is>
          <t>FY 2019</t>
        </is>
      </c>
      <c r="AG39" s="45" t="n">
        <v>563.57</v>
      </c>
      <c r="AH39" s="46" t="n">
        <v>9792.56</v>
      </c>
      <c r="AI39" s="47" t="n">
        <v>874.29</v>
      </c>
      <c r="AJ39" s="48" t="inlineStr">
        <is>
          <t>87596-20P</t>
        </is>
      </c>
      <c r="AK39" s="49" t="inlineStr">
        <is>
          <t>Marc Katz</t>
        </is>
      </c>
      <c r="AL39" s="50" t="inlineStr">
        <is>
          <t>Chief Financial Officer, Principal &amp; Executive Vice President</t>
        </is>
      </c>
      <c r="AM39" s="51" t="inlineStr">
        <is>
          <t>marc.katz@coat.com</t>
        </is>
      </c>
      <c r="AN39" s="52" t="inlineStr">
        <is>
          <t>+1 (855) 973-8445</t>
        </is>
      </c>
      <c r="AO39" s="53" t="inlineStr">
        <is>
          <t>Burlington, NJ</t>
        </is>
      </c>
      <c r="AP39" s="54" t="inlineStr">
        <is>
          <t>1830 Route 130 North</t>
        </is>
      </c>
      <c r="AQ39" s="55" t="inlineStr">
        <is>
          <t/>
        </is>
      </c>
      <c r="AR39" s="56" t="inlineStr">
        <is>
          <t>Burlington</t>
        </is>
      </c>
      <c r="AS39" s="57" t="inlineStr">
        <is>
          <t>New Jersey</t>
        </is>
      </c>
      <c r="AT39" s="58" t="inlineStr">
        <is>
          <t>08016</t>
        </is>
      </c>
      <c r="AU39" s="59" t="inlineStr">
        <is>
          <t>United States</t>
        </is>
      </c>
      <c r="AV39" s="60" t="inlineStr">
        <is>
          <t>+1 (855) 973-8445</t>
        </is>
      </c>
      <c r="AW39" s="61" t="inlineStr">
        <is>
          <t>+1 (609) 589-7839</t>
        </is>
      </c>
      <c r="AX39" s="62" t="inlineStr">
        <is>
          <t>info@burlingtoninvestors.com</t>
        </is>
      </c>
      <c r="AY39" s="63" t="inlineStr">
        <is>
          <t>Americas</t>
        </is>
      </c>
      <c r="AZ39" s="64" t="inlineStr">
        <is>
          <t>North America</t>
        </is>
      </c>
      <c r="BA39" s="65" t="inlineStr">
        <is>
          <t>Bain Capital sold a 14.1% stake in the company (NYSE: BURL) on April 2, 2015. The company will not get any proceeds from the offering.</t>
        </is>
      </c>
      <c r="BB39" s="66" t="inlineStr">
        <is>
          <t/>
        </is>
      </c>
      <c r="BC39" s="67" t="inlineStr">
        <is>
          <t/>
        </is>
      </c>
      <c r="BD39" s="68" t="inlineStr">
        <is>
          <t/>
        </is>
      </c>
      <c r="BE39" s="69" t="inlineStr">
        <is>
          <t>Bain Capital</t>
        </is>
      </c>
      <c r="BF39" s="70" t="inlineStr">
        <is>
          <t/>
        </is>
      </c>
      <c r="BG39" s="71" t="inlineStr">
        <is>
          <t/>
        </is>
      </c>
      <c r="BH39" s="72" t="inlineStr">
        <is>
          <t>Bain Capital(www.baincapital.com)</t>
        </is>
      </c>
      <c r="BI39" s="73" t="inlineStr">
        <is>
          <t/>
        </is>
      </c>
      <c r="BJ39" s="74" t="inlineStr">
        <is>
          <t>Advanced RPO(Consulting), Appraisal Economics(Advisor: General), Consensus Advisory Services(Advisor: General), Odeon Capital Group(Advisor: General)</t>
        </is>
      </c>
      <c r="BK39" s="75" t="inlineStr">
        <is>
          <t>Advanced RPO(Consulting), American Capital (ACAS)(Debt Financing), Apollo Investment(Debt Financing), Bank of America(Debt Financing), Bank of America Merrill Lynch(Underwriter), Bear Stearns(Debt Financing), BMO Capital Markets(Underwriter), Cowen and Company(Underwriter), Deloitte(Auditor), FS Investment(Debt Financing), Global Leveraged Capital(Advisor: General), Guggenheim Partners(Underwriter), Hughes Hubbard &amp; Reed(Legal Advisor), J.P. Morgan(Lead Manager or Arranger), Kirkland &amp; Ellis(Legal Advisor), Lehman Brothers(Lead Manager or Arranger), Morgan Stanley(Debt Financing), PennantPark(Debt Financing), Samuel A. Ramirez &amp; Company(Underwriter), SunTrust Robinson Humphrey(Underwriter), Telsey Advisory Group(Underwriter), The Goldman Sachs Group(Advisor: General), Wells Fargo(Lead Manager or Arranger)</t>
        </is>
      </c>
      <c r="BL39" s="76" t="n">
        <v>30468.0</v>
      </c>
      <c r="BM39" s="77" t="inlineStr">
        <is>
          <t/>
        </is>
      </c>
      <c r="BN39" s="78" t="inlineStr">
        <is>
          <t/>
        </is>
      </c>
      <c r="BO39" s="79" t="inlineStr">
        <is>
          <t/>
        </is>
      </c>
      <c r="BP39" s="80" t="inlineStr">
        <is>
          <t/>
        </is>
      </c>
      <c r="BQ39" s="81" t="inlineStr">
        <is>
          <t>IPO</t>
        </is>
      </c>
      <c r="BR39" s="82" t="inlineStr">
        <is>
          <t/>
        </is>
      </c>
      <c r="BS39" s="83" t="inlineStr">
        <is>
          <t/>
        </is>
      </c>
      <c r="BT39" s="84" t="inlineStr">
        <is>
          <t>Public Investment</t>
        </is>
      </c>
      <c r="BU39" s="85" t="inlineStr">
        <is>
          <t/>
        </is>
      </c>
      <c r="BV39" s="86" t="inlineStr">
        <is>
          <t/>
        </is>
      </c>
      <c r="BW39" s="87" t="inlineStr">
        <is>
          <t/>
        </is>
      </c>
      <c r="BX39" s="88" t="inlineStr">
        <is>
          <t>Completed</t>
        </is>
      </c>
      <c r="BY39" s="89" t="n">
        <v>42096.0</v>
      </c>
      <c r="BZ39" s="90" t="inlineStr">
        <is>
          <t/>
        </is>
      </c>
      <c r="CA39" s="91" t="inlineStr">
        <is>
          <t/>
        </is>
      </c>
      <c r="CB39" s="92" t="inlineStr">
        <is>
          <t/>
        </is>
      </c>
      <c r="CC39" s="93" t="inlineStr">
        <is>
          <t/>
        </is>
      </c>
      <c r="CD39" s="94" t="inlineStr">
        <is>
          <t>Secondary Transaction - Open Market</t>
        </is>
      </c>
      <c r="CE39" s="95" t="inlineStr">
        <is>
          <t/>
        </is>
      </c>
      <c r="CF39" s="96" t="inlineStr">
        <is>
          <t/>
        </is>
      </c>
      <c r="CG39" s="97" t="inlineStr">
        <is>
          <t>Private Equity</t>
        </is>
      </c>
      <c r="CH39" s="98" t="inlineStr">
        <is>
          <t/>
        </is>
      </c>
      <c r="CI39" s="99" t="inlineStr">
        <is>
          <t/>
        </is>
      </c>
      <c r="CJ39" s="100" t="inlineStr">
        <is>
          <t/>
        </is>
      </c>
      <c r="CK39" s="101" t="inlineStr">
        <is>
          <t>Completed</t>
        </is>
      </c>
      <c r="CL39" s="102" t="n">
        <v>41837.0</v>
      </c>
      <c r="CM39" s="103" t="n">
        <v>1200.0</v>
      </c>
      <c r="CN39" s="104" t="n">
        <v>-0.48</v>
      </c>
      <c r="CO39" s="105" t="n">
        <v>7.0</v>
      </c>
      <c r="CP39" s="106" t="n">
        <v>0.0</v>
      </c>
      <c r="CQ39" s="107" t="n">
        <v>0.77</v>
      </c>
      <c r="CR39" s="108" t="n">
        <v>-1.05</v>
      </c>
      <c r="CS39" s="109" t="n">
        <v>6.0</v>
      </c>
      <c r="CT39" s="110" t="n">
        <v>0.08</v>
      </c>
      <c r="CU39" s="111" t="n">
        <v>69.0</v>
      </c>
      <c r="CV39" s="112" t="n">
        <v>-1.8</v>
      </c>
      <c r="CW39" s="113" t="n">
        <v>22.0</v>
      </c>
      <c r="CX39" s="114" t="n">
        <v>-0.29</v>
      </c>
      <c r="CY39" s="115" t="n">
        <v>8.0</v>
      </c>
      <c r="CZ39" s="116" t="n">
        <v>0.08</v>
      </c>
      <c r="DA39" s="117" t="n">
        <v>73.0</v>
      </c>
      <c r="DB39" s="118" t="n">
        <v>51.56</v>
      </c>
      <c r="DC39" s="119" t="n">
        <v>98.0</v>
      </c>
      <c r="DD39" s="120" t="n">
        <v>8.37</v>
      </c>
      <c r="DE39" s="121" t="n">
        <v>19.36</v>
      </c>
      <c r="DF39" s="122" t="n">
        <v>66.88</v>
      </c>
      <c r="DG39" s="123" t="n">
        <v>99.0</v>
      </c>
      <c r="DH39" s="124" t="n">
        <v>36.25</v>
      </c>
      <c r="DI39" s="125" t="n">
        <v>94.0</v>
      </c>
      <c r="DJ39" s="126" t="n">
        <v>0.99</v>
      </c>
      <c r="DK39" s="127" t="n">
        <v>50.0</v>
      </c>
      <c r="DL39" s="128" t="n">
        <v>132.76</v>
      </c>
      <c r="DM39" s="129" t="n">
        <v>100.0</v>
      </c>
      <c r="DN39" s="130" t="n">
        <v>36.25</v>
      </c>
      <c r="DO39" s="131" t="n">
        <v>95.0</v>
      </c>
      <c r="DP39" s="132" t="n">
        <v>716.0</v>
      </c>
      <c r="DQ39" s="133" t="n">
        <v>-73.0</v>
      </c>
      <c r="DR39" s="134" t="n">
        <v>-9.25</v>
      </c>
      <c r="DS39" s="135" t="n">
        <v>4503.0</v>
      </c>
      <c r="DT39" s="136" t="n">
        <v>16.0</v>
      </c>
      <c r="DU39" s="137" t="n">
        <v>0.36</v>
      </c>
      <c r="DV39" s="138" t="n">
        <v>13013.0</v>
      </c>
      <c r="DW39" s="139" t="n">
        <v>-2.0</v>
      </c>
      <c r="DX39" s="140" t="n">
        <v>-0.02</v>
      </c>
      <c r="DY39" s="141" t="inlineStr">
        <is>
          <t>PitchBook Research</t>
        </is>
      </c>
      <c r="DZ39" s="142" t="n">
        <v>43546.0</v>
      </c>
      <c r="EA39" s="143" t="n">
        <v>1217.75</v>
      </c>
      <c r="EB39" s="144" t="n">
        <v>41549.0</v>
      </c>
      <c r="EC39" s="145" t="inlineStr">
        <is>
          <t>IPO</t>
        </is>
      </c>
      <c r="ED39" s="547">
        <f>HYPERLINK("https://my.pitchbook.com?c=10896-31", "View company online")</f>
      </c>
    </row>
    <row r="40">
      <c r="A40" s="147" t="inlineStr">
        <is>
          <t>165804-13</t>
        </is>
      </c>
      <c r="B40" s="148" t="inlineStr">
        <is>
          <t>Lao Feng Xiang Company (SHG: 600612)</t>
        </is>
      </c>
      <c r="C40" s="149" t="inlineStr">
        <is>
          <t/>
        </is>
      </c>
      <c r="D40" s="150" t="inlineStr">
        <is>
          <t/>
        </is>
      </c>
      <c r="E40" s="151" t="inlineStr">
        <is>
          <t>165804-13</t>
        </is>
      </c>
      <c r="F40" s="152" t="inlineStr">
        <is>
          <t>Lao Feng Xiang Co Ltd is engaged in the manufacture and sale of gold jewelry. It is also engaged in the manufacture and distribution of gold arts and crafts, and other related products.</t>
        </is>
      </c>
      <c r="G40" s="153" t="inlineStr">
        <is>
          <t>Consumer Products and Services (B2C)</t>
        </is>
      </c>
      <c r="H40" s="154" t="inlineStr">
        <is>
          <t>Apparel and Accessories</t>
        </is>
      </c>
      <c r="I40" s="155" t="inlineStr">
        <is>
          <t>Accessories</t>
        </is>
      </c>
      <c r="J40" s="156" t="inlineStr">
        <is>
          <t>Accessories*, Luxury Goods</t>
        </is>
      </c>
      <c r="K40" s="157" t="inlineStr">
        <is>
          <t>Manufacturing</t>
        </is>
      </c>
      <c r="L40" s="158" t="inlineStr">
        <is>
          <t>diamond jewelry, gold jewelry, jewelry product, silver jewelry</t>
        </is>
      </c>
      <c r="M40" s="159" t="inlineStr">
        <is>
          <t>Corporation</t>
        </is>
      </c>
      <c r="N40" s="160" t="inlineStr">
        <is>
          <t/>
        </is>
      </c>
      <c r="O40" s="161" t="inlineStr">
        <is>
          <t>Profitable</t>
        </is>
      </c>
      <c r="P40" s="162" t="inlineStr">
        <is>
          <t>Publicly Held</t>
        </is>
      </c>
      <c r="Q40" s="163" t="inlineStr">
        <is>
          <t>Publicly Listed</t>
        </is>
      </c>
      <c r="R40" s="164" t="inlineStr">
        <is>
          <t>www.laofengxiang.com</t>
        </is>
      </c>
      <c r="S40" s="165" t="n">
        <v>2517.0</v>
      </c>
      <c r="T40" s="166" t="inlineStr">
        <is>
          <t>2000: 898, 2001: 2552, 2002: 1796, 2003: 1604, 2004: 1710, 2005: 1658, 2006: 1997, 2007: 1896, 2008: 1873, 2009: 1839, 2010: 2131, 2011: 2510, 2012: 2470, 2013: 2184, 2014: 2361, 2015: 2483, 2016: 2549, 2017: 2517</t>
        </is>
      </c>
      <c r="U40" s="167" t="inlineStr">
        <is>
          <t>SHG</t>
        </is>
      </c>
      <c r="V40" s="168" t="inlineStr">
        <is>
          <t>600612</t>
        </is>
      </c>
      <c r="W40" s="169" t="n">
        <v>1992.0</v>
      </c>
      <c r="X40" s="170" t="inlineStr">
        <is>
          <t/>
        </is>
      </c>
      <c r="Y40" s="171" t="inlineStr">
        <is>
          <t/>
        </is>
      </c>
      <c r="Z40" s="172" t="inlineStr">
        <is>
          <t/>
        </is>
      </c>
      <c r="AA40" s="173" t="n">
        <v>6628.36</v>
      </c>
      <c r="AB40" s="174" t="n">
        <v>553.53</v>
      </c>
      <c r="AC40" s="175" t="n">
        <v>187.64</v>
      </c>
      <c r="AD40" s="176" t="n">
        <v>2380.25</v>
      </c>
      <c r="AE40" s="177" t="n">
        <v>363.43</v>
      </c>
      <c r="AF40" s="178" t="inlineStr">
        <is>
          <t>TTM 3Q2018</t>
        </is>
      </c>
      <c r="AG40" s="179" t="n">
        <v>356.27</v>
      </c>
      <c r="AH40" s="180" t="n">
        <v>2740.3</v>
      </c>
      <c r="AI40" s="181" t="n">
        <v>35.89</v>
      </c>
      <c r="AJ40" s="182" t="inlineStr">
        <is>
          <t/>
        </is>
      </c>
      <c r="AK40" s="183" t="inlineStr">
        <is>
          <t/>
        </is>
      </c>
      <c r="AL40" s="184" t="inlineStr">
        <is>
          <t/>
        </is>
      </c>
      <c r="AM40" s="185" t="inlineStr">
        <is>
          <t/>
        </is>
      </c>
      <c r="AN40" s="186" t="inlineStr">
        <is>
          <t/>
        </is>
      </c>
      <c r="AO40" s="187" t="inlineStr">
        <is>
          <t>Shanghai, China</t>
        </is>
      </c>
      <c r="AP40" s="188" t="inlineStr">
        <is>
          <t>270 Caoxi Road</t>
        </is>
      </c>
      <c r="AQ40" s="189" t="inlineStr">
        <is>
          <t>Sixth Floor of Building 1</t>
        </is>
      </c>
      <c r="AR40" s="190" t="inlineStr">
        <is>
          <t>Shanghai</t>
        </is>
      </c>
      <c r="AS40" s="191" t="inlineStr">
        <is>
          <t/>
        </is>
      </c>
      <c r="AT40" s="192" t="inlineStr">
        <is>
          <t>200235</t>
        </is>
      </c>
      <c r="AU40" s="193" t="inlineStr">
        <is>
          <t>China</t>
        </is>
      </c>
      <c r="AV40" s="194" t="inlineStr">
        <is>
          <t>+86 (0)21 5448 0605</t>
        </is>
      </c>
      <c r="AW40" s="195" t="inlineStr">
        <is>
          <t>+86 (0)21 5448 1529</t>
        </is>
      </c>
      <c r="AX40" s="196" t="inlineStr">
        <is>
          <t/>
        </is>
      </c>
      <c r="AY40" s="197" t="inlineStr">
        <is>
          <t>Asia</t>
        </is>
      </c>
      <c r="AZ40" s="198" t="inlineStr">
        <is>
          <t>East Asia</t>
        </is>
      </c>
      <c r="BA40" s="199" t="inlineStr">
        <is>
          <t/>
        </is>
      </c>
      <c r="BB40" s="200" t="inlineStr">
        <is>
          <t/>
        </is>
      </c>
      <c r="BC40" s="201" t="inlineStr">
        <is>
          <t/>
        </is>
      </c>
      <c r="BD40" s="202" t="inlineStr">
        <is>
          <t/>
        </is>
      </c>
      <c r="BE40" s="203" t="inlineStr">
        <is>
          <t/>
        </is>
      </c>
      <c r="BF40" s="204" t="inlineStr">
        <is>
          <t/>
        </is>
      </c>
      <c r="BG40" s="205" t="inlineStr">
        <is>
          <t/>
        </is>
      </c>
      <c r="BH40" s="206" t="inlineStr">
        <is>
          <t/>
        </is>
      </c>
      <c r="BI40" s="207" t="inlineStr">
        <is>
          <t/>
        </is>
      </c>
      <c r="BJ40" s="208" t="inlineStr">
        <is>
          <t/>
        </is>
      </c>
      <c r="BK40" s="209" t="inlineStr">
        <is>
          <t/>
        </is>
      </c>
      <c r="BL40" s="210" t="inlineStr">
        <is>
          <t/>
        </is>
      </c>
      <c r="BM40" s="211" t="inlineStr">
        <is>
          <t/>
        </is>
      </c>
      <c r="BN40" s="212" t="inlineStr">
        <is>
          <t/>
        </is>
      </c>
      <c r="BO40" s="213" t="inlineStr">
        <is>
          <t/>
        </is>
      </c>
      <c r="BP40" s="214" t="inlineStr">
        <is>
          <t/>
        </is>
      </c>
      <c r="BQ40" s="215" t="inlineStr">
        <is>
          <t/>
        </is>
      </c>
      <c r="BR40" s="216" t="inlineStr">
        <is>
          <t/>
        </is>
      </c>
      <c r="BS40" s="217" t="inlineStr">
        <is>
          <t/>
        </is>
      </c>
      <c r="BT40" s="218" t="inlineStr">
        <is>
          <t/>
        </is>
      </c>
      <c r="BU40" s="219" t="inlineStr">
        <is>
          <t/>
        </is>
      </c>
      <c r="BV40" s="220" t="inlineStr">
        <is>
          <t/>
        </is>
      </c>
      <c r="BW40" s="221" t="inlineStr">
        <is>
          <t/>
        </is>
      </c>
      <c r="BX40" s="222" t="inlineStr">
        <is>
          <t/>
        </is>
      </c>
      <c r="BY40" s="223" t="inlineStr">
        <is>
          <t/>
        </is>
      </c>
      <c r="BZ40" s="224" t="inlineStr">
        <is>
          <t/>
        </is>
      </c>
      <c r="CA40" s="225" t="inlineStr">
        <is>
          <t/>
        </is>
      </c>
      <c r="CB40" s="226" t="inlineStr">
        <is>
          <t/>
        </is>
      </c>
      <c r="CC40" s="227" t="inlineStr">
        <is>
          <t/>
        </is>
      </c>
      <c r="CD40" s="228" t="inlineStr">
        <is>
          <t/>
        </is>
      </c>
      <c r="CE40" s="229" t="inlineStr">
        <is>
          <t/>
        </is>
      </c>
      <c r="CF40" s="230" t="inlineStr">
        <is>
          <t/>
        </is>
      </c>
      <c r="CG40" s="231" t="inlineStr">
        <is>
          <t/>
        </is>
      </c>
      <c r="CH40" s="232" t="inlineStr">
        <is>
          <t/>
        </is>
      </c>
      <c r="CI40" s="233" t="inlineStr">
        <is>
          <t/>
        </is>
      </c>
      <c r="CJ40" s="234" t="inlineStr">
        <is>
          <t/>
        </is>
      </c>
      <c r="CK40" s="235" t="inlineStr">
        <is>
          <t/>
        </is>
      </c>
      <c r="CL40" s="236" t="inlineStr">
        <is>
          <t/>
        </is>
      </c>
      <c r="CM40" s="237" t="inlineStr">
        <is>
          <t/>
        </is>
      </c>
      <c r="CN40" s="238" t="n">
        <v>2.47</v>
      </c>
      <c r="CO40" s="239" t="n">
        <v>100.0</v>
      </c>
      <c r="CP40" s="240" t="n">
        <v>0.24</v>
      </c>
      <c r="CQ40" s="241" t="n">
        <v>10.99</v>
      </c>
      <c r="CR40" s="242" t="n">
        <v>2.47</v>
      </c>
      <c r="CS40" s="243" t="n">
        <v>99.0</v>
      </c>
      <c r="CT40" s="244" t="inlineStr">
        <is>
          <t/>
        </is>
      </c>
      <c r="CU40" s="245" t="inlineStr">
        <is>
          <t/>
        </is>
      </c>
      <c r="CV40" s="246" t="inlineStr">
        <is>
          <t/>
        </is>
      </c>
      <c r="CW40" s="247" t="inlineStr">
        <is>
          <t/>
        </is>
      </c>
      <c r="CX40" s="248" t="n">
        <v>2.47</v>
      </c>
      <c r="CY40" s="249" t="n">
        <v>100.0</v>
      </c>
      <c r="CZ40" s="250" t="inlineStr">
        <is>
          <t/>
        </is>
      </c>
      <c r="DA40" s="251" t="inlineStr">
        <is>
          <t/>
        </is>
      </c>
      <c r="DB40" s="252" t="n">
        <v>64.59</v>
      </c>
      <c r="DC40" s="253" t="n">
        <v>99.0</v>
      </c>
      <c r="DD40" s="254" t="n">
        <v>16.57</v>
      </c>
      <c r="DE40" s="255" t="n">
        <v>34.5</v>
      </c>
      <c r="DF40" s="256" t="n">
        <v>64.59</v>
      </c>
      <c r="DG40" s="257" t="n">
        <v>99.0</v>
      </c>
      <c r="DH40" s="258" t="inlineStr">
        <is>
          <t/>
        </is>
      </c>
      <c r="DI40" s="259" t="inlineStr">
        <is>
          <t/>
        </is>
      </c>
      <c r="DJ40" s="260" t="inlineStr">
        <is>
          <t/>
        </is>
      </c>
      <c r="DK40" s="261" t="inlineStr">
        <is>
          <t/>
        </is>
      </c>
      <c r="DL40" s="262" t="n">
        <v>64.59</v>
      </c>
      <c r="DM40" s="263" t="n">
        <v>98.0</v>
      </c>
      <c r="DN40" s="264" t="inlineStr">
        <is>
          <t/>
        </is>
      </c>
      <c r="DO40" s="265" t="inlineStr">
        <is>
          <t/>
        </is>
      </c>
      <c r="DP40" s="266" t="inlineStr">
        <is>
          <t/>
        </is>
      </c>
      <c r="DQ40" s="267" t="inlineStr">
        <is>
          <t/>
        </is>
      </c>
      <c r="DR40" s="268" t="inlineStr">
        <is>
          <t/>
        </is>
      </c>
      <c r="DS40" s="269" t="n">
        <v>2181.0</v>
      </c>
      <c r="DT40" s="270" t="n">
        <v>43.0</v>
      </c>
      <c r="DU40" s="271" t="n">
        <v>2.01</v>
      </c>
      <c r="DV40" s="272" t="inlineStr">
        <is>
          <t/>
        </is>
      </c>
      <c r="DW40" s="273" t="inlineStr">
        <is>
          <t/>
        </is>
      </c>
      <c r="DX40" s="274" t="inlineStr">
        <is>
          <t/>
        </is>
      </c>
      <c r="DY40" s="275" t="inlineStr">
        <is>
          <t>PitchBook Research</t>
        </is>
      </c>
      <c r="DZ40" s="276" t="n">
        <v>43491.0</v>
      </c>
      <c r="EA40" s="277" t="inlineStr">
        <is>
          <t/>
        </is>
      </c>
      <c r="EB40" s="278" t="inlineStr">
        <is>
          <t/>
        </is>
      </c>
      <c r="EC40" s="279" t="inlineStr">
        <is>
          <t/>
        </is>
      </c>
      <c r="ED40" s="548">
        <f>HYPERLINK("https://my.pitchbook.com?c=165804-13", "View company online")</f>
      </c>
    </row>
    <row r="41">
      <c r="A41" s="13" t="inlineStr">
        <is>
          <t>167448-88</t>
        </is>
      </c>
      <c r="B41" s="14" t="inlineStr">
        <is>
          <t>Deichmann</t>
        </is>
      </c>
      <c r="C41" s="15" t="inlineStr">
        <is>
          <t/>
        </is>
      </c>
      <c r="D41" s="16" t="inlineStr">
        <is>
          <t/>
        </is>
      </c>
      <c r="E41" s="17" t="inlineStr">
        <is>
          <t>167448-88</t>
        </is>
      </c>
      <c r="F41" s="18" t="inlineStr">
        <is>
          <t>Owner and operator of a Dutch shoe store intended to manufacture and trade German and European shoes. The company's products include shoes, handbags, rucksacks, scarves and stockings, made up of different color, sizes and fabric, enabling customers to get fashionable, quality products at a very reasonable price.</t>
        </is>
      </c>
      <c r="G41" s="19" t="inlineStr">
        <is>
          <t>Business Products and Services (B2B)</t>
        </is>
      </c>
      <c r="H41" s="20" t="inlineStr">
        <is>
          <t>Commercial Products</t>
        </is>
      </c>
      <c r="I41" s="21" t="inlineStr">
        <is>
          <t>Distributors/Wholesale</t>
        </is>
      </c>
      <c r="J41" s="22" t="inlineStr">
        <is>
          <t>Accessories, Clothing, Distributors/Wholesale*, Distributors/Wholesale (B2C), Footwear</t>
        </is>
      </c>
      <c r="K41" s="23" t="inlineStr">
        <is>
          <t>Industrials</t>
        </is>
      </c>
      <c r="L41" s="24" t="inlineStr">
        <is>
          <t>dutch retail stores, dutch shoes stores, handbags retail, shoe retail store</t>
        </is>
      </c>
      <c r="M41" s="25" t="inlineStr">
        <is>
          <t>Corporation</t>
        </is>
      </c>
      <c r="N41" s="26" t="inlineStr">
        <is>
          <t/>
        </is>
      </c>
      <c r="O41" s="27" t="inlineStr">
        <is>
          <t>Generating Revenue</t>
        </is>
      </c>
      <c r="P41" s="28" t="inlineStr">
        <is>
          <t>Privately Held (no backing)</t>
        </is>
      </c>
      <c r="Q41" s="29" t="inlineStr">
        <is>
          <t>Other Private Companies</t>
        </is>
      </c>
      <c r="R41" s="30" t="inlineStr">
        <is>
          <t>www.deichmann.com</t>
        </is>
      </c>
      <c r="S41" s="31" t="n">
        <v>40698.0</v>
      </c>
      <c r="T41" s="32" t="inlineStr">
        <is>
          <t>1945: 12, 2016: 1010, 2017: 39564, 2019: 40698</t>
        </is>
      </c>
      <c r="U41" s="33" t="inlineStr">
        <is>
          <t/>
        </is>
      </c>
      <c r="V41" s="34" t="inlineStr">
        <is>
          <t/>
        </is>
      </c>
      <c r="W41" s="35" t="n">
        <v>1913.0</v>
      </c>
      <c r="X41" s="36" t="inlineStr">
        <is>
          <t/>
        </is>
      </c>
      <c r="Y41" s="37" t="inlineStr">
        <is>
          <t/>
        </is>
      </c>
      <c r="Z41" s="38" t="inlineStr">
        <is>
          <t/>
        </is>
      </c>
      <c r="AA41" s="39" t="n">
        <v>6582.14</v>
      </c>
      <c r="AB41" s="40" t="inlineStr">
        <is>
          <t/>
        </is>
      </c>
      <c r="AC41" s="41" t="inlineStr">
        <is>
          <t/>
        </is>
      </c>
      <c r="AD41" s="42" t="inlineStr">
        <is>
          <t/>
        </is>
      </c>
      <c r="AE41" s="43" t="inlineStr">
        <is>
          <t/>
        </is>
      </c>
      <c r="AF41" s="44" t="inlineStr">
        <is>
          <t>FY 2018</t>
        </is>
      </c>
      <c r="AG41" s="45" t="inlineStr">
        <is>
          <t/>
        </is>
      </c>
      <c r="AH41" s="46" t="inlineStr">
        <is>
          <t/>
        </is>
      </c>
      <c r="AI41" s="47" t="inlineStr">
        <is>
          <t/>
        </is>
      </c>
      <c r="AJ41" s="48" t="inlineStr">
        <is>
          <t>148251-70P</t>
        </is>
      </c>
      <c r="AK41" s="49" t="inlineStr">
        <is>
          <t>Heinrich Deichmann</t>
        </is>
      </c>
      <c r="AL41" s="50" t="inlineStr">
        <is>
          <t>Chief Executive Officer &amp; Chairman</t>
        </is>
      </c>
      <c r="AM41" s="51" t="inlineStr">
        <is>
          <t>heinrich_deichmann@deichmann.com</t>
        </is>
      </c>
      <c r="AN41" s="52" t="inlineStr">
        <is>
          <t>+49 (0)80 0502 0500</t>
        </is>
      </c>
      <c r="AO41" s="53" t="inlineStr">
        <is>
          <t>Essen, Germany</t>
        </is>
      </c>
      <c r="AP41" s="54" t="inlineStr">
        <is>
          <t>Deichmannweg 9</t>
        </is>
      </c>
      <c r="AQ41" s="55" t="inlineStr">
        <is>
          <t/>
        </is>
      </c>
      <c r="AR41" s="56" t="inlineStr">
        <is>
          <t>Essen</t>
        </is>
      </c>
      <c r="AS41" s="57" t="inlineStr">
        <is>
          <t/>
        </is>
      </c>
      <c r="AT41" s="58" t="inlineStr">
        <is>
          <t>45359</t>
        </is>
      </c>
      <c r="AU41" s="59" t="inlineStr">
        <is>
          <t>Germany</t>
        </is>
      </c>
      <c r="AV41" s="60" t="inlineStr">
        <is>
          <t>+49 (0)80 0502 0500</t>
        </is>
      </c>
      <c r="AW41" s="61" t="inlineStr">
        <is>
          <t>+49 (0)49 2016 1413 96</t>
        </is>
      </c>
      <c r="AX41" s="62" t="inlineStr">
        <is>
          <t>service-de@deichmann.com</t>
        </is>
      </c>
      <c r="AY41" s="63" t="inlineStr">
        <is>
          <t>Europe</t>
        </is>
      </c>
      <c r="AZ41" s="64" t="inlineStr">
        <is>
          <t>Western Europe</t>
        </is>
      </c>
      <c r="BA41" s="65" t="inlineStr">
        <is>
          <t/>
        </is>
      </c>
      <c r="BB41" s="66" t="inlineStr">
        <is>
          <t/>
        </is>
      </c>
      <c r="BC41" s="67" t="inlineStr">
        <is>
          <t/>
        </is>
      </c>
      <c r="BD41" s="68" t="inlineStr">
        <is>
          <t/>
        </is>
      </c>
      <c r="BE41" s="69" t="inlineStr">
        <is>
          <t/>
        </is>
      </c>
      <c r="BF41" s="70" t="inlineStr">
        <is>
          <t/>
        </is>
      </c>
      <c r="BG41" s="71" t="inlineStr">
        <is>
          <t/>
        </is>
      </c>
      <c r="BH41" s="72" t="inlineStr">
        <is>
          <t/>
        </is>
      </c>
      <c r="BI41" s="73" t="inlineStr">
        <is>
          <t/>
        </is>
      </c>
      <c r="BJ41" s="74" t="inlineStr">
        <is>
          <t/>
        </is>
      </c>
      <c r="BK41" s="75" t="inlineStr">
        <is>
          <t/>
        </is>
      </c>
      <c r="BL41" s="76" t="inlineStr">
        <is>
          <t/>
        </is>
      </c>
      <c r="BM41" s="77" t="inlineStr">
        <is>
          <t/>
        </is>
      </c>
      <c r="BN41" s="78" t="inlineStr">
        <is>
          <t/>
        </is>
      </c>
      <c r="BO41" s="79" t="inlineStr">
        <is>
          <t/>
        </is>
      </c>
      <c r="BP41" s="80" t="inlineStr">
        <is>
          <t/>
        </is>
      </c>
      <c r="BQ41" s="81" t="inlineStr">
        <is>
          <t/>
        </is>
      </c>
      <c r="BR41" s="82" t="inlineStr">
        <is>
          <t/>
        </is>
      </c>
      <c r="BS41" s="83" t="inlineStr">
        <is>
          <t/>
        </is>
      </c>
      <c r="BT41" s="84" t="inlineStr">
        <is>
          <t/>
        </is>
      </c>
      <c r="BU41" s="85" t="inlineStr">
        <is>
          <t/>
        </is>
      </c>
      <c r="BV41" s="86" t="inlineStr">
        <is>
          <t/>
        </is>
      </c>
      <c r="BW41" s="87" t="inlineStr">
        <is>
          <t/>
        </is>
      </c>
      <c r="BX41" s="88" t="inlineStr">
        <is>
          <t/>
        </is>
      </c>
      <c r="BY41" s="89" t="inlineStr">
        <is>
          <t/>
        </is>
      </c>
      <c r="BZ41" s="90" t="inlineStr">
        <is>
          <t/>
        </is>
      </c>
      <c r="CA41" s="91" t="inlineStr">
        <is>
          <t/>
        </is>
      </c>
      <c r="CB41" s="92" t="inlineStr">
        <is>
          <t/>
        </is>
      </c>
      <c r="CC41" s="93" t="inlineStr">
        <is>
          <t/>
        </is>
      </c>
      <c r="CD41" s="94" t="inlineStr">
        <is>
          <t/>
        </is>
      </c>
      <c r="CE41" s="95" t="inlineStr">
        <is>
          <t/>
        </is>
      </c>
      <c r="CF41" s="96" t="inlineStr">
        <is>
          <t/>
        </is>
      </c>
      <c r="CG41" s="97" t="inlineStr">
        <is>
          <t/>
        </is>
      </c>
      <c r="CH41" s="98" t="inlineStr">
        <is>
          <t/>
        </is>
      </c>
      <c r="CI41" s="99" t="inlineStr">
        <is>
          <t/>
        </is>
      </c>
      <c r="CJ41" s="100" t="inlineStr">
        <is>
          <t/>
        </is>
      </c>
      <c r="CK41" s="101" t="inlineStr">
        <is>
          <t/>
        </is>
      </c>
      <c r="CL41" s="102" t="inlineStr">
        <is>
          <t/>
        </is>
      </c>
      <c r="CM41" s="103" t="inlineStr">
        <is>
          <t/>
        </is>
      </c>
      <c r="CN41" s="104" t="n">
        <v>-0.97</v>
      </c>
      <c r="CO41" s="105" t="n">
        <v>5.0</v>
      </c>
      <c r="CP41" s="106" t="n">
        <v>0.0</v>
      </c>
      <c r="CQ41" s="107" t="n">
        <v>0.17</v>
      </c>
      <c r="CR41" s="108" t="n">
        <v>-1.94</v>
      </c>
      <c r="CS41" s="109" t="n">
        <v>4.0</v>
      </c>
      <c r="CT41" s="110" t="n">
        <v>0.0</v>
      </c>
      <c r="CU41" s="111" t="n">
        <v>27.0</v>
      </c>
      <c r="CV41" s="112" t="n">
        <v>-3.93</v>
      </c>
      <c r="CW41" s="113" t="n">
        <v>12.0</v>
      </c>
      <c r="CX41" s="114" t="n">
        <v>0.06</v>
      </c>
      <c r="CY41" s="115" t="n">
        <v>85.0</v>
      </c>
      <c r="CZ41" s="116" t="n">
        <v>0.0</v>
      </c>
      <c r="DA41" s="117" t="n">
        <v>28.0</v>
      </c>
      <c r="DB41" s="118" t="n">
        <v>69.99</v>
      </c>
      <c r="DC41" s="119" t="n">
        <v>99.0</v>
      </c>
      <c r="DD41" s="120" t="n">
        <v>17.07</v>
      </c>
      <c r="DE41" s="121" t="n">
        <v>32.25</v>
      </c>
      <c r="DF41" s="122" t="n">
        <v>139.92</v>
      </c>
      <c r="DG41" s="123" t="n">
        <v>100.0</v>
      </c>
      <c r="DH41" s="124" t="n">
        <v>0.06</v>
      </c>
      <c r="DI41" s="125" t="n">
        <v>10.0</v>
      </c>
      <c r="DJ41" s="126" t="n">
        <v>3.55</v>
      </c>
      <c r="DK41" s="127" t="n">
        <v>74.0</v>
      </c>
      <c r="DL41" s="128" t="n">
        <v>276.29</v>
      </c>
      <c r="DM41" s="129" t="n">
        <v>100.0</v>
      </c>
      <c r="DN41" s="130" t="n">
        <v>0.06</v>
      </c>
      <c r="DO41" s="131" t="n">
        <v>11.0</v>
      </c>
      <c r="DP41" s="132" t="n">
        <v>2549.0</v>
      </c>
      <c r="DQ41" s="133" t="n">
        <v>-190.0</v>
      </c>
      <c r="DR41" s="134" t="n">
        <v>-6.94</v>
      </c>
      <c r="DS41" s="135" t="n">
        <v>9380.0</v>
      </c>
      <c r="DT41" s="136" t="n">
        <v>25.0</v>
      </c>
      <c r="DU41" s="137" t="n">
        <v>0.27</v>
      </c>
      <c r="DV41" s="138" t="n">
        <v>20.0</v>
      </c>
      <c r="DW41" s="139" t="n">
        <v>0.0</v>
      </c>
      <c r="DX41" s="140" t="n">
        <v>0.0</v>
      </c>
      <c r="DY41" s="141" t="inlineStr">
        <is>
          <t>PitchBook Research</t>
        </is>
      </c>
      <c r="DZ41" s="142" t="n">
        <v>43542.0</v>
      </c>
      <c r="EA41" s="143" t="inlineStr">
        <is>
          <t/>
        </is>
      </c>
      <c r="EB41" s="144" t="inlineStr">
        <is>
          <t/>
        </is>
      </c>
      <c r="EC41" s="145" t="inlineStr">
        <is>
          <t/>
        </is>
      </c>
      <c r="ED41" s="547">
        <f>HYPERLINK("https://my.pitchbook.com?c=167448-88", "View company online")</f>
      </c>
    </row>
    <row r="42">
      <c r="A42" s="147" t="inlineStr">
        <is>
          <t>52617-97</t>
        </is>
      </c>
      <c r="B42" s="148" t="inlineStr">
        <is>
          <t>Ascena Retail Group (NAS: ASNA)</t>
        </is>
      </c>
      <c r="C42" s="149" t="inlineStr">
        <is>
          <t>Dress Barn</t>
        </is>
      </c>
      <c r="D42" s="150" t="inlineStr">
        <is>
          <t>Ascena</t>
        </is>
      </c>
      <c r="E42" s="151" t="inlineStr">
        <is>
          <t>52617-97</t>
        </is>
      </c>
      <c r="F42" s="152" t="inlineStr">
        <is>
          <t>Ascena Retail Group Inc is a national specialty retailer of apparel for women and tween girls. The company operates, through its owned subsidiaries, e-commerce operations and stores in the United States, Canada, and Puerto Rico. It has four operating segments: Premium Fashion, Value Fashion, Plus Fashion and Kids Fashion. Ascena generates most of its revenues from Premium Fashion segment.</t>
        </is>
      </c>
      <c r="G42" s="153" t="inlineStr">
        <is>
          <t>Consumer Products and Services (B2C)</t>
        </is>
      </c>
      <c r="H42" s="154" t="inlineStr">
        <is>
          <t>Apparel and Accessories</t>
        </is>
      </c>
      <c r="I42" s="155" t="inlineStr">
        <is>
          <t>Accessories</t>
        </is>
      </c>
      <c r="J42" s="156" t="inlineStr">
        <is>
          <t>Accessories*, Clothing, Specialty Retail</t>
        </is>
      </c>
      <c r="K42" s="157" t="inlineStr">
        <is>
          <t/>
        </is>
      </c>
      <c r="L42" s="158" t="inlineStr">
        <is>
          <t>fashion product, women apparel, women clothing</t>
        </is>
      </c>
      <c r="M42" s="159" t="inlineStr">
        <is>
          <t>Corporation</t>
        </is>
      </c>
      <c r="N42" s="160" t="n">
        <v>1.49</v>
      </c>
      <c r="O42" s="161" t="inlineStr">
        <is>
          <t>Generating Revenue/Not Profitable</t>
        </is>
      </c>
      <c r="P42" s="162" t="inlineStr">
        <is>
          <t>Publicly Held</t>
        </is>
      </c>
      <c r="Q42" s="163" t="inlineStr">
        <is>
          <t>Debt Financed, Private Equity, Publicly Listed</t>
        </is>
      </c>
      <c r="R42" s="164" t="inlineStr">
        <is>
          <t>www.ascenaretail.com</t>
        </is>
      </c>
      <c r="S42" s="165" t="n">
        <v>63000.0</v>
      </c>
      <c r="T42" s="166" t="inlineStr">
        <is>
          <t>1990: 2800, 1991: 2800, 1992: 5000, 1993: 2600, 1994: 2900, 1995: 7000, 1996: 3000, 1997: 3100, 1998: 7000, 1999: 7000, 2000: 7500, 2001: 7800, 2002: 8900, 2003: 9100, 2004: 8500, 2005: 12000, 2006: 12800, 2007: 13200, 2008: 13700, 2009: 14100, 2010: 30000, 2011: 31000, 2012: 46000, 2013: 48000, 2014: 48000, 2015: 48000, 2016: 66000, 2017: 64000, 2018: 63000</t>
        </is>
      </c>
      <c r="U42" s="167" t="inlineStr">
        <is>
          <t>NAS</t>
        </is>
      </c>
      <c r="V42" s="168" t="inlineStr">
        <is>
          <t>ASNA</t>
        </is>
      </c>
      <c r="W42" s="169" t="n">
        <v>1962.0</v>
      </c>
      <c r="X42" s="170" t="inlineStr">
        <is>
          <t/>
        </is>
      </c>
      <c r="Y42" s="171" t="inlineStr">
        <is>
          <t>News (New) </t>
        </is>
      </c>
      <c r="Z42" s="172" t="inlineStr">
        <is>
          <t>News (New) , Competitor (New) American Eagle Outfitters, Competitor (New) Bebe Studio, Competitor (New) L Brands</t>
        </is>
      </c>
      <c r="AA42" s="173" t="n">
        <v>6554.2</v>
      </c>
      <c r="AB42" s="174" t="n">
        <v>3726.2</v>
      </c>
      <c r="AC42" s="175" t="n">
        <v>-72.6</v>
      </c>
      <c r="AD42" s="176" t="n">
        <v>1888.72</v>
      </c>
      <c r="AE42" s="177" t="n">
        <v>353.1</v>
      </c>
      <c r="AF42" s="178" t="inlineStr">
        <is>
          <t>TTM 2Q2019</t>
        </is>
      </c>
      <c r="AG42" s="179" t="n">
        <v>12.1</v>
      </c>
      <c r="AH42" s="180" t="n">
        <v>211.4</v>
      </c>
      <c r="AI42" s="181" t="n">
        <v>1414.8</v>
      </c>
      <c r="AJ42" s="182" t="inlineStr">
        <is>
          <t>79251-13P</t>
        </is>
      </c>
      <c r="AK42" s="183" t="inlineStr">
        <is>
          <t>David Jaffe</t>
        </is>
      </c>
      <c r="AL42" s="184" t="inlineStr">
        <is>
          <t>President, Chief Executive Officer and Chairman of the Board</t>
        </is>
      </c>
      <c r="AM42" s="185" t="inlineStr">
        <is>
          <t>david.jaffe@ascenaretail.com</t>
        </is>
      </c>
      <c r="AN42" s="186" t="inlineStr">
        <is>
          <t>+1 (551) 777-6700</t>
        </is>
      </c>
      <c r="AO42" s="187" t="inlineStr">
        <is>
          <t>Mahwah, NJ</t>
        </is>
      </c>
      <c r="AP42" s="188" t="inlineStr">
        <is>
          <t>933 MacArthur Boulevard</t>
        </is>
      </c>
      <c r="AQ42" s="189" t="inlineStr">
        <is>
          <t/>
        </is>
      </c>
      <c r="AR42" s="190" t="inlineStr">
        <is>
          <t>Mahwah</t>
        </is>
      </c>
      <c r="AS42" s="191" t="inlineStr">
        <is>
          <t>New Jersey</t>
        </is>
      </c>
      <c r="AT42" s="192" t="inlineStr">
        <is>
          <t>07430</t>
        </is>
      </c>
      <c r="AU42" s="193" t="inlineStr">
        <is>
          <t>United States</t>
        </is>
      </c>
      <c r="AV42" s="194" t="inlineStr">
        <is>
          <t>+1 (551) 777-6700</t>
        </is>
      </c>
      <c r="AW42" s="195" t="inlineStr">
        <is>
          <t/>
        </is>
      </c>
      <c r="AX42" s="196" t="inlineStr">
        <is>
          <t/>
        </is>
      </c>
      <c r="AY42" s="197" t="inlineStr">
        <is>
          <t>Americas</t>
        </is>
      </c>
      <c r="AZ42" s="198" t="inlineStr">
        <is>
          <t>North America</t>
        </is>
      </c>
      <c r="BA42" s="199" t="inlineStr">
        <is>
          <t>Golden Gate Capital acquired a 9% stake in the company (NASDAQ: ASNA) for $224.3 million on October 8, 2015. A total of 17,468,570 shares were sold. The company will not receive any proceeds from this transaction.</t>
        </is>
      </c>
      <c r="BB42" s="200" t="inlineStr">
        <is>
          <t>Golden Gate Capital</t>
        </is>
      </c>
      <c r="BC42" s="201" t="n">
        <v>1.0</v>
      </c>
      <c r="BD42" s="202" t="inlineStr">
        <is>
          <t/>
        </is>
      </c>
      <c r="BE42" s="203" t="inlineStr">
        <is>
          <t/>
        </is>
      </c>
      <c r="BF42" s="204" t="inlineStr">
        <is>
          <t/>
        </is>
      </c>
      <c r="BG42" s="205" t="inlineStr">
        <is>
          <t>Golden Gate Capital(www.goldengatecap.com)</t>
        </is>
      </c>
      <c r="BH42" s="206" t="inlineStr">
        <is>
          <t/>
        </is>
      </c>
      <c r="BI42" s="207" t="inlineStr">
        <is>
          <t/>
        </is>
      </c>
      <c r="BJ42" s="208" t="inlineStr">
        <is>
          <t>CL King &amp; Associates(Advisor: General), Telsey Advisory Group(Advisor: General), Vaco(Consulting), Winston &amp; Strawn(Legal Advisor)</t>
        </is>
      </c>
      <c r="BK42" s="209" t="inlineStr">
        <is>
          <t>Invesco(Debt Financing)</t>
        </is>
      </c>
      <c r="BL42" s="210" t="n">
        <v>30440.0</v>
      </c>
      <c r="BM42" s="211" t="inlineStr">
        <is>
          <t/>
        </is>
      </c>
      <c r="BN42" s="212" t="inlineStr">
        <is>
          <t/>
        </is>
      </c>
      <c r="BO42" s="213" t="inlineStr">
        <is>
          <t/>
        </is>
      </c>
      <c r="BP42" s="214" t="inlineStr">
        <is>
          <t/>
        </is>
      </c>
      <c r="BQ42" s="215" t="inlineStr">
        <is>
          <t>IPO</t>
        </is>
      </c>
      <c r="BR42" s="216" t="inlineStr">
        <is>
          <t/>
        </is>
      </c>
      <c r="BS42" s="217" t="inlineStr">
        <is>
          <t/>
        </is>
      </c>
      <c r="BT42" s="218" t="inlineStr">
        <is>
          <t>Public Investment</t>
        </is>
      </c>
      <c r="BU42" s="219" t="inlineStr">
        <is>
          <t/>
        </is>
      </c>
      <c r="BV42" s="220" t="inlineStr">
        <is>
          <t/>
        </is>
      </c>
      <c r="BW42" s="221" t="inlineStr">
        <is>
          <t/>
        </is>
      </c>
      <c r="BX42" s="222" t="inlineStr">
        <is>
          <t>Completed</t>
        </is>
      </c>
      <c r="BY42" s="223" t="n">
        <v>42285.0</v>
      </c>
      <c r="BZ42" s="224" t="n">
        <v>224.3</v>
      </c>
      <c r="CA42" s="225" t="inlineStr">
        <is>
          <t/>
        </is>
      </c>
      <c r="CB42" s="226" t="n">
        <v>2492.22</v>
      </c>
      <c r="CC42" s="227" t="inlineStr">
        <is>
          <t>Actual</t>
        </is>
      </c>
      <c r="CD42" s="228" t="inlineStr">
        <is>
          <t>Secondary Transaction - Open Market</t>
        </is>
      </c>
      <c r="CE42" s="229" t="inlineStr">
        <is>
          <t/>
        </is>
      </c>
      <c r="CF42" s="230" t="inlineStr">
        <is>
          <t/>
        </is>
      </c>
      <c r="CG42" s="231" t="inlineStr">
        <is>
          <t/>
        </is>
      </c>
      <c r="CH42" s="232" t="inlineStr">
        <is>
          <t/>
        </is>
      </c>
      <c r="CI42" s="233" t="inlineStr">
        <is>
          <t/>
        </is>
      </c>
      <c r="CJ42" s="234" t="inlineStr">
        <is>
          <t/>
        </is>
      </c>
      <c r="CK42" s="235" t="inlineStr">
        <is>
          <t>Completed</t>
        </is>
      </c>
      <c r="CL42" s="236" t="n">
        <v>41152.0</v>
      </c>
      <c r="CM42" s="237" t="n">
        <v>1.49</v>
      </c>
      <c r="CN42" s="238" t="n">
        <v>-0.83</v>
      </c>
      <c r="CO42" s="239" t="n">
        <v>5.0</v>
      </c>
      <c r="CP42" s="240" t="n">
        <v>0.0</v>
      </c>
      <c r="CQ42" s="241" t="n">
        <v>0.47</v>
      </c>
      <c r="CR42" s="242" t="n">
        <v>-1.66</v>
      </c>
      <c r="CS42" s="243" t="n">
        <v>4.0</v>
      </c>
      <c r="CT42" s="244" t="n">
        <v>0.0</v>
      </c>
      <c r="CU42" s="245" t="n">
        <v>27.0</v>
      </c>
      <c r="CV42" s="246" t="n">
        <v>-4.18</v>
      </c>
      <c r="CW42" s="247" t="n">
        <v>11.0</v>
      </c>
      <c r="CX42" s="248" t="n">
        <v>0.86</v>
      </c>
      <c r="CY42" s="249" t="n">
        <v>97.0</v>
      </c>
      <c r="CZ42" s="250" t="inlineStr">
        <is>
          <t/>
        </is>
      </c>
      <c r="DA42" s="251" t="inlineStr">
        <is>
          <t/>
        </is>
      </c>
      <c r="DB42" s="252" t="n">
        <v>9.75</v>
      </c>
      <c r="DC42" s="253" t="n">
        <v>90.0</v>
      </c>
      <c r="DD42" s="254" t="n">
        <v>1.06</v>
      </c>
      <c r="DE42" s="255" t="n">
        <v>12.25</v>
      </c>
      <c r="DF42" s="256" t="n">
        <v>19.5</v>
      </c>
      <c r="DG42" s="257" t="n">
        <v>94.0</v>
      </c>
      <c r="DH42" s="258" t="n">
        <v>0.01</v>
      </c>
      <c r="DI42" s="259" t="n">
        <v>1.0</v>
      </c>
      <c r="DJ42" s="260" t="n">
        <v>21.93</v>
      </c>
      <c r="DK42" s="261" t="n">
        <v>92.0</v>
      </c>
      <c r="DL42" s="262" t="n">
        <v>17.06</v>
      </c>
      <c r="DM42" s="263" t="n">
        <v>92.0</v>
      </c>
      <c r="DN42" s="264" t="inlineStr">
        <is>
          <t/>
        </is>
      </c>
      <c r="DO42" s="265" t="inlineStr">
        <is>
          <t/>
        </is>
      </c>
      <c r="DP42" s="266" t="n">
        <v>15706.0</v>
      </c>
      <c r="DQ42" s="267" t="n">
        <v>-600.0</v>
      </c>
      <c r="DR42" s="268" t="n">
        <v>-3.68</v>
      </c>
      <c r="DS42" s="269" t="n">
        <v>578.0</v>
      </c>
      <c r="DT42" s="270" t="n">
        <v>5.0</v>
      </c>
      <c r="DU42" s="271" t="n">
        <v>0.87</v>
      </c>
      <c r="DV42" s="272" t="inlineStr">
        <is>
          <t/>
        </is>
      </c>
      <c r="DW42" s="273" t="inlineStr">
        <is>
          <t/>
        </is>
      </c>
      <c r="DX42" s="274" t="inlineStr">
        <is>
          <t/>
        </is>
      </c>
      <c r="DY42" s="275" t="inlineStr">
        <is>
          <t>PitchBook Research</t>
        </is>
      </c>
      <c r="DZ42" s="276" t="n">
        <v>43549.0</v>
      </c>
      <c r="EA42" s="277" t="n">
        <v>2492.22</v>
      </c>
      <c r="EB42" s="278" t="n">
        <v>42285.0</v>
      </c>
      <c r="EC42" s="279" t="inlineStr">
        <is>
          <t>Secondary Transaction - Open Market</t>
        </is>
      </c>
      <c r="ED42" s="548">
        <f>HYPERLINK("https://my.pitchbook.com?c=52617-97", "View company online")</f>
      </c>
    </row>
    <row r="43">
      <c r="A43" s="13" t="inlineStr">
        <is>
          <t>10801-09</t>
        </is>
      </c>
      <c r="B43" s="14" t="inlineStr">
        <is>
          <t>Dillard's (NYS: DDS)</t>
        </is>
      </c>
      <c r="C43" s="15" t="inlineStr">
        <is>
          <t/>
        </is>
      </c>
      <c r="D43" s="16" t="inlineStr">
        <is>
          <t/>
        </is>
      </c>
      <c r="E43" s="17" t="inlineStr">
        <is>
          <t>10801-09</t>
        </is>
      </c>
      <c r="F43" s="18" t="inlineStr">
        <is>
          <t>Dillard's Inc is an American fashion apparel, cosmetics and home furnishings retailer. Dillard's stores offer a large variety of merchandise and feature products from both national and exclusive brand sources. The company also operates a general contracting construction company, CDI Contractors. CDI Contractors' business includes constructing and remodeling stores for Dillards. The merchandise selections include exclusive brand merchandise such as Antonio Melani, Gianni Bini, Daniel Cremieux, Roundtree &amp; Yorke, and private-label merchandise, among others. The company operates in two business segment that are Retail Operations and Construction. The Retail Operations segment generate maximum revenue for the company.</t>
        </is>
      </c>
      <c r="G43" s="19" t="inlineStr">
        <is>
          <t>Consumer Products and Services (B2C)</t>
        </is>
      </c>
      <c r="H43" s="20" t="inlineStr">
        <is>
          <t>Retail</t>
        </is>
      </c>
      <c r="I43" s="21" t="inlineStr">
        <is>
          <t>Department Stores</t>
        </is>
      </c>
      <c r="J43" s="22" t="inlineStr">
        <is>
          <t>Accessories, Clothing, Department Stores*</t>
        </is>
      </c>
      <c r="K43" s="23" t="inlineStr">
        <is>
          <t>E-Commerce, TMT</t>
        </is>
      </c>
      <c r="L43" s="24" t="inlineStr">
        <is>
          <t>consumer good, cosmetic goods, home furnishing</t>
        </is>
      </c>
      <c r="M43" s="25" t="inlineStr">
        <is>
          <t>Corporation</t>
        </is>
      </c>
      <c r="N43" s="26" t="inlineStr">
        <is>
          <t/>
        </is>
      </c>
      <c r="O43" s="27" t="inlineStr">
        <is>
          <t>Profitable</t>
        </is>
      </c>
      <c r="P43" s="28" t="inlineStr">
        <is>
          <t>Publicly Held</t>
        </is>
      </c>
      <c r="Q43" s="29" t="inlineStr">
        <is>
          <t>Debt Financed, Private Equity, Publicly Listed</t>
        </is>
      </c>
      <c r="R43" s="30" t="inlineStr">
        <is>
          <t>www.dillards.com</t>
        </is>
      </c>
      <c r="S43" s="31" t="n">
        <v>40000.0</v>
      </c>
      <c r="T43" s="32" t="inlineStr">
        <is>
          <t>1989: 26304, 1990: 23114, 1991: 31786, 1992: 32132, 1993: 33883, 1994: 33883, 1995: 37832, 1996: 40312, 1997: 43470, 1998: 33883, 1999: 54921, 2000: 54921, 2001: 54921, 2002: 57257, 2003: 55208, 2004: 53598, 2005: 53035, 2006: 52056, 2007: 51385, 2008: 49938, 2009: 49900, 2010: 41300, 2011: 38900, 2012: 38900, 2013: 38000, 2014: 40000, 2015: 40000, 2016: 40000, 2017: 40000, 2018: 40000</t>
        </is>
      </c>
      <c r="U43" s="33" t="inlineStr">
        <is>
          <t>NYS</t>
        </is>
      </c>
      <c r="V43" s="34" t="inlineStr">
        <is>
          <t>DDS</t>
        </is>
      </c>
      <c r="W43" s="35" t="n">
        <v>1938.0</v>
      </c>
      <c r="X43" s="36" t="inlineStr">
        <is>
          <t/>
        </is>
      </c>
      <c r="Y43" s="37" t="inlineStr">
        <is>
          <t/>
        </is>
      </c>
      <c r="Z43" s="38" t="inlineStr">
        <is>
          <t>News (New) </t>
        </is>
      </c>
      <c r="AA43" s="39" t="n">
        <v>6503.3</v>
      </c>
      <c r="AB43" s="40" t="n">
        <v>2211.8</v>
      </c>
      <c r="AC43" s="41" t="n">
        <v>170.3</v>
      </c>
      <c r="AD43" s="42" t="n">
        <v>2454.48</v>
      </c>
      <c r="AE43" s="43" t="n">
        <v>486.3</v>
      </c>
      <c r="AF43" s="44" t="inlineStr">
        <is>
          <t>FY 2019</t>
        </is>
      </c>
      <c r="AG43" s="45" t="n">
        <v>260.5</v>
      </c>
      <c r="AH43" s="46" t="n">
        <v>1906.66</v>
      </c>
      <c r="AI43" s="47" t="inlineStr">
        <is>
          <t/>
        </is>
      </c>
      <c r="AJ43" s="48" t="inlineStr">
        <is>
          <t>122567-41P</t>
        </is>
      </c>
      <c r="AK43" s="49" t="inlineStr">
        <is>
          <t>Chris Johnson</t>
        </is>
      </c>
      <c r="AL43" s="50" t="inlineStr">
        <is>
          <t>Co-Principal Financial Officer &amp; Senior Vice President</t>
        </is>
      </c>
      <c r="AM43" s="51" t="inlineStr">
        <is>
          <t>chris.johnson@dillards.com</t>
        </is>
      </c>
      <c r="AN43" s="52" t="inlineStr">
        <is>
          <t>+1 (817) 831-5482</t>
        </is>
      </c>
      <c r="AO43" s="53" t="inlineStr">
        <is>
          <t>Little Rock, AR</t>
        </is>
      </c>
      <c r="AP43" s="54" t="inlineStr">
        <is>
          <t>1600 Cantrell Road</t>
        </is>
      </c>
      <c r="AQ43" s="55" t="inlineStr">
        <is>
          <t/>
        </is>
      </c>
      <c r="AR43" s="56" t="inlineStr">
        <is>
          <t>Little Rock</t>
        </is>
      </c>
      <c r="AS43" s="57" t="inlineStr">
        <is>
          <t>Arkansas</t>
        </is>
      </c>
      <c r="AT43" s="58" t="inlineStr">
        <is>
          <t>72201</t>
        </is>
      </c>
      <c r="AU43" s="59" t="inlineStr">
        <is>
          <t>United States</t>
        </is>
      </c>
      <c r="AV43" s="60" t="inlineStr">
        <is>
          <t>+1 (817) 831-5482</t>
        </is>
      </c>
      <c r="AW43" s="61" t="inlineStr">
        <is>
          <t>+1 (302) 655-5049</t>
        </is>
      </c>
      <c r="AX43" s="62" t="inlineStr">
        <is>
          <t>questions@dillards.com</t>
        </is>
      </c>
      <c r="AY43" s="63" t="inlineStr">
        <is>
          <t>Americas</t>
        </is>
      </c>
      <c r="AZ43" s="64" t="inlineStr">
        <is>
          <t>North America</t>
        </is>
      </c>
      <c r="BA43" s="65" t="inlineStr">
        <is>
          <t>Snow Park Capital Partners acquired a 2% stake in the company (NYSE: DDS) for an undisclosed amount on July 31, 2017, through a private placement.</t>
        </is>
      </c>
      <c r="BB43" s="66" t="inlineStr">
        <is>
          <t>Barington Capital Group, Marcato Capital Management, Snow Park Capital Partners</t>
        </is>
      </c>
      <c r="BC43" s="67" t="n">
        <v>3.0</v>
      </c>
      <c r="BD43" s="68" t="inlineStr">
        <is>
          <t/>
        </is>
      </c>
      <c r="BE43" s="69" t="inlineStr">
        <is>
          <t/>
        </is>
      </c>
      <c r="BF43" s="70" t="inlineStr">
        <is>
          <t/>
        </is>
      </c>
      <c r="BG43" s="71" t="inlineStr">
        <is>
          <t>Barington Capital Group(www.barington.com), Marcato Capital Management(www.marcatocapitalmanagement.com), Snow Park Capital Partners(www.snowparkcap.com)</t>
        </is>
      </c>
      <c r="BH43" s="72" t="inlineStr">
        <is>
          <t/>
        </is>
      </c>
      <c r="BI43" s="73" t="inlineStr">
        <is>
          <t/>
        </is>
      </c>
      <c r="BJ43" s="74" t="inlineStr">
        <is>
          <t>Bell Nunnally &amp; Martin(Legal Advisor), Hill Ward Henderson(Legal Advisor), Kean Miller(Legal Advisor), Liquid Asset Partners(Valuation/Appraiser), Telsey Advisory Group(Advisor: General)</t>
        </is>
      </c>
      <c r="BK43" s="75" t="inlineStr">
        <is>
          <t>Citizens Bank(Debt Financing), J.P. Morgan(Debt Financing), J.P. Morgan Securities(Debt Financing), Regions Financial(Debt Financing), Wells Fargo Capital Finance(Debt Financing), Wells Fargo Securities(Debt Financing)</t>
        </is>
      </c>
      <c r="BL43" s="76" t="n">
        <v>32689.0</v>
      </c>
      <c r="BM43" s="77" t="inlineStr">
        <is>
          <t/>
        </is>
      </c>
      <c r="BN43" s="78" t="inlineStr">
        <is>
          <t/>
        </is>
      </c>
      <c r="BO43" s="79" t="inlineStr">
        <is>
          <t/>
        </is>
      </c>
      <c r="BP43" s="80" t="inlineStr">
        <is>
          <t/>
        </is>
      </c>
      <c r="BQ43" s="81" t="inlineStr">
        <is>
          <t>IPO</t>
        </is>
      </c>
      <c r="BR43" s="82" t="inlineStr">
        <is>
          <t/>
        </is>
      </c>
      <c r="BS43" s="83" t="inlineStr">
        <is>
          <t/>
        </is>
      </c>
      <c r="BT43" s="84" t="inlineStr">
        <is>
          <t>Public Investment</t>
        </is>
      </c>
      <c r="BU43" s="85" t="inlineStr">
        <is>
          <t/>
        </is>
      </c>
      <c r="BV43" s="86" t="inlineStr">
        <is>
          <t/>
        </is>
      </c>
      <c r="BW43" s="87" t="inlineStr">
        <is>
          <t/>
        </is>
      </c>
      <c r="BX43" s="88" t="inlineStr">
        <is>
          <t>Completed</t>
        </is>
      </c>
      <c r="BY43" s="89" t="n">
        <v>42947.0</v>
      </c>
      <c r="BZ43" s="90" t="inlineStr">
        <is>
          <t/>
        </is>
      </c>
      <c r="CA43" s="91" t="inlineStr">
        <is>
          <t/>
        </is>
      </c>
      <c r="CB43" s="92" t="inlineStr">
        <is>
          <t/>
        </is>
      </c>
      <c r="CC43" s="93" t="inlineStr">
        <is>
          <t/>
        </is>
      </c>
      <c r="CD43" s="94" t="inlineStr">
        <is>
          <t>PIPE</t>
        </is>
      </c>
      <c r="CE43" s="95" t="inlineStr">
        <is>
          <t/>
        </is>
      </c>
      <c r="CF43" s="96" t="inlineStr">
        <is>
          <t/>
        </is>
      </c>
      <c r="CG43" s="97" t="inlineStr">
        <is>
          <t>Hedge Fund</t>
        </is>
      </c>
      <c r="CH43" s="98" t="inlineStr">
        <is>
          <t/>
        </is>
      </c>
      <c r="CI43" s="99" t="inlineStr">
        <is>
          <t/>
        </is>
      </c>
      <c r="CJ43" s="100" t="inlineStr">
        <is>
          <t/>
        </is>
      </c>
      <c r="CK43" s="101" t="inlineStr">
        <is>
          <t>Completed</t>
        </is>
      </c>
      <c r="CL43" s="102" t="n">
        <v>42138.0</v>
      </c>
      <c r="CM43" s="103" t="n">
        <v>1000.0</v>
      </c>
      <c r="CN43" s="104" t="n">
        <v>1.06</v>
      </c>
      <c r="CO43" s="105" t="n">
        <v>98.0</v>
      </c>
      <c r="CP43" s="106" t="n">
        <v>0.01</v>
      </c>
      <c r="CQ43" s="107" t="n">
        <v>1.08</v>
      </c>
      <c r="CR43" s="108" t="n">
        <v>2.05</v>
      </c>
      <c r="CS43" s="109" t="n">
        <v>99.0</v>
      </c>
      <c r="CT43" s="110" t="n">
        <v>0.06</v>
      </c>
      <c r="CU43" s="111" t="n">
        <v>66.0</v>
      </c>
      <c r="CV43" s="112" t="n">
        <v>3.8</v>
      </c>
      <c r="CW43" s="113" t="n">
        <v>95.0</v>
      </c>
      <c r="CX43" s="114" t="n">
        <v>0.31</v>
      </c>
      <c r="CY43" s="115" t="n">
        <v>91.0</v>
      </c>
      <c r="CZ43" s="116" t="n">
        <v>0.06</v>
      </c>
      <c r="DA43" s="117" t="n">
        <v>70.0</v>
      </c>
      <c r="DB43" s="118" t="n">
        <v>697.37</v>
      </c>
      <c r="DC43" s="119" t="n">
        <v>100.0</v>
      </c>
      <c r="DD43" s="120" t="n">
        <v>-129.18</v>
      </c>
      <c r="DE43" s="121" t="n">
        <v>-15.63</v>
      </c>
      <c r="DF43" s="122" t="n">
        <v>1313.41</v>
      </c>
      <c r="DG43" s="123" t="n">
        <v>100.0</v>
      </c>
      <c r="DH43" s="124" t="n">
        <v>81.33</v>
      </c>
      <c r="DI43" s="125" t="n">
        <v>97.0</v>
      </c>
      <c r="DJ43" s="126" t="n">
        <v>2254.85</v>
      </c>
      <c r="DK43" s="127" t="n">
        <v>100.0</v>
      </c>
      <c r="DL43" s="128" t="n">
        <v>371.97</v>
      </c>
      <c r="DM43" s="129" t="n">
        <v>100.0</v>
      </c>
      <c r="DN43" s="130" t="n">
        <v>81.33</v>
      </c>
      <c r="DO43" s="131" t="n">
        <v>98.0</v>
      </c>
      <c r="DP43" s="132" t="n">
        <v>1606503.0</v>
      </c>
      <c r="DQ43" s="133" t="n">
        <v>10835.0</v>
      </c>
      <c r="DR43" s="134" t="n">
        <v>0.68</v>
      </c>
      <c r="DS43" s="135" t="n">
        <v>12598.0</v>
      </c>
      <c r="DT43" s="136" t="n">
        <v>103.0</v>
      </c>
      <c r="DU43" s="137" t="n">
        <v>0.82</v>
      </c>
      <c r="DV43" s="138" t="n">
        <v>29211.0</v>
      </c>
      <c r="DW43" s="139" t="n">
        <v>-24.0</v>
      </c>
      <c r="DX43" s="140" t="n">
        <v>-0.08</v>
      </c>
      <c r="DY43" s="141" t="inlineStr">
        <is>
          <t>PitchBook Research</t>
        </is>
      </c>
      <c r="DZ43" s="142" t="n">
        <v>43493.0</v>
      </c>
      <c r="EA43" s="143" t="inlineStr">
        <is>
          <t/>
        </is>
      </c>
      <c r="EB43" s="144" t="inlineStr">
        <is>
          <t/>
        </is>
      </c>
      <c r="EC43" s="145" t="inlineStr">
        <is>
          <t/>
        </is>
      </c>
      <c r="ED43" s="547">
        <f>HYPERLINK("https://my.pitchbook.com?c=10801-09", "View company online")</f>
      </c>
    </row>
    <row r="44">
      <c r="A44" s="147" t="inlineStr">
        <is>
          <t>41347-00</t>
        </is>
      </c>
      <c r="B44" s="148" t="inlineStr">
        <is>
          <t>Ralph Lauren Corporation (NYS: RL)</t>
        </is>
      </c>
      <c r="C44" s="149" t="inlineStr">
        <is>
          <t/>
        </is>
      </c>
      <c r="D44" s="150" t="inlineStr">
        <is>
          <t/>
        </is>
      </c>
      <c r="E44" s="151" t="inlineStr">
        <is>
          <t>41347-00</t>
        </is>
      </c>
      <c r="F44" s="152" t="inlineStr">
        <is>
          <t>Ralph Lauren markets, designs, sources, and distributes a variety of apparel and accessories through department stores, specialty retailers, and its own chain of retail stores and outlets. The core brand names include Polo, Ralph Lauren, and Lauren. Other subbrands include Women's Polo, Ralph Lauren Purple Label, Blue Label, RLX, Polo Sport, and Chaps. The company also operates its own portfolio of retail stores under the Ralph Lauren and Club Monaco brands.</t>
        </is>
      </c>
      <c r="G44" s="153" t="inlineStr">
        <is>
          <t>Consumer Products and Services (B2C)</t>
        </is>
      </c>
      <c r="H44" s="154" t="inlineStr">
        <is>
          <t>Apparel and Accessories</t>
        </is>
      </c>
      <c r="I44" s="155" t="inlineStr">
        <is>
          <t>Clothing</t>
        </is>
      </c>
      <c r="J44" s="156" t="inlineStr">
        <is>
          <t>Clothing*</t>
        </is>
      </c>
      <c r="K44" s="157" t="inlineStr">
        <is>
          <t>Beauty</t>
        </is>
      </c>
      <c r="L44" s="158" t="inlineStr">
        <is>
          <t>beauty vertical, home accessories</t>
        </is>
      </c>
      <c r="M44" s="159" t="inlineStr">
        <is>
          <t>Corporation</t>
        </is>
      </c>
      <c r="N44" s="160" t="n">
        <v>244.4</v>
      </c>
      <c r="O44" s="161" t="inlineStr">
        <is>
          <t>Profitable</t>
        </is>
      </c>
      <c r="P44" s="162" t="inlineStr">
        <is>
          <t>Publicly Held</t>
        </is>
      </c>
      <c r="Q44" s="163" t="inlineStr">
        <is>
          <t>Publicly Listed</t>
        </is>
      </c>
      <c r="R44" s="164" t="inlineStr">
        <is>
          <t>www.ralphlauren.com</t>
        </is>
      </c>
      <c r="S44" s="165" t="n">
        <v>23500.0</v>
      </c>
      <c r="T44" s="166" t="inlineStr">
        <is>
          <t>1997: 4000, 1998: 5800, 1999: 6800, 2000: 9500, 2001: 10400, 2002: 10100, 2003: 10800, 2004: 13000, 2005: 12762, 2006: 12800, 2007: 14000, 2008: 15000, 2009: 17000, 2010: 19000, 2011: 24000, 2012: 25000, 2013: 23000, 2014: 23000, 2015: 25000, 2016: 26000, 2017: 23300, 2018: 23500</t>
        </is>
      </c>
      <c r="U44" s="167" t="inlineStr">
        <is>
          <t>NYS</t>
        </is>
      </c>
      <c r="V44" s="168" t="inlineStr">
        <is>
          <t>RL</t>
        </is>
      </c>
      <c r="W44" s="169" t="n">
        <v>1967.0</v>
      </c>
      <c r="X44" s="170" t="inlineStr">
        <is>
          <t/>
        </is>
      </c>
      <c r="Y44" s="171" t="inlineStr">
        <is>
          <t/>
        </is>
      </c>
      <c r="Z44" s="172" t="inlineStr">
        <is>
          <t/>
        </is>
      </c>
      <c r="AA44" s="173" t="n">
        <v>6336.5</v>
      </c>
      <c r="AB44" s="174" t="n">
        <v>3893.0</v>
      </c>
      <c r="AC44" s="175" t="n">
        <v>440.6</v>
      </c>
      <c r="AD44" s="176" t="n">
        <v>7133.43</v>
      </c>
      <c r="AE44" s="177" t="n">
        <v>844.6</v>
      </c>
      <c r="AF44" s="178" t="inlineStr">
        <is>
          <t>TTM 3Q2019</t>
        </is>
      </c>
      <c r="AG44" s="179" t="n">
        <v>557.3</v>
      </c>
      <c r="AH44" s="180" t="n">
        <v>9452.72</v>
      </c>
      <c r="AI44" s="181" t="n">
        <v>-1136.4</v>
      </c>
      <c r="AJ44" s="182" t="inlineStr">
        <is>
          <t>153902-35P</t>
        </is>
      </c>
      <c r="AK44" s="183" t="inlineStr">
        <is>
          <t>Jane Nielsen</t>
        </is>
      </c>
      <c r="AL44" s="184" t="inlineStr">
        <is>
          <t>Chief Financial Officer</t>
        </is>
      </c>
      <c r="AM44" s="185" t="inlineStr">
        <is>
          <t>jane.nielsen@ralphlauren.com</t>
        </is>
      </c>
      <c r="AN44" s="186" t="inlineStr">
        <is>
          <t>+1 (888) 475-7674</t>
        </is>
      </c>
      <c r="AO44" s="187" t="inlineStr">
        <is>
          <t>New York, NY</t>
        </is>
      </c>
      <c r="AP44" s="188" t="inlineStr">
        <is>
          <t>601 West 26th Street, 8th Floor</t>
        </is>
      </c>
      <c r="AQ44" s="189" t="inlineStr">
        <is>
          <t/>
        </is>
      </c>
      <c r="AR44" s="190" t="inlineStr">
        <is>
          <t>New York</t>
        </is>
      </c>
      <c r="AS44" s="191" t="inlineStr">
        <is>
          <t>New York</t>
        </is>
      </c>
      <c r="AT44" s="192" t="inlineStr">
        <is>
          <t>10001</t>
        </is>
      </c>
      <c r="AU44" s="193" t="inlineStr">
        <is>
          <t>United States</t>
        </is>
      </c>
      <c r="AV44" s="194" t="inlineStr">
        <is>
          <t>+1 (888) 475-7674</t>
        </is>
      </c>
      <c r="AW44" s="195" t="inlineStr">
        <is>
          <t/>
        </is>
      </c>
      <c r="AX44" s="196" t="inlineStr">
        <is>
          <t/>
        </is>
      </c>
      <c r="AY44" s="197" t="inlineStr">
        <is>
          <t>Americas</t>
        </is>
      </c>
      <c r="AZ44" s="198" t="inlineStr">
        <is>
          <t>North America</t>
        </is>
      </c>
      <c r="BA44" s="199" t="inlineStr">
        <is>
          <t>The company raised $767 million in its initial public offering on New York stock exchange under the ticker symbol of RL on June 12, 1997. A total of 29,500,000 shares were sold at a price of $26 per share.After the offering, there was a total of 98,503,846 outstanding shares, valuing the company at $2.56 billion. In the offering, the company sold 9,400,000 shares and the selling shareholders sold 20,100,000 shares. The underwriters were granted an option to purchase up to an additional 4,425,000 shares from the company and selling shareholders to cover over-allotments, if any.</t>
        </is>
      </c>
      <c r="BB44" s="200" t="inlineStr">
        <is>
          <t/>
        </is>
      </c>
      <c r="BC44" s="201" t="inlineStr">
        <is>
          <t/>
        </is>
      </c>
      <c r="BD44" s="202" t="inlineStr">
        <is>
          <t/>
        </is>
      </c>
      <c r="BE44" s="203" t="inlineStr">
        <is>
          <t/>
        </is>
      </c>
      <c r="BF44" s="204" t="inlineStr">
        <is>
          <t/>
        </is>
      </c>
      <c r="BG44" s="205" t="inlineStr">
        <is>
          <t/>
        </is>
      </c>
      <c r="BH44" s="206" t="inlineStr">
        <is>
          <t/>
        </is>
      </c>
      <c r="BI44" s="207" t="inlineStr">
        <is>
          <t/>
        </is>
      </c>
      <c r="BJ44" s="208" t="inlineStr">
        <is>
          <t/>
        </is>
      </c>
      <c r="BK44" s="209" t="inlineStr">
        <is>
          <t/>
        </is>
      </c>
      <c r="BL44" s="210" t="n">
        <v>35593.0</v>
      </c>
      <c r="BM44" s="211" t="n">
        <v>767.0</v>
      </c>
      <c r="BN44" s="212" t="inlineStr">
        <is>
          <t>Actual</t>
        </is>
      </c>
      <c r="BO44" s="213" t="n">
        <v>2561.1</v>
      </c>
      <c r="BP44" s="214" t="inlineStr">
        <is>
          <t>Estimated</t>
        </is>
      </c>
      <c r="BQ44" s="215" t="inlineStr">
        <is>
          <t>IPO</t>
        </is>
      </c>
      <c r="BR44" s="216" t="inlineStr">
        <is>
          <t/>
        </is>
      </c>
      <c r="BS44" s="217" t="inlineStr">
        <is>
          <t/>
        </is>
      </c>
      <c r="BT44" s="218" t="inlineStr">
        <is>
          <t>Public Investment</t>
        </is>
      </c>
      <c r="BU44" s="219" t="inlineStr">
        <is>
          <t/>
        </is>
      </c>
      <c r="BV44" s="220" t="inlineStr">
        <is>
          <t/>
        </is>
      </c>
      <c r="BW44" s="221" t="inlineStr">
        <is>
          <t/>
        </is>
      </c>
      <c r="BX44" s="222" t="inlineStr">
        <is>
          <t>Completed</t>
        </is>
      </c>
      <c r="BY44" s="223" t="n">
        <v>35593.0</v>
      </c>
      <c r="BZ44" s="224" t="n">
        <v>767.0</v>
      </c>
      <c r="CA44" s="225" t="inlineStr">
        <is>
          <t>Actual</t>
        </is>
      </c>
      <c r="CB44" s="226" t="n">
        <v>2561.1</v>
      </c>
      <c r="CC44" s="227" t="inlineStr">
        <is>
          <t>Estimated</t>
        </is>
      </c>
      <c r="CD44" s="228" t="inlineStr">
        <is>
          <t>IPO</t>
        </is>
      </c>
      <c r="CE44" s="229" t="inlineStr">
        <is>
          <t/>
        </is>
      </c>
      <c r="CF44" s="230" t="inlineStr">
        <is>
          <t/>
        </is>
      </c>
      <c r="CG44" s="231" t="inlineStr">
        <is>
          <t>Public Investment</t>
        </is>
      </c>
      <c r="CH44" s="232" t="inlineStr">
        <is>
          <t/>
        </is>
      </c>
      <c r="CI44" s="233" t="inlineStr">
        <is>
          <t/>
        </is>
      </c>
      <c r="CJ44" s="234" t="inlineStr">
        <is>
          <t/>
        </is>
      </c>
      <c r="CK44" s="235" t="inlineStr">
        <is>
          <t>Completed</t>
        </is>
      </c>
      <c r="CL44" s="236" t="inlineStr">
        <is>
          <t/>
        </is>
      </c>
      <c r="CM44" s="237" t="inlineStr">
        <is>
          <t/>
        </is>
      </c>
      <c r="CN44" s="238" t="n">
        <v>1.47</v>
      </c>
      <c r="CO44" s="239" t="n">
        <v>99.0</v>
      </c>
      <c r="CP44" s="240" t="n">
        <v>0.89</v>
      </c>
      <c r="CQ44" s="241" t="n">
        <v>152.61</v>
      </c>
      <c r="CR44" s="242" t="n">
        <v>1.17</v>
      </c>
      <c r="CS44" s="243" t="n">
        <v>97.0</v>
      </c>
      <c r="CT44" s="244" t="n">
        <v>0.02</v>
      </c>
      <c r="CU44" s="245" t="n">
        <v>58.0</v>
      </c>
      <c r="CV44" s="246" t="n">
        <v>2.32</v>
      </c>
      <c r="CW44" s="247" t="n">
        <v>92.0</v>
      </c>
      <c r="CX44" s="248" t="n">
        <v>0.03</v>
      </c>
      <c r="CY44" s="249" t="n">
        <v>85.0</v>
      </c>
      <c r="CZ44" s="250" t="n">
        <v>0.01</v>
      </c>
      <c r="DA44" s="251" t="n">
        <v>63.0</v>
      </c>
      <c r="DB44" s="252" t="n">
        <v>3066.98</v>
      </c>
      <c r="DC44" s="253" t="n">
        <v>100.0</v>
      </c>
      <c r="DD44" s="254" t="n">
        <v>-1467.21</v>
      </c>
      <c r="DE44" s="255" t="n">
        <v>-32.36</v>
      </c>
      <c r="DF44" s="256" t="n">
        <v>833.36</v>
      </c>
      <c r="DG44" s="257" t="n">
        <v>100.0</v>
      </c>
      <c r="DH44" s="258" t="n">
        <v>8353.57</v>
      </c>
      <c r="DI44" s="259" t="n">
        <v>100.0</v>
      </c>
      <c r="DJ44" s="260" t="n">
        <v>942.74</v>
      </c>
      <c r="DK44" s="261" t="n">
        <v>100.0</v>
      </c>
      <c r="DL44" s="262" t="n">
        <v>723.97</v>
      </c>
      <c r="DM44" s="263" t="n">
        <v>100.0</v>
      </c>
      <c r="DN44" s="264" t="n">
        <v>6437.04</v>
      </c>
      <c r="DO44" s="265" t="n">
        <v>100.0</v>
      </c>
      <c r="DP44" s="266" t="n">
        <v>675503.0</v>
      </c>
      <c r="DQ44" s="267" t="n">
        <v>-29938.0</v>
      </c>
      <c r="DR44" s="268" t="n">
        <v>-4.24</v>
      </c>
      <c r="DS44" s="269" t="n">
        <v>24550.0</v>
      </c>
      <c r="DT44" s="270" t="n">
        <v>79.0</v>
      </c>
      <c r="DU44" s="271" t="n">
        <v>0.32</v>
      </c>
      <c r="DV44" s="272" t="n">
        <v>2311173.0</v>
      </c>
      <c r="DW44" s="273" t="n">
        <v>-908.0</v>
      </c>
      <c r="DX44" s="274" t="n">
        <v>-0.04</v>
      </c>
      <c r="DY44" s="275" t="inlineStr">
        <is>
          <t>PitchBook Research</t>
        </is>
      </c>
      <c r="DZ44" s="276" t="n">
        <v>43523.0</v>
      </c>
      <c r="EA44" s="277" t="n">
        <v>2561.1</v>
      </c>
      <c r="EB44" s="278" t="n">
        <v>35593.0</v>
      </c>
      <c r="EC44" s="279" t="inlineStr">
        <is>
          <t>IPO</t>
        </is>
      </c>
      <c r="ED44" s="548">
        <f>HYPERLINK("https://my.pitchbook.com?c=41347-00", "View company online")</f>
      </c>
    </row>
    <row r="45">
      <c r="A45" s="13" t="inlineStr">
        <is>
          <t>10682-38</t>
        </is>
      </c>
      <c r="B45" s="14" t="inlineStr">
        <is>
          <t>Belle International Holdings</t>
        </is>
      </c>
      <c r="C45" s="15" t="inlineStr">
        <is>
          <t/>
        </is>
      </c>
      <c r="D45" s="16" t="inlineStr">
        <is>
          <t>Belle</t>
        </is>
      </c>
      <c r="E45" s="17" t="inlineStr">
        <is>
          <t>10682-38</t>
        </is>
      </c>
      <c r="F45" s="18" t="inlineStr">
        <is>
          <t>Manufacturer and retailer of footwear, sportswear and apparel in China. The company sells a broad range of footwear and apparel products under their own brand names and also distributes products to other retail brand outlets.</t>
        </is>
      </c>
      <c r="G45" s="19" t="inlineStr">
        <is>
          <t>Consumer Products and Services (B2C)</t>
        </is>
      </c>
      <c r="H45" s="20" t="inlineStr">
        <is>
          <t>Apparel and Accessories</t>
        </is>
      </c>
      <c r="I45" s="21" t="inlineStr">
        <is>
          <t>Footwear</t>
        </is>
      </c>
      <c r="J45" s="22" t="inlineStr">
        <is>
          <t>Accessories, Footwear*, Specialty Retail</t>
        </is>
      </c>
      <c r="K45" s="23" t="inlineStr">
        <is>
          <t>Manufacturing</t>
        </is>
      </c>
      <c r="L45" s="24" t="inlineStr">
        <is>
          <t>apparel retail platform, footwear retailer, sportswear retail</t>
        </is>
      </c>
      <c r="M45" s="25" t="inlineStr">
        <is>
          <t>Private Equity-Backed</t>
        </is>
      </c>
      <c r="N45" s="26" t="n">
        <v>920.72</v>
      </c>
      <c r="O45" s="27" t="inlineStr">
        <is>
          <t>Profitable</t>
        </is>
      </c>
      <c r="P45" s="28" t="inlineStr">
        <is>
          <t>Privately Held (backing)</t>
        </is>
      </c>
      <c r="Q45" s="29" t="inlineStr">
        <is>
          <t>Debt Financed, Private Equity, Publicly Listed, Venture Capital</t>
        </is>
      </c>
      <c r="R45" s="30" t="inlineStr">
        <is>
          <t>www.belleintl.com</t>
        </is>
      </c>
      <c r="S45" s="31" t="n">
        <v>111737.0</v>
      </c>
      <c r="T45" s="32" t="inlineStr">
        <is>
          <t>2007: 48495, 2009: 71780, 2010: 87619, 2011: 103809, 2012: 116263, 2013: 124047, 2014: 120727, 2015: 123500, 2016: 119061, 2017: 111737</t>
        </is>
      </c>
      <c r="U45" s="33" t="inlineStr">
        <is>
          <t/>
        </is>
      </c>
      <c r="V45" s="34" t="inlineStr">
        <is>
          <t/>
        </is>
      </c>
      <c r="W45" s="35" t="n">
        <v>1991.0</v>
      </c>
      <c r="X45" s="36" t="inlineStr">
        <is>
          <t/>
        </is>
      </c>
      <c r="Y45" s="37" t="inlineStr">
        <is>
          <t/>
        </is>
      </c>
      <c r="Z45" s="38" t="inlineStr">
        <is>
          <t/>
        </is>
      </c>
      <c r="AA45" s="39" t="n">
        <v>6209.98</v>
      </c>
      <c r="AB45" s="40" t="n">
        <v>3373.36</v>
      </c>
      <c r="AC45" s="41" t="n">
        <v>357.86</v>
      </c>
      <c r="AD45" s="42" t="n">
        <v>4693.55</v>
      </c>
      <c r="AE45" s="43" t="n">
        <v>754.24</v>
      </c>
      <c r="AF45" s="44" t="inlineStr">
        <is>
          <t>FY 2017</t>
        </is>
      </c>
      <c r="AG45" s="45" t="inlineStr">
        <is>
          <t/>
        </is>
      </c>
      <c r="AH45" s="46" t="inlineStr">
        <is>
          <t/>
        </is>
      </c>
      <c r="AI45" s="47" t="inlineStr">
        <is>
          <t/>
        </is>
      </c>
      <c r="AJ45" s="48" t="inlineStr">
        <is>
          <t>94875-22P</t>
        </is>
      </c>
      <c r="AK45" s="49" t="inlineStr">
        <is>
          <t>Tang Yiu</t>
        </is>
      </c>
      <c r="AL45" s="50" t="inlineStr">
        <is>
          <t>Founder &amp; Chairman</t>
        </is>
      </c>
      <c r="AM45" s="51" t="inlineStr">
        <is>
          <t/>
        </is>
      </c>
      <c r="AN45" s="52" t="inlineStr">
        <is>
          <t>+86 (0)755 8287 7388</t>
        </is>
      </c>
      <c r="AO45" s="53" t="inlineStr">
        <is>
          <t>Shenzhen, China</t>
        </is>
      </c>
      <c r="AP45" s="54" t="inlineStr">
        <is>
          <t>12/F., Excellence Mansion</t>
        </is>
      </c>
      <c r="AQ45" s="55" t="inlineStr">
        <is>
          <t>Number 98 Fuhua 1st Road, Futian District</t>
        </is>
      </c>
      <c r="AR45" s="56" t="inlineStr">
        <is>
          <t>Shenzhen</t>
        </is>
      </c>
      <c r="AS45" s="57" t="inlineStr">
        <is>
          <t/>
        </is>
      </c>
      <c r="AT45" s="58" t="inlineStr">
        <is>
          <t/>
        </is>
      </c>
      <c r="AU45" s="59" t="inlineStr">
        <is>
          <t>China</t>
        </is>
      </c>
      <c r="AV45" s="60" t="inlineStr">
        <is>
          <t>+86 (0)755 8287 7388</t>
        </is>
      </c>
      <c r="AW45" s="61" t="inlineStr">
        <is>
          <t/>
        </is>
      </c>
      <c r="AX45" s="62" t="inlineStr">
        <is>
          <t>ir@belle.com.cn</t>
        </is>
      </c>
      <c r="AY45" s="63" t="inlineStr">
        <is>
          <t>Asia</t>
        </is>
      </c>
      <c r="AZ45" s="64" t="inlineStr">
        <is>
          <t>East Asia</t>
        </is>
      </c>
      <c r="BA45" s="65" t="inlineStr">
        <is>
          <t>The company was acquired by Yu Wu, Sheng Fang, CDH Investments and Hillhouse Capital through a HKD 53.1 billion public-to-private LBO on July 25, 2017. After the completion of the deal, CDH Investments could help Belle International turn around its business by introducing international management talent and rejuvenating its brand. The acquisition will be financed through a HKD 28 billion debt facility provided by Bank of America and other undisclosed banks and aggregate cash investment of HKD 17.31 billion by the Hillhouse and CDH. Post-privatization, Hillhouse holds 57.6% of the Company, while CDH holds 11.9% and other participating management, including Mr. Yu and Mr. Sheng, holds 30.5%. The withdrawal of Belle International's shares on the Hong Kong Stock Exchange has become effective from 4 pm on July 27, 2017.</t>
        </is>
      </c>
      <c r="BB45" s="66" t="inlineStr">
        <is>
          <t>CDH Investments, Hillhouse Capital Group</t>
        </is>
      </c>
      <c r="BC45" s="67" t="n">
        <v>2.0</v>
      </c>
      <c r="BD45" s="68" t="inlineStr">
        <is>
          <t/>
        </is>
      </c>
      <c r="BE45" s="69" t="inlineStr">
        <is>
          <t>Cowin Capital, Credit Suisse, Crescent HydePark, Morgan Stanley Private Equity Asia</t>
        </is>
      </c>
      <c r="BF45" s="70" t="inlineStr">
        <is>
          <t/>
        </is>
      </c>
      <c r="BG45" s="71" t="inlineStr">
        <is>
          <t>CDH Investments(www.cdhfund.com), Hillhouse Capital Group(www.hillhousecap.com)</t>
        </is>
      </c>
      <c r="BH45" s="72" t="inlineStr">
        <is>
          <t>Cowin Capital(www.cowincapital.com.cn), Credit Suisse(www.credit-suisse.com), Crescent HydePark(www.chp.vc)</t>
        </is>
      </c>
      <c r="BI45" s="73" t="inlineStr">
        <is>
          <t/>
        </is>
      </c>
      <c r="BJ45" s="74" t="inlineStr">
        <is>
          <t/>
        </is>
      </c>
      <c r="BK45" s="75" t="inlineStr">
        <is>
          <t>Anglo Chinese Corporate Finance(Advisor: General), Bank of America(Debt Financing), China International Capital Corporation(Underwriter), CIMB Securities(Underwriter), Conyers Dill &amp; Pearman(Legal Advisor), Credit Suisse(Underwriter), DBS Asia Capital(Underwriter), First Shanghai Securities(Underwriter), Jun He Law Offices(Legal Advisor), Kingsway Financial Services(Underwriter), Morgan Stanley(Underwriter), Norton Rose Fulbright(Legal Advisor), Polaris Capital (Asia)(Underwriter), PwC(Accounting), Simpson Thacher &amp; Bartlett(Legal Advisor), VC Brokerage(Underwriter)</t>
        </is>
      </c>
      <c r="BL45" s="76" t="n">
        <v>38596.0</v>
      </c>
      <c r="BM45" s="77" t="inlineStr">
        <is>
          <t/>
        </is>
      </c>
      <c r="BN45" s="78" t="inlineStr">
        <is>
          <t/>
        </is>
      </c>
      <c r="BO45" s="79" t="inlineStr">
        <is>
          <t/>
        </is>
      </c>
      <c r="BP45" s="80" t="inlineStr">
        <is>
          <t/>
        </is>
      </c>
      <c r="BQ45" s="81" t="inlineStr">
        <is>
          <t>PE Growth/Expansion</t>
        </is>
      </c>
      <c r="BR45" s="82" t="inlineStr">
        <is>
          <t/>
        </is>
      </c>
      <c r="BS45" s="83" t="inlineStr">
        <is>
          <t/>
        </is>
      </c>
      <c r="BT45" s="84" t="inlineStr">
        <is>
          <t>Private Equity</t>
        </is>
      </c>
      <c r="BU45" s="85" t="inlineStr">
        <is>
          <t/>
        </is>
      </c>
      <c r="BV45" s="86" t="inlineStr">
        <is>
          <t/>
        </is>
      </c>
      <c r="BW45" s="87" t="inlineStr">
        <is>
          <t/>
        </is>
      </c>
      <c r="BX45" s="88" t="inlineStr">
        <is>
          <t>Completed</t>
        </is>
      </c>
      <c r="BY45" s="89" t="n">
        <v>42941.0</v>
      </c>
      <c r="BZ45" s="90" t="n">
        <v>6800.15</v>
      </c>
      <c r="CA45" s="91" t="inlineStr">
        <is>
          <t>Actual</t>
        </is>
      </c>
      <c r="CB45" s="92" t="n">
        <v>6800.15</v>
      </c>
      <c r="CC45" s="93" t="inlineStr">
        <is>
          <t/>
        </is>
      </c>
      <c r="CD45" s="94" t="inlineStr">
        <is>
          <t>Buyout/LBO</t>
        </is>
      </c>
      <c r="CE45" s="95" t="inlineStr">
        <is>
          <t>Secondary Buyout</t>
        </is>
      </c>
      <c r="CF45" s="96" t="inlineStr">
        <is>
          <t>Public to Private</t>
        </is>
      </c>
      <c r="CG45" s="97" t="inlineStr">
        <is>
          <t>Debt</t>
        </is>
      </c>
      <c r="CH45" s="98" t="inlineStr">
        <is>
          <t>Senior Debt</t>
        </is>
      </c>
      <c r="CI45" s="99" t="inlineStr">
        <is>
          <t/>
        </is>
      </c>
      <c r="CJ45" s="100" t="inlineStr">
        <is>
          <t/>
        </is>
      </c>
      <c r="CK45" s="101" t="inlineStr">
        <is>
          <t>Completed</t>
        </is>
      </c>
      <c r="CL45" s="102" t="n">
        <v>42941.0</v>
      </c>
      <c r="CM45" s="103" t="n">
        <v>3585.77</v>
      </c>
      <c r="CN45" s="104" t="n">
        <v>0.19</v>
      </c>
      <c r="CO45" s="105" t="n">
        <v>88.0</v>
      </c>
      <c r="CP45" s="106" t="n">
        <v>0.01</v>
      </c>
      <c r="CQ45" s="107" t="n">
        <v>5.79</v>
      </c>
      <c r="CR45" s="108" t="n">
        <v>0.19</v>
      </c>
      <c r="CS45" s="109" t="n">
        <v>89.0</v>
      </c>
      <c r="CT45" s="110" t="inlineStr">
        <is>
          <t/>
        </is>
      </c>
      <c r="CU45" s="111" t="inlineStr">
        <is>
          <t/>
        </is>
      </c>
      <c r="CV45" s="112" t="n">
        <v>0.0</v>
      </c>
      <c r="CW45" s="113" t="n">
        <v>33.0</v>
      </c>
      <c r="CX45" s="114" t="n">
        <v>0.38</v>
      </c>
      <c r="CY45" s="115" t="n">
        <v>92.0</v>
      </c>
      <c r="CZ45" s="116" t="inlineStr">
        <is>
          <t/>
        </is>
      </c>
      <c r="DA45" s="117" t="inlineStr">
        <is>
          <t/>
        </is>
      </c>
      <c r="DB45" s="118" t="n">
        <v>17.57</v>
      </c>
      <c r="DC45" s="119" t="n">
        <v>94.0</v>
      </c>
      <c r="DD45" s="120" t="n">
        <v>4.3</v>
      </c>
      <c r="DE45" s="121" t="n">
        <v>32.44</v>
      </c>
      <c r="DF45" s="122" t="n">
        <v>17.57</v>
      </c>
      <c r="DG45" s="123" t="n">
        <v>93.0</v>
      </c>
      <c r="DH45" s="124" t="inlineStr">
        <is>
          <t/>
        </is>
      </c>
      <c r="DI45" s="125" t="inlineStr">
        <is>
          <t/>
        </is>
      </c>
      <c r="DJ45" s="126" t="n">
        <v>0.29</v>
      </c>
      <c r="DK45" s="127" t="n">
        <v>21.0</v>
      </c>
      <c r="DL45" s="128" t="n">
        <v>34.85</v>
      </c>
      <c r="DM45" s="129" t="n">
        <v>96.0</v>
      </c>
      <c r="DN45" s="130" t="inlineStr">
        <is>
          <t/>
        </is>
      </c>
      <c r="DO45" s="131" t="inlineStr">
        <is>
          <t/>
        </is>
      </c>
      <c r="DP45" s="132" t="n">
        <v>198.0</v>
      </c>
      <c r="DQ45" s="133" t="n">
        <v>30.0</v>
      </c>
      <c r="DR45" s="134" t="n">
        <v>17.86</v>
      </c>
      <c r="DS45" s="135" t="n">
        <v>1183.0</v>
      </c>
      <c r="DT45" s="136" t="n">
        <v>4.0</v>
      </c>
      <c r="DU45" s="137" t="n">
        <v>0.34</v>
      </c>
      <c r="DV45" s="138" t="inlineStr">
        <is>
          <t/>
        </is>
      </c>
      <c r="DW45" s="139" t="inlineStr">
        <is>
          <t/>
        </is>
      </c>
      <c r="DX45" s="140" t="inlineStr">
        <is>
          <t/>
        </is>
      </c>
      <c r="DY45" s="141" t="inlineStr">
        <is>
          <t>PitchBook Research</t>
        </is>
      </c>
      <c r="DZ45" s="142" t="n">
        <v>43530.0</v>
      </c>
      <c r="EA45" s="143" t="n">
        <v>6800.15</v>
      </c>
      <c r="EB45" s="144" t="n">
        <v>42941.0</v>
      </c>
      <c r="EC45" s="145" t="inlineStr">
        <is>
          <t>Buyout/LBO</t>
        </is>
      </c>
      <c r="ED45" s="547">
        <f>HYPERLINK("https://my.pitchbook.com?c=10682-38", "View company online")</f>
      </c>
    </row>
    <row r="46">
      <c r="A46" s="147" t="inlineStr">
        <is>
          <t>150838-21</t>
        </is>
      </c>
      <c r="B46" s="148" t="inlineStr">
        <is>
          <t>Carhartt</t>
        </is>
      </c>
      <c r="C46" s="149" t="inlineStr">
        <is>
          <t/>
        </is>
      </c>
      <c r="D46" s="150" t="inlineStr">
        <is>
          <t/>
        </is>
      </c>
      <c r="E46" s="151" t="inlineStr">
        <is>
          <t>150838-21</t>
        </is>
      </c>
      <c r="F46" s="152" t="inlineStr">
        <is>
          <t>Manufacturer and distributor of apparel and accessories. The company offers an online platform for their customers to purchase jackets, winter wear, shirts, pants and other accessories for men, women and kids.</t>
        </is>
      </c>
      <c r="G46" s="153" t="inlineStr">
        <is>
          <t>Consumer Products and Services (B2C)</t>
        </is>
      </c>
      <c r="H46" s="154" t="inlineStr">
        <is>
          <t>Apparel and Accessories</t>
        </is>
      </c>
      <c r="I46" s="155" t="inlineStr">
        <is>
          <t>Accessories</t>
        </is>
      </c>
      <c r="J46" s="156" t="inlineStr">
        <is>
          <t>Accessories*, Clothing, Footwear, Internet Retail</t>
        </is>
      </c>
      <c r="K46" s="157" t="inlineStr">
        <is>
          <t>Manufacturing</t>
        </is>
      </c>
      <c r="L46" s="158" t="inlineStr">
        <is>
          <t>internet shopping, virtual marketplace</t>
        </is>
      </c>
      <c r="M46" s="159" t="inlineStr">
        <is>
          <t>Corporation</t>
        </is>
      </c>
      <c r="N46" s="160" t="inlineStr">
        <is>
          <t/>
        </is>
      </c>
      <c r="O46" s="161" t="inlineStr">
        <is>
          <t>Generating Revenue</t>
        </is>
      </c>
      <c r="P46" s="162" t="inlineStr">
        <is>
          <t>Privately Held (no backing)</t>
        </is>
      </c>
      <c r="Q46" s="163" t="inlineStr">
        <is>
          <t>Other Private Companies</t>
        </is>
      </c>
      <c r="R46" s="164" t="inlineStr">
        <is>
          <t>www.carhartt.com</t>
        </is>
      </c>
      <c r="S46" s="165" t="n">
        <v>4700.0</v>
      </c>
      <c r="T46" s="166" t="inlineStr">
        <is>
          <t>1889: 5, 2016: 5001, 2017: 5000, 2018: 4700</t>
        </is>
      </c>
      <c r="U46" s="167" t="inlineStr">
        <is>
          <t/>
        </is>
      </c>
      <c r="V46" s="168" t="inlineStr">
        <is>
          <t/>
        </is>
      </c>
      <c r="W46" s="169" t="n">
        <v>1889.0</v>
      </c>
      <c r="X46" s="170" t="inlineStr">
        <is>
          <t/>
        </is>
      </c>
      <c r="Y46" s="171" t="inlineStr">
        <is>
          <t/>
        </is>
      </c>
      <c r="Z46" s="172" t="inlineStr">
        <is>
          <t>Competitor (New) Zara</t>
        </is>
      </c>
      <c r="AA46" s="173" t="n">
        <v>6000.0</v>
      </c>
      <c r="AB46" s="174" t="inlineStr">
        <is>
          <t/>
        </is>
      </c>
      <c r="AC46" s="175" t="inlineStr">
        <is>
          <t/>
        </is>
      </c>
      <c r="AD46" s="176" t="inlineStr">
        <is>
          <t/>
        </is>
      </c>
      <c r="AE46" s="177" t="inlineStr">
        <is>
          <t/>
        </is>
      </c>
      <c r="AF46" s="178" t="inlineStr">
        <is>
          <t>FY 2013</t>
        </is>
      </c>
      <c r="AG46" s="179" t="inlineStr">
        <is>
          <t/>
        </is>
      </c>
      <c r="AH46" s="180" t="inlineStr">
        <is>
          <t/>
        </is>
      </c>
      <c r="AI46" s="181" t="inlineStr">
        <is>
          <t/>
        </is>
      </c>
      <c r="AJ46" s="182" t="inlineStr">
        <is>
          <t>135627-76P</t>
        </is>
      </c>
      <c r="AK46" s="183" t="inlineStr">
        <is>
          <t>Mark Valade</t>
        </is>
      </c>
      <c r="AL46" s="184" t="inlineStr">
        <is>
          <t>Chief Executive Officer, President and Chairman</t>
        </is>
      </c>
      <c r="AM46" s="185" t="inlineStr">
        <is>
          <t>mvalade@carhartt.com</t>
        </is>
      </c>
      <c r="AN46" s="186" t="inlineStr">
        <is>
          <t>+1 (800) 833-3118</t>
        </is>
      </c>
      <c r="AO46" s="187" t="inlineStr">
        <is>
          <t>Dearborn, MI</t>
        </is>
      </c>
      <c r="AP46" s="188" t="inlineStr">
        <is>
          <t>5750 Mercury Drive</t>
        </is>
      </c>
      <c r="AQ46" s="189" t="inlineStr">
        <is>
          <t/>
        </is>
      </c>
      <c r="AR46" s="190" t="inlineStr">
        <is>
          <t>Dearborn</t>
        </is>
      </c>
      <c r="AS46" s="191" t="inlineStr">
        <is>
          <t>Michigan</t>
        </is>
      </c>
      <c r="AT46" s="192" t="inlineStr">
        <is>
          <t>48126</t>
        </is>
      </c>
      <c r="AU46" s="193" t="inlineStr">
        <is>
          <t>United States</t>
        </is>
      </c>
      <c r="AV46" s="194" t="inlineStr">
        <is>
          <t>+1 (800) 833-3118</t>
        </is>
      </c>
      <c r="AW46" s="195" t="inlineStr">
        <is>
          <t/>
        </is>
      </c>
      <c r="AX46" s="196" t="inlineStr">
        <is>
          <t>just_ask_us@carhartt.com</t>
        </is>
      </c>
      <c r="AY46" s="197" t="inlineStr">
        <is>
          <t>Americas</t>
        </is>
      </c>
      <c r="AZ46" s="198" t="inlineStr">
        <is>
          <t>North America</t>
        </is>
      </c>
      <c r="BA46" s="199" t="inlineStr">
        <is>
          <t>The company received $1.4 million of grant funding from Michigan Economic Development Corporation on September 22, 2015.</t>
        </is>
      </c>
      <c r="BB46" s="200" t="inlineStr">
        <is>
          <t>Michigan Economic Development</t>
        </is>
      </c>
      <c r="BC46" s="201" t="n">
        <v>1.0</v>
      </c>
      <c r="BD46" s="202" t="inlineStr">
        <is>
          <t/>
        </is>
      </c>
      <c r="BE46" s="203" t="inlineStr">
        <is>
          <t/>
        </is>
      </c>
      <c r="BF46" s="204" t="inlineStr">
        <is>
          <t/>
        </is>
      </c>
      <c r="BG46" s="205" t="inlineStr">
        <is>
          <t>Michigan Economic Development(www.michiganbusiness.org)</t>
        </is>
      </c>
      <c r="BH46" s="206" t="inlineStr">
        <is>
          <t/>
        </is>
      </c>
      <c r="BI46" s="207" t="inlineStr">
        <is>
          <t/>
        </is>
      </c>
      <c r="BJ46" s="208" t="inlineStr">
        <is>
          <t>Dickinson Wright(Legal Advisor)</t>
        </is>
      </c>
      <c r="BK46" s="209" t="inlineStr">
        <is>
          <t/>
        </is>
      </c>
      <c r="BL46" s="210" t="n">
        <v>42269.0</v>
      </c>
      <c r="BM46" s="211" t="n">
        <v>1.4</v>
      </c>
      <c r="BN46" s="212" t="inlineStr">
        <is>
          <t>Actual</t>
        </is>
      </c>
      <c r="BO46" s="213" t="inlineStr">
        <is>
          <t/>
        </is>
      </c>
      <c r="BP46" s="214" t="inlineStr">
        <is>
          <t/>
        </is>
      </c>
      <c r="BQ46" s="215" t="inlineStr">
        <is>
          <t>Grant</t>
        </is>
      </c>
      <c r="BR46" s="216" t="inlineStr">
        <is>
          <t/>
        </is>
      </c>
      <c r="BS46" s="217" t="inlineStr">
        <is>
          <t/>
        </is>
      </c>
      <c r="BT46" s="218" t="inlineStr">
        <is>
          <t>Other</t>
        </is>
      </c>
      <c r="BU46" s="219" t="inlineStr">
        <is>
          <t/>
        </is>
      </c>
      <c r="BV46" s="220" t="inlineStr">
        <is>
          <t/>
        </is>
      </c>
      <c r="BW46" s="221" t="inlineStr">
        <is>
          <t/>
        </is>
      </c>
      <c r="BX46" s="222" t="inlineStr">
        <is>
          <t>Completed</t>
        </is>
      </c>
      <c r="BY46" s="223" t="n">
        <v>42269.0</v>
      </c>
      <c r="BZ46" s="224" t="n">
        <v>1.4</v>
      </c>
      <c r="CA46" s="225" t="inlineStr">
        <is>
          <t>Actual</t>
        </is>
      </c>
      <c r="CB46" s="226" t="inlineStr">
        <is>
          <t/>
        </is>
      </c>
      <c r="CC46" s="227" t="inlineStr">
        <is>
          <t/>
        </is>
      </c>
      <c r="CD46" s="228" t="inlineStr">
        <is>
          <t>Grant</t>
        </is>
      </c>
      <c r="CE46" s="229" t="inlineStr">
        <is>
          <t/>
        </is>
      </c>
      <c r="CF46" s="230" t="inlineStr">
        <is>
          <t/>
        </is>
      </c>
      <c r="CG46" s="231" t="inlineStr">
        <is>
          <t>Other</t>
        </is>
      </c>
      <c r="CH46" s="232" t="inlineStr">
        <is>
          <t/>
        </is>
      </c>
      <c r="CI46" s="233" t="inlineStr">
        <is>
          <t/>
        </is>
      </c>
      <c r="CJ46" s="234" t="inlineStr">
        <is>
          <t/>
        </is>
      </c>
      <c r="CK46" s="235" t="inlineStr">
        <is>
          <t>Completed</t>
        </is>
      </c>
      <c r="CL46" s="236" t="inlineStr">
        <is>
          <t/>
        </is>
      </c>
      <c r="CM46" s="237" t="inlineStr">
        <is>
          <t/>
        </is>
      </c>
      <c r="CN46" s="238" t="n">
        <v>2.69</v>
      </c>
      <c r="CO46" s="239" t="n">
        <v>100.0</v>
      </c>
      <c r="CP46" s="240" t="n">
        <v>-0.01</v>
      </c>
      <c r="CQ46" s="241" t="n">
        <v>-0.36</v>
      </c>
      <c r="CR46" s="242" t="n">
        <v>5.22</v>
      </c>
      <c r="CS46" s="243" t="n">
        <v>100.0</v>
      </c>
      <c r="CT46" s="244" t="n">
        <v>0.16</v>
      </c>
      <c r="CU46" s="245" t="n">
        <v>80.0</v>
      </c>
      <c r="CV46" s="246" t="n">
        <v>10.17</v>
      </c>
      <c r="CW46" s="247" t="n">
        <v>100.0</v>
      </c>
      <c r="CX46" s="248" t="n">
        <v>0.27</v>
      </c>
      <c r="CY46" s="249" t="n">
        <v>90.0</v>
      </c>
      <c r="CZ46" s="250" t="n">
        <v>0.18</v>
      </c>
      <c r="DA46" s="251" t="n">
        <v>84.0</v>
      </c>
      <c r="DB46" s="252" t="n">
        <v>1107.68</v>
      </c>
      <c r="DC46" s="253" t="n">
        <v>100.0</v>
      </c>
      <c r="DD46" s="254" t="n">
        <v>13.03</v>
      </c>
      <c r="DE46" s="255" t="n">
        <v>1.19</v>
      </c>
      <c r="DF46" s="256" t="n">
        <v>509.93</v>
      </c>
      <c r="DG46" s="257" t="n">
        <v>100.0</v>
      </c>
      <c r="DH46" s="258" t="n">
        <v>1705.44</v>
      </c>
      <c r="DI46" s="259" t="n">
        <v>100.0</v>
      </c>
      <c r="DJ46" s="260" t="n">
        <v>843.83</v>
      </c>
      <c r="DK46" s="261" t="n">
        <v>100.0</v>
      </c>
      <c r="DL46" s="262" t="n">
        <v>176.03</v>
      </c>
      <c r="DM46" s="263" t="n">
        <v>100.0</v>
      </c>
      <c r="DN46" s="264" t="n">
        <v>195.41</v>
      </c>
      <c r="DO46" s="265" t="n">
        <v>99.0</v>
      </c>
      <c r="DP46" s="266" t="n">
        <v>581968.0</v>
      </c>
      <c r="DQ46" s="267" t="n">
        <v>51179.0</v>
      </c>
      <c r="DR46" s="268" t="n">
        <v>9.64</v>
      </c>
      <c r="DS46" s="269" t="n">
        <v>5971.0</v>
      </c>
      <c r="DT46" s="270" t="n">
        <v>29.0</v>
      </c>
      <c r="DU46" s="271" t="n">
        <v>0.49</v>
      </c>
      <c r="DV46" s="272" t="n">
        <v>70145.0</v>
      </c>
      <c r="DW46" s="273" t="n">
        <v>55.0</v>
      </c>
      <c r="DX46" s="274" t="n">
        <v>0.08</v>
      </c>
      <c r="DY46" s="275" t="inlineStr">
        <is>
          <t>PitchBook Research</t>
        </is>
      </c>
      <c r="DZ46" s="276" t="n">
        <v>43473.0</v>
      </c>
      <c r="EA46" s="277" t="inlineStr">
        <is>
          <t/>
        </is>
      </c>
      <c r="EB46" s="278" t="inlineStr">
        <is>
          <t/>
        </is>
      </c>
      <c r="EC46" s="279" t="inlineStr">
        <is>
          <t/>
        </is>
      </c>
      <c r="ED46" s="548">
        <f>HYPERLINK("https://my.pitchbook.com?c=150838-21", "View company online")</f>
      </c>
    </row>
    <row r="47">
      <c r="A47" s="13" t="inlineStr">
        <is>
          <t>176475-16</t>
        </is>
      </c>
      <c r="B47" s="14" t="inlineStr">
        <is>
          <t>Fubu</t>
        </is>
      </c>
      <c r="C47" s="15" t="inlineStr">
        <is>
          <t/>
        </is>
      </c>
      <c r="D47" s="16" t="inlineStr">
        <is>
          <t/>
        </is>
      </c>
      <c r="E47" s="17" t="inlineStr">
        <is>
          <t>176475-16</t>
        </is>
      </c>
      <c r="F47" s="18" t="inlineStr">
        <is>
          <t>Operator of an apparel retail company intended to design and market sports clothing and accessories. The company's line of apparel includes caps, head bands, gloves, jackets, sweaters and related sportswear that are designed in a way to promote hip-hop fashion famous in America, enabling customers to browse, order and buy funky and trending sports apparel and accessories via an online retail platform.</t>
        </is>
      </c>
      <c r="G47" s="19" t="inlineStr">
        <is>
          <t>Consumer Products and Services (B2C)</t>
        </is>
      </c>
      <c r="H47" s="20" t="inlineStr">
        <is>
          <t>Apparel and Accessories</t>
        </is>
      </c>
      <c r="I47" s="21" t="inlineStr">
        <is>
          <t>Clothing</t>
        </is>
      </c>
      <c r="J47" s="22" t="inlineStr">
        <is>
          <t>Accessories, Clothing*, Internet Retail</t>
        </is>
      </c>
      <c r="K47" s="23" t="inlineStr">
        <is>
          <t>E-Commerce, TMT</t>
        </is>
      </c>
      <c r="L47" s="24" t="inlineStr">
        <is>
          <t>apparel branding, apparel retailer, hip hop apparel, sports accessories, sports clothing, sportswear, sportswear branding, sportswear manufacturer</t>
        </is>
      </c>
      <c r="M47" s="25" t="inlineStr">
        <is>
          <t>Corporation</t>
        </is>
      </c>
      <c r="N47" s="26" t="inlineStr">
        <is>
          <t/>
        </is>
      </c>
      <c r="O47" s="27" t="inlineStr">
        <is>
          <t>Generating Revenue</t>
        </is>
      </c>
      <c r="P47" s="28" t="inlineStr">
        <is>
          <t>Privately Held (no backing)</t>
        </is>
      </c>
      <c r="Q47" s="29" t="inlineStr">
        <is>
          <t>Other Private Companies</t>
        </is>
      </c>
      <c r="R47" s="30" t="inlineStr">
        <is>
          <t>www.fubu.com</t>
        </is>
      </c>
      <c r="S47" s="31" t="inlineStr">
        <is>
          <t/>
        </is>
      </c>
      <c r="T47" s="32" t="inlineStr">
        <is>
          <t/>
        </is>
      </c>
      <c r="U47" s="33" t="inlineStr">
        <is>
          <t/>
        </is>
      </c>
      <c r="V47" s="34" t="inlineStr">
        <is>
          <t/>
        </is>
      </c>
      <c r="W47" s="35" t="n">
        <v>1992.0</v>
      </c>
      <c r="X47" s="36" t="inlineStr">
        <is>
          <t/>
        </is>
      </c>
      <c r="Y47" s="37" t="inlineStr">
        <is>
          <t/>
        </is>
      </c>
      <c r="Z47" s="38" t="inlineStr">
        <is>
          <t/>
        </is>
      </c>
      <c r="AA47" s="39" t="n">
        <v>6000.0</v>
      </c>
      <c r="AB47" s="40" t="inlineStr">
        <is>
          <t/>
        </is>
      </c>
      <c r="AC47" s="41" t="inlineStr">
        <is>
          <t/>
        </is>
      </c>
      <c r="AD47" s="42" t="inlineStr">
        <is>
          <t/>
        </is>
      </c>
      <c r="AE47" s="43" t="inlineStr">
        <is>
          <t/>
        </is>
      </c>
      <c r="AF47" s="44" t="inlineStr">
        <is>
          <t>FY 2017</t>
        </is>
      </c>
      <c r="AG47" s="45" t="inlineStr">
        <is>
          <t/>
        </is>
      </c>
      <c r="AH47" s="46" t="inlineStr">
        <is>
          <t/>
        </is>
      </c>
      <c r="AI47" s="47" t="inlineStr">
        <is>
          <t/>
        </is>
      </c>
      <c r="AJ47" s="48" t="inlineStr">
        <is>
          <t>43424-83P</t>
        </is>
      </c>
      <c r="AK47" s="49" t="inlineStr">
        <is>
          <t>Daymond John</t>
        </is>
      </c>
      <c r="AL47" s="50" t="inlineStr">
        <is>
          <t>Co-Founder, President &amp; Chief Executive Officer</t>
        </is>
      </c>
      <c r="AM47" s="51" t="inlineStr">
        <is>
          <t>daymondj@fubu.com</t>
        </is>
      </c>
      <c r="AN47" s="52" t="inlineStr">
        <is>
          <t>+1 (212) 273-3300</t>
        </is>
      </c>
      <c r="AO47" s="53" t="inlineStr">
        <is>
          <t>New York, NY</t>
        </is>
      </c>
      <c r="AP47" s="54" t="inlineStr">
        <is>
          <t>350 5th Avenue</t>
        </is>
      </c>
      <c r="AQ47" s="55" t="inlineStr">
        <is>
          <t>Suite 6617</t>
        </is>
      </c>
      <c r="AR47" s="56" t="inlineStr">
        <is>
          <t>New York</t>
        </is>
      </c>
      <c r="AS47" s="57" t="inlineStr">
        <is>
          <t>New York</t>
        </is>
      </c>
      <c r="AT47" s="58" t="inlineStr">
        <is>
          <t>10118</t>
        </is>
      </c>
      <c r="AU47" s="59" t="inlineStr">
        <is>
          <t>United States</t>
        </is>
      </c>
      <c r="AV47" s="60" t="inlineStr">
        <is>
          <t>+1 (212) 273-3300</t>
        </is>
      </c>
      <c r="AW47" s="61" t="inlineStr">
        <is>
          <t>+1 (212) 629-0232</t>
        </is>
      </c>
      <c r="AX47" s="62" t="inlineStr">
        <is>
          <t>help@fubu.com</t>
        </is>
      </c>
      <c r="AY47" s="63" t="inlineStr">
        <is>
          <t>Americas</t>
        </is>
      </c>
      <c r="AZ47" s="64" t="inlineStr">
        <is>
          <t>North America</t>
        </is>
      </c>
      <c r="BA47" s="65" t="inlineStr">
        <is>
          <t/>
        </is>
      </c>
      <c r="BB47" s="66" t="inlineStr">
        <is>
          <t/>
        </is>
      </c>
      <c r="BC47" s="67" t="inlineStr">
        <is>
          <t/>
        </is>
      </c>
      <c r="BD47" s="68" t="inlineStr">
        <is>
          <t/>
        </is>
      </c>
      <c r="BE47" s="69" t="inlineStr">
        <is>
          <t/>
        </is>
      </c>
      <c r="BF47" s="70" t="inlineStr">
        <is>
          <t/>
        </is>
      </c>
      <c r="BG47" s="71" t="inlineStr">
        <is>
          <t/>
        </is>
      </c>
      <c r="BH47" s="72" t="inlineStr">
        <is>
          <t/>
        </is>
      </c>
      <c r="BI47" s="73" t="inlineStr">
        <is>
          <t/>
        </is>
      </c>
      <c r="BJ47" s="74" t="inlineStr">
        <is>
          <t/>
        </is>
      </c>
      <c r="BK47" s="75" t="inlineStr">
        <is>
          <t/>
        </is>
      </c>
      <c r="BL47" s="76" t="inlineStr">
        <is>
          <t/>
        </is>
      </c>
      <c r="BM47" s="77" t="inlineStr">
        <is>
          <t/>
        </is>
      </c>
      <c r="BN47" s="78" t="inlineStr">
        <is>
          <t/>
        </is>
      </c>
      <c r="BO47" s="79" t="inlineStr">
        <is>
          <t/>
        </is>
      </c>
      <c r="BP47" s="80" t="inlineStr">
        <is>
          <t/>
        </is>
      </c>
      <c r="BQ47" s="81" t="inlineStr">
        <is>
          <t/>
        </is>
      </c>
      <c r="BR47" s="82" t="inlineStr">
        <is>
          <t/>
        </is>
      </c>
      <c r="BS47" s="83" t="inlineStr">
        <is>
          <t/>
        </is>
      </c>
      <c r="BT47" s="84" t="inlineStr">
        <is>
          <t/>
        </is>
      </c>
      <c r="BU47" s="85" t="inlineStr">
        <is>
          <t/>
        </is>
      </c>
      <c r="BV47" s="86" t="inlineStr">
        <is>
          <t/>
        </is>
      </c>
      <c r="BW47" s="87" t="inlineStr">
        <is>
          <t/>
        </is>
      </c>
      <c r="BX47" s="88" t="inlineStr">
        <is>
          <t/>
        </is>
      </c>
      <c r="BY47" s="89" t="inlineStr">
        <is>
          <t/>
        </is>
      </c>
      <c r="BZ47" s="90" t="inlineStr">
        <is>
          <t/>
        </is>
      </c>
      <c r="CA47" s="91" t="inlineStr">
        <is>
          <t/>
        </is>
      </c>
      <c r="CB47" s="92" t="inlineStr">
        <is>
          <t/>
        </is>
      </c>
      <c r="CC47" s="93" t="inlineStr">
        <is>
          <t/>
        </is>
      </c>
      <c r="CD47" s="94" t="inlineStr">
        <is>
          <t/>
        </is>
      </c>
      <c r="CE47" s="95" t="inlineStr">
        <is>
          <t/>
        </is>
      </c>
      <c r="CF47" s="96" t="inlineStr">
        <is>
          <t/>
        </is>
      </c>
      <c r="CG47" s="97" t="inlineStr">
        <is>
          <t/>
        </is>
      </c>
      <c r="CH47" s="98" t="inlineStr">
        <is>
          <t/>
        </is>
      </c>
      <c r="CI47" s="99" t="inlineStr">
        <is>
          <t/>
        </is>
      </c>
      <c r="CJ47" s="100" t="inlineStr">
        <is>
          <t/>
        </is>
      </c>
      <c r="CK47" s="101" t="inlineStr">
        <is>
          <t/>
        </is>
      </c>
      <c r="CL47" s="102" t="inlineStr">
        <is>
          <t/>
        </is>
      </c>
      <c r="CM47" s="103" t="inlineStr">
        <is>
          <t/>
        </is>
      </c>
      <c r="CN47" s="104" t="n">
        <v>-2.97</v>
      </c>
      <c r="CO47" s="105" t="n">
        <v>2.0</v>
      </c>
      <c r="CP47" s="106" t="n">
        <v>-0.03</v>
      </c>
      <c r="CQ47" s="107" t="n">
        <v>-0.92</v>
      </c>
      <c r="CR47" s="108" t="n">
        <v>-6.29</v>
      </c>
      <c r="CS47" s="109" t="n">
        <v>1.0</v>
      </c>
      <c r="CT47" s="110" t="n">
        <v>0.34</v>
      </c>
      <c r="CU47" s="111" t="n">
        <v>91.0</v>
      </c>
      <c r="CV47" s="112" t="n">
        <v>-3.28</v>
      </c>
      <c r="CW47" s="113" t="n">
        <v>15.0</v>
      </c>
      <c r="CX47" s="114" t="n">
        <v>-9.29</v>
      </c>
      <c r="CY47" s="115" t="n">
        <v>1.0</v>
      </c>
      <c r="CZ47" s="116" t="n">
        <v>0.34</v>
      </c>
      <c r="DA47" s="117" t="n">
        <v>92.0</v>
      </c>
      <c r="DB47" s="118" t="n">
        <v>8.28</v>
      </c>
      <c r="DC47" s="119" t="n">
        <v>88.0</v>
      </c>
      <c r="DD47" s="120" t="n">
        <v>0.87</v>
      </c>
      <c r="DE47" s="121" t="n">
        <v>11.76</v>
      </c>
      <c r="DF47" s="122" t="n">
        <v>13.86</v>
      </c>
      <c r="DG47" s="123" t="n">
        <v>92.0</v>
      </c>
      <c r="DH47" s="124" t="n">
        <v>2.69</v>
      </c>
      <c r="DI47" s="125" t="n">
        <v>68.0</v>
      </c>
      <c r="DJ47" s="126" t="n">
        <v>13.67</v>
      </c>
      <c r="DK47" s="127" t="n">
        <v>88.0</v>
      </c>
      <c r="DL47" s="128" t="n">
        <v>14.06</v>
      </c>
      <c r="DM47" s="129" t="n">
        <v>91.0</v>
      </c>
      <c r="DN47" s="130" t="n">
        <v>2.69</v>
      </c>
      <c r="DO47" s="131" t="n">
        <v>69.0</v>
      </c>
      <c r="DP47" s="132" t="n">
        <v>9795.0</v>
      </c>
      <c r="DQ47" s="133" t="n">
        <v>-455.0</v>
      </c>
      <c r="DR47" s="134" t="n">
        <v>-4.44</v>
      </c>
      <c r="DS47" s="135" t="n">
        <v>478.0</v>
      </c>
      <c r="DT47" s="136" t="n">
        <v>0.0</v>
      </c>
      <c r="DU47" s="137" t="n">
        <v>0.0</v>
      </c>
      <c r="DV47" s="138" t="n">
        <v>963.0</v>
      </c>
      <c r="DW47" s="139" t="n">
        <v>1.0</v>
      </c>
      <c r="DX47" s="140" t="n">
        <v>0.1</v>
      </c>
      <c r="DY47" s="141" t="inlineStr">
        <is>
          <t>PitchBook Research</t>
        </is>
      </c>
      <c r="DZ47" s="142" t="n">
        <v>43472.0</v>
      </c>
      <c r="EA47" s="143" t="inlineStr">
        <is>
          <t/>
        </is>
      </c>
      <c r="EB47" s="144" t="inlineStr">
        <is>
          <t/>
        </is>
      </c>
      <c r="EC47" s="145" t="inlineStr">
        <is>
          <t/>
        </is>
      </c>
      <c r="ED47" s="547">
        <f>HYPERLINK("https://my.pitchbook.com?c=176475-16", "View company online")</f>
      </c>
    </row>
    <row r="48">
      <c r="A48" s="147" t="inlineStr">
        <is>
          <t>41462-65</t>
        </is>
      </c>
      <c r="B48" s="148" t="inlineStr">
        <is>
          <t>Tapestry (New York) (NYS: TPR)</t>
        </is>
      </c>
      <c r="C48" s="149" t="inlineStr">
        <is>
          <t>Coach</t>
        </is>
      </c>
      <c r="D48" s="150" t="inlineStr">
        <is>
          <t/>
        </is>
      </c>
      <c r="E48" s="151" t="inlineStr">
        <is>
          <t>41462-65</t>
        </is>
      </c>
      <c r="F48" s="152" t="inlineStr">
        <is>
          <t>Tapestry is a designer and retailer of handbags, apparel, footwear, and accessories. Approximately 57% of sales came from North American Coach retail and wholesale distribution in fiscal 2018. Coach also sells its products through international-owned retail, foreign department stores, and international wholesale-serviced specialty shops. Acquisitions include strong brands like Stuart Weitzman (6% of revenue in fiscal 2018) and Kate Spade (22% of revenue in fiscal 2018).</t>
        </is>
      </c>
      <c r="G48" s="153" t="inlineStr">
        <is>
          <t>Consumer Products and Services (B2C)</t>
        </is>
      </c>
      <c r="H48" s="154" t="inlineStr">
        <is>
          <t>Apparel and Accessories</t>
        </is>
      </c>
      <c r="I48" s="155" t="inlineStr">
        <is>
          <t>Accessories</t>
        </is>
      </c>
      <c r="J48" s="156" t="inlineStr">
        <is>
          <t>Accessories*, Clothing, Luxury Goods</t>
        </is>
      </c>
      <c r="K48" s="157" t="inlineStr">
        <is>
          <t/>
        </is>
      </c>
      <c r="L48" s="158" t="inlineStr">
        <is>
          <t>footwear, handbag, leather goods, luggage, purse</t>
        </is>
      </c>
      <c r="M48" s="159" t="inlineStr">
        <is>
          <t>Corporate Backed or Acquired</t>
        </is>
      </c>
      <c r="N48" s="160" t="n">
        <v>118.08</v>
      </c>
      <c r="O48" s="161" t="inlineStr">
        <is>
          <t>Profitable</t>
        </is>
      </c>
      <c r="P48" s="162" t="inlineStr">
        <is>
          <t>Publicly Held</t>
        </is>
      </c>
      <c r="Q48" s="163" t="inlineStr">
        <is>
          <t>M&amp;A, Publicly Listed</t>
        </is>
      </c>
      <c r="R48" s="164" t="inlineStr">
        <is>
          <t>www.tapestry.com</t>
        </is>
      </c>
      <c r="S48" s="165" t="n">
        <v>20800.0</v>
      </c>
      <c r="T48" s="166" t="inlineStr">
        <is>
          <t>2000: 3600, 2001: 2700, 2002: 2900, 2003: 3200, 2004: 4200, 2005: 5700, 2006: 7500, 2007: 10100, 2008: 12000, 2009: 12000, 2010: 13000, 2011: 15000, 2012: 18000, 2013: 17200, 2014: 17200, 2015: 15800, 2016: 15100, 2017: 14400, 2018: 20800</t>
        </is>
      </c>
      <c r="U48" s="167" t="inlineStr">
        <is>
          <t>NYS</t>
        </is>
      </c>
      <c r="V48" s="168" t="inlineStr">
        <is>
          <t>TPR</t>
        </is>
      </c>
      <c r="W48" s="169" t="n">
        <v>1941.0</v>
      </c>
      <c r="X48" s="170" t="inlineStr">
        <is>
          <t/>
        </is>
      </c>
      <c r="Y48" s="171" t="inlineStr">
        <is>
          <t/>
        </is>
      </c>
      <c r="Z48" s="172" t="inlineStr">
        <is>
          <t/>
        </is>
      </c>
      <c r="AA48" s="173" t="n">
        <v>5988.1</v>
      </c>
      <c r="AB48" s="174" t="n">
        <v>4050.7</v>
      </c>
      <c r="AC48" s="175" t="n">
        <v>729.1</v>
      </c>
      <c r="AD48" s="176" t="n">
        <v>10318.61</v>
      </c>
      <c r="AE48" s="177" t="n">
        <v>1144.9</v>
      </c>
      <c r="AF48" s="178" t="inlineStr">
        <is>
          <t>TTM 2Q2019</t>
        </is>
      </c>
      <c r="AG48" s="179" t="n">
        <v>884.6</v>
      </c>
      <c r="AH48" s="180" t="n">
        <v>8969.02</v>
      </c>
      <c r="AI48" s="181" t="n">
        <v>106.5</v>
      </c>
      <c r="AJ48" s="182" t="inlineStr">
        <is>
          <t>32795-65P</t>
        </is>
      </c>
      <c r="AK48" s="183" t="inlineStr">
        <is>
          <t>Kevin Wills</t>
        </is>
      </c>
      <c r="AL48" s="184" t="inlineStr">
        <is>
          <t>Chief Financial Officer</t>
        </is>
      </c>
      <c r="AM48" s="185" t="inlineStr">
        <is>
          <t>kwills@coach.com</t>
        </is>
      </c>
      <c r="AN48" s="186" t="inlineStr">
        <is>
          <t>+1 (212) 845-4031</t>
        </is>
      </c>
      <c r="AO48" s="187" t="inlineStr">
        <is>
          <t>New York, NY</t>
        </is>
      </c>
      <c r="AP48" s="188" t="inlineStr">
        <is>
          <t>10 Hudson Yards</t>
        </is>
      </c>
      <c r="AQ48" s="189" t="inlineStr">
        <is>
          <t/>
        </is>
      </c>
      <c r="AR48" s="190" t="inlineStr">
        <is>
          <t>New York</t>
        </is>
      </c>
      <c r="AS48" s="191" t="inlineStr">
        <is>
          <t>New York</t>
        </is>
      </c>
      <c r="AT48" s="192" t="inlineStr">
        <is>
          <t>10001</t>
        </is>
      </c>
      <c r="AU48" s="193" t="inlineStr">
        <is>
          <t>United States</t>
        </is>
      </c>
      <c r="AV48" s="194" t="inlineStr">
        <is>
          <t>+1 (212) 594-1850</t>
        </is>
      </c>
      <c r="AW48" s="195" t="inlineStr">
        <is>
          <t>+1 (212) 594-1682</t>
        </is>
      </c>
      <c r="AX48" s="196" t="inlineStr">
        <is>
          <t/>
        </is>
      </c>
      <c r="AY48" s="197" t="inlineStr">
        <is>
          <t>Americas</t>
        </is>
      </c>
      <c r="AZ48" s="198" t="inlineStr">
        <is>
          <t>North America</t>
        </is>
      </c>
      <c r="BA48" s="199" t="inlineStr">
        <is>
          <t>The company raised $118.08 million in its initial public offering on the New York stock exchange under the ticker symbol of COH on October 5, 2000. A total of 7,380,000 shares were sold at $16 per share. After the offering, there was a total of 42,406,333 outstanding shares (excluding the over-allotment option) priced at $16 per share, valuing the company at $678.5 million. The company intends to use the net proceeds to repay a portion of the note payable to a subsidiary of Sara Lee.</t>
        </is>
      </c>
      <c r="BB48" s="200" t="inlineStr">
        <is>
          <t/>
        </is>
      </c>
      <c r="BC48" s="201" t="inlineStr">
        <is>
          <t/>
        </is>
      </c>
      <c r="BD48" s="202" t="inlineStr">
        <is>
          <t>Kitchens of Sara Lee</t>
        </is>
      </c>
      <c r="BE48" s="203" t="inlineStr">
        <is>
          <t/>
        </is>
      </c>
      <c r="BF48" s="204" t="inlineStr">
        <is>
          <t/>
        </is>
      </c>
      <c r="BG48" s="205" t="inlineStr">
        <is>
          <t/>
        </is>
      </c>
      <c r="BH48" s="206" t="inlineStr">
        <is>
          <t/>
        </is>
      </c>
      <c r="BI48" s="207" t="inlineStr">
        <is>
          <t/>
        </is>
      </c>
      <c r="BJ48" s="208" t="inlineStr">
        <is>
          <t>Brainerd Communicators(Advisor: Communications), Crenshaw Associates(Consulting), Herbert Mines Associates(Placement Agent), Telsey Advisory Group(Advisor: General), The Abernathy MacGregor Group(Advisor: Communications), Winthrop Group(Consulting)</t>
        </is>
      </c>
      <c r="BK48" s="209" t="inlineStr">
        <is>
          <t>Andersen Global(Accounting), Ballard Spahr(Legal Advisor), Bear Stearns(Underwriter), M R Beal &amp; Co(Underwriter), Morgan Stanley(Underwriter), Prudential Equity Group(Underwriter), Salomon Brothers(Underwriter), Samuel A. Ramirez &amp; Company(Underwriter), Skadden, Arps, Slate, Meagher &amp; Flom(Legal Advisor), The Goldman Sachs Group(Underwriter), The Williams Capital Group(Underwriter), Wachovia Bank(Underwriter), William Blair &amp; Company(Underwriter)</t>
        </is>
      </c>
      <c r="BL48" s="210" t="n">
        <v>31048.0</v>
      </c>
      <c r="BM48" s="211" t="inlineStr">
        <is>
          <t/>
        </is>
      </c>
      <c r="BN48" s="212" t="inlineStr">
        <is>
          <t/>
        </is>
      </c>
      <c r="BO48" s="213" t="inlineStr">
        <is>
          <t/>
        </is>
      </c>
      <c r="BP48" s="214" t="inlineStr">
        <is>
          <t/>
        </is>
      </c>
      <c r="BQ48" s="215" t="inlineStr">
        <is>
          <t>Merger/Acquisition</t>
        </is>
      </c>
      <c r="BR48" s="216" t="inlineStr">
        <is>
          <t/>
        </is>
      </c>
      <c r="BS48" s="217" t="inlineStr">
        <is>
          <t/>
        </is>
      </c>
      <c r="BT48" s="218" t="inlineStr">
        <is>
          <t>Corporate</t>
        </is>
      </c>
      <c r="BU48" s="219" t="inlineStr">
        <is>
          <t/>
        </is>
      </c>
      <c r="BV48" s="220" t="inlineStr">
        <is>
          <t/>
        </is>
      </c>
      <c r="BW48" s="221" t="inlineStr">
        <is>
          <t/>
        </is>
      </c>
      <c r="BX48" s="222" t="inlineStr">
        <is>
          <t>Completed</t>
        </is>
      </c>
      <c r="BY48" s="223" t="n">
        <v>36804.0</v>
      </c>
      <c r="BZ48" s="224" t="n">
        <v>118.08</v>
      </c>
      <c r="CA48" s="225" t="inlineStr">
        <is>
          <t>Actual</t>
        </is>
      </c>
      <c r="CB48" s="226" t="n">
        <v>678.5</v>
      </c>
      <c r="CC48" s="227" t="inlineStr">
        <is>
          <t>Estimated</t>
        </is>
      </c>
      <c r="CD48" s="228" t="inlineStr">
        <is>
          <t>IPO</t>
        </is>
      </c>
      <c r="CE48" s="229" t="inlineStr">
        <is>
          <t/>
        </is>
      </c>
      <c r="CF48" s="230" t="inlineStr">
        <is>
          <t/>
        </is>
      </c>
      <c r="CG48" s="231" t="inlineStr">
        <is>
          <t>Public Investment</t>
        </is>
      </c>
      <c r="CH48" s="232" t="inlineStr">
        <is>
          <t/>
        </is>
      </c>
      <c r="CI48" s="233" t="inlineStr">
        <is>
          <t/>
        </is>
      </c>
      <c r="CJ48" s="234" t="inlineStr">
        <is>
          <t/>
        </is>
      </c>
      <c r="CK48" s="235" t="inlineStr">
        <is>
          <t>Completed</t>
        </is>
      </c>
      <c r="CL48" s="236" t="inlineStr">
        <is>
          <t/>
        </is>
      </c>
      <c r="CM48" s="237" t="inlineStr">
        <is>
          <t/>
        </is>
      </c>
      <c r="CN48" s="238" t="n">
        <v>-0.39</v>
      </c>
      <c r="CO48" s="239" t="n">
        <v>8.0</v>
      </c>
      <c r="CP48" s="240" t="n">
        <v>-0.14</v>
      </c>
      <c r="CQ48" s="241" t="n">
        <v>-57.74</v>
      </c>
      <c r="CR48" s="242" t="n">
        <v>-0.75</v>
      </c>
      <c r="CS48" s="243" t="n">
        <v>7.0</v>
      </c>
      <c r="CT48" s="244" t="n">
        <v>-0.03</v>
      </c>
      <c r="CU48" s="245" t="n">
        <v>20.0</v>
      </c>
      <c r="CV48" s="246" t="n">
        <v>-2.7</v>
      </c>
      <c r="CW48" s="247" t="n">
        <v>17.0</v>
      </c>
      <c r="CX48" s="248" t="n">
        <v>1.2</v>
      </c>
      <c r="CY48" s="249" t="n">
        <v>98.0</v>
      </c>
      <c r="CZ48" s="250" t="n">
        <v>-0.03</v>
      </c>
      <c r="DA48" s="251" t="n">
        <v>23.0</v>
      </c>
      <c r="DB48" s="252" t="n">
        <v>892.81</v>
      </c>
      <c r="DC48" s="253" t="n">
        <v>100.0</v>
      </c>
      <c r="DD48" s="254" t="n">
        <v>5.84</v>
      </c>
      <c r="DE48" s="255" t="n">
        <v>0.66</v>
      </c>
      <c r="DF48" s="256" t="n">
        <v>17.33</v>
      </c>
      <c r="DG48" s="257" t="n">
        <v>93.0</v>
      </c>
      <c r="DH48" s="258" t="n">
        <v>1768.3</v>
      </c>
      <c r="DI48" s="259" t="n">
        <v>100.0</v>
      </c>
      <c r="DJ48" s="260" t="n">
        <v>8.36</v>
      </c>
      <c r="DK48" s="261" t="n">
        <v>84.0</v>
      </c>
      <c r="DL48" s="262" t="n">
        <v>26.29</v>
      </c>
      <c r="DM48" s="263" t="n">
        <v>95.0</v>
      </c>
      <c r="DN48" s="264" t="n">
        <v>1768.3</v>
      </c>
      <c r="DO48" s="265" t="n">
        <v>100.0</v>
      </c>
      <c r="DP48" s="266" t="n">
        <v>6000.0</v>
      </c>
      <c r="DQ48" s="267" t="n">
        <v>-348.0</v>
      </c>
      <c r="DR48" s="268" t="n">
        <v>-5.48</v>
      </c>
      <c r="DS48" s="269" t="n">
        <v>886.0</v>
      </c>
      <c r="DT48" s="270" t="n">
        <v>10.0</v>
      </c>
      <c r="DU48" s="271" t="n">
        <v>1.14</v>
      </c>
      <c r="DV48" s="272" t="n">
        <v>635022.0</v>
      </c>
      <c r="DW48" s="273" t="n">
        <v>-693.0</v>
      </c>
      <c r="DX48" s="274" t="n">
        <v>-0.11</v>
      </c>
      <c r="DY48" s="275" t="inlineStr">
        <is>
          <t>PitchBook Research</t>
        </is>
      </c>
      <c r="DZ48" s="276" t="n">
        <v>43492.0</v>
      </c>
      <c r="EA48" s="277" t="n">
        <v>678.5</v>
      </c>
      <c r="EB48" s="278" t="n">
        <v>36804.0</v>
      </c>
      <c r="EC48" s="279" t="inlineStr">
        <is>
          <t>IPO</t>
        </is>
      </c>
      <c r="ED48" s="548">
        <f>HYPERLINK("https://my.pitchbook.com?c=41462-65", "View company online")</f>
      </c>
    </row>
    <row r="49">
      <c r="A49" s="13" t="inlineStr">
        <is>
          <t>53796-70</t>
        </is>
      </c>
      <c r="B49" s="14" t="inlineStr">
        <is>
          <t>Zalando (ETR: ZAL)</t>
        </is>
      </c>
      <c r="C49" s="15" t="inlineStr">
        <is>
          <t>Ifansho</t>
        </is>
      </c>
      <c r="D49" s="16" t="inlineStr">
        <is>
          <t/>
        </is>
      </c>
      <c r="E49" s="17" t="inlineStr">
        <is>
          <t>53796-70</t>
        </is>
      </c>
      <c r="F49" s="18" t="inlineStr">
        <is>
          <t>Zalando, founded in 2008, is Europe's biggest pure-play online fashion platform. Zalando is present in 15 European countries, and its major market is the DACH region, comprising Germany, Austria, and Switzerland, which accounts for slightly less than half of revenue. The company commands slightly over 1% of European apparel sales and 8% market share in European online apparel sales. It has eight fulfilment centres (with an additional three under construction) and presents around 2,000 brands on its platform. It mainly sells third-party brands, but own labels contribute a midteens percentage of revenue. In 2017, Zalando had 23 million active users (5% of the population in countries where the firm has a presence and 10% of the population in the core DACH region) and 2.6 billion site visits.</t>
        </is>
      </c>
      <c r="G49" s="19" t="inlineStr">
        <is>
          <t>Consumer Products and Services (B2C)</t>
        </is>
      </c>
      <c r="H49" s="20" t="inlineStr">
        <is>
          <t>Retail</t>
        </is>
      </c>
      <c r="I49" s="21" t="inlineStr">
        <is>
          <t>Internet Retail</t>
        </is>
      </c>
      <c r="J49" s="22" t="inlineStr">
        <is>
          <t>Clothing, Internet Retail*, Other Apparel</t>
        </is>
      </c>
      <c r="K49" s="23" t="inlineStr">
        <is>
          <t>E-Commerce, TMT</t>
        </is>
      </c>
      <c r="L49" s="24" t="inlineStr">
        <is>
          <t>crosses platform stores, fashion accessories, multi-service platform, online apparel, online market pace</t>
        </is>
      </c>
      <c r="M49" s="25" t="inlineStr">
        <is>
          <t>Corporate Backed or Acquired</t>
        </is>
      </c>
      <c r="N49" s="26" t="n">
        <v>834.05</v>
      </c>
      <c r="O49" s="27" t="inlineStr">
        <is>
          <t>Profitable</t>
        </is>
      </c>
      <c r="P49" s="28" t="inlineStr">
        <is>
          <t>Publicly Held</t>
        </is>
      </c>
      <c r="Q49" s="29" t="inlineStr">
        <is>
          <t>Debt Financed, M&amp;A, Publicly Listed, Venture Capital</t>
        </is>
      </c>
      <c r="R49" s="30" t="inlineStr">
        <is>
          <t>www.zalando.com</t>
        </is>
      </c>
      <c r="S49" s="31" t="n">
        <v>15418.0</v>
      </c>
      <c r="T49" s="32" t="inlineStr">
        <is>
          <t>2014: 7588, 2015: 9987, 2016: 11998, 2017: 15091, 2018: 15418</t>
        </is>
      </c>
      <c r="U49" s="33" t="inlineStr">
        <is>
          <t>ETR</t>
        </is>
      </c>
      <c r="V49" s="34" t="inlineStr">
        <is>
          <t>ZAL</t>
        </is>
      </c>
      <c r="W49" s="35" t="n">
        <v>2008.0</v>
      </c>
      <c r="X49" s="36" t="inlineStr">
        <is>
          <t/>
        </is>
      </c>
      <c r="Y49" s="37" t="inlineStr">
        <is>
          <t/>
        </is>
      </c>
      <c r="Z49" s="38" t="inlineStr">
        <is>
          <t/>
        </is>
      </c>
      <c r="AA49" s="39" t="n">
        <v>5885.62</v>
      </c>
      <c r="AB49" s="40" t="n">
        <v>2529.82</v>
      </c>
      <c r="AC49" s="41" t="n">
        <v>103.77</v>
      </c>
      <c r="AD49" s="42" t="n">
        <v>12455.15</v>
      </c>
      <c r="AE49" s="43" t="n">
        <v>218.15</v>
      </c>
      <c r="AF49" s="44" t="inlineStr">
        <is>
          <t>TTM 2Q2018</t>
        </is>
      </c>
      <c r="AG49" s="45" t="n">
        <v>200.02</v>
      </c>
      <c r="AH49" s="46" t="n">
        <v>9618.88</v>
      </c>
      <c r="AI49" s="47" t="n">
        <v>-1149.39</v>
      </c>
      <c r="AJ49" s="48" t="inlineStr">
        <is>
          <t>51425-29P</t>
        </is>
      </c>
      <c r="AK49" s="49" t="inlineStr">
        <is>
          <t>Robert Gentz</t>
        </is>
      </c>
      <c r="AL49" s="50" t="inlineStr">
        <is>
          <t>Co-Founder &amp; Co-Chief Executive Officer</t>
        </is>
      </c>
      <c r="AM49" s="51" t="inlineStr">
        <is>
          <t>robert@zalando.de</t>
        </is>
      </c>
      <c r="AN49" s="52" t="inlineStr">
        <is>
          <t>+49 (0)30 2759 4693</t>
        </is>
      </c>
      <c r="AO49" s="53" t="inlineStr">
        <is>
          <t>Berlin, Germany</t>
        </is>
      </c>
      <c r="AP49" s="54" t="inlineStr">
        <is>
          <t>Tamara-Danz-Straße 1</t>
        </is>
      </c>
      <c r="AQ49" s="55" t="inlineStr">
        <is>
          <t/>
        </is>
      </c>
      <c r="AR49" s="56" t="inlineStr">
        <is>
          <t>Berlin</t>
        </is>
      </c>
      <c r="AS49" s="57" t="inlineStr">
        <is>
          <t/>
        </is>
      </c>
      <c r="AT49" s="58" t="inlineStr">
        <is>
          <t>10243</t>
        </is>
      </c>
      <c r="AU49" s="59" t="inlineStr">
        <is>
          <t>Germany</t>
        </is>
      </c>
      <c r="AV49" s="60" t="inlineStr">
        <is>
          <t>+49 (0)30 2759 4693</t>
        </is>
      </c>
      <c r="AW49" s="61" t="inlineStr">
        <is>
          <t>+49 (0)30 2759 4693</t>
        </is>
      </c>
      <c r="AX49" s="62" t="inlineStr">
        <is>
          <t/>
        </is>
      </c>
      <c r="AY49" s="63" t="inlineStr">
        <is>
          <t>Europe</t>
        </is>
      </c>
      <c r="AZ49" s="64" t="inlineStr">
        <is>
          <t>Western Europe</t>
        </is>
      </c>
      <c r="BA49" s="65" t="inlineStr">
        <is>
          <t>Global Founders Capital, Holtzbrinck Ventures, AI European Holdings and Rocket Internet sold 17,900,000 shares of the company's (FRA:ZAL) common stock at a price of EUR 23.75 per share for EUR 425.12 million on March 11, 2015, putting the company's pre-money valuation at EUR 5823 million.</t>
        </is>
      </c>
      <c r="BB49" s="66" t="inlineStr">
        <is>
          <t>Bestseller</t>
        </is>
      </c>
      <c r="BC49" s="67" t="n">
        <v>1.0</v>
      </c>
      <c r="BD49" s="68" t="inlineStr">
        <is>
          <t/>
        </is>
      </c>
      <c r="BE49" s="69" t="inlineStr">
        <is>
          <t>Access Technology Ventures, AI European Holdings, DST Global, Felix Jahn, Florian Heinemann, Global Founders Capital, HV Holtzbrinck Ventures, Individual Investor, JP Morgan Asset Management, Kinnevik, Ontario Teachers' Pension Plan, Quadrant Capital Advisors, Rocket Internet, SevenVentures, Tengelmann Ventures, Verdere</t>
        </is>
      </c>
      <c r="BF49" s="70" t="inlineStr">
        <is>
          <t/>
        </is>
      </c>
      <c r="BG49" s="71" t="inlineStr">
        <is>
          <t>Bestseller(www.about.bestseller.com)</t>
        </is>
      </c>
      <c r="BH49" s="72" t="inlineStr">
        <is>
          <t>Access Technology Ventures(www.accesstechnologyventures.com), DST Global(www.dst-global.com), Global Founders Capital(www.globalfounders.vc), HV Holtzbrinck Ventures(www.hvventures.com), JP Morgan Asset Management(www.am.jpmorgan.com), Ontario Teachers' Pension Plan(www.otpp.com), Rocket Internet(www.rocket-internet.com), SevenVentures(www.sevenventures.de), Tengelmann Ventures(www.tev.de)</t>
        </is>
      </c>
      <c r="BI49" s="73" t="inlineStr">
        <is>
          <t/>
        </is>
      </c>
      <c r="BJ49" s="74" t="inlineStr">
        <is>
          <t>Business Sweden(Consulting), ByrneWallace(Legal Advisor), Hoesch &amp; Partner(Advisor: General), MadsenScripps(Consulting), Parker Remick(Consulting)</t>
        </is>
      </c>
      <c r="BK49" s="75" t="inlineStr">
        <is>
          <t>Commerzbank(Debt Financing), Credit Suisse(Underwriter), Deutsche Bank(Underwriter), Freshfields Bruckhaus Deringer(Legal Advisor), J.P. Morgan(Advisor: General), Jefferies Group(Underwriter), KfW Group(Debt Financing), Morgan Stanley(Advisor: General), Sparkasse Mittelthüringen(Debt Financing), Stifel Financial(Underwriter), The Goldman Sachs Group(Advisor: General)</t>
        </is>
      </c>
      <c r="BL49" s="76" t="n">
        <v>40234.0</v>
      </c>
      <c r="BM49" s="77" t="inlineStr">
        <is>
          <t/>
        </is>
      </c>
      <c r="BN49" s="78" t="inlineStr">
        <is>
          <t/>
        </is>
      </c>
      <c r="BO49" s="79" t="inlineStr">
        <is>
          <t/>
        </is>
      </c>
      <c r="BP49" s="80" t="inlineStr">
        <is>
          <t/>
        </is>
      </c>
      <c r="BQ49" s="81" t="inlineStr">
        <is>
          <t>Early Stage VC</t>
        </is>
      </c>
      <c r="BR49" s="82" t="inlineStr">
        <is>
          <t/>
        </is>
      </c>
      <c r="BS49" s="83" t="inlineStr">
        <is>
          <t/>
        </is>
      </c>
      <c r="BT49" s="84" t="inlineStr">
        <is>
          <t>Venture Capital</t>
        </is>
      </c>
      <c r="BU49" s="85" t="inlineStr">
        <is>
          <t/>
        </is>
      </c>
      <c r="BV49" s="86" t="inlineStr">
        <is>
          <t/>
        </is>
      </c>
      <c r="BW49" s="87" t="inlineStr">
        <is>
          <t/>
        </is>
      </c>
      <c r="BX49" s="88" t="inlineStr">
        <is>
          <t>Completed</t>
        </is>
      </c>
      <c r="BY49" s="89" t="n">
        <v>42074.0</v>
      </c>
      <c r="BZ49" s="90" t="n">
        <v>460.74</v>
      </c>
      <c r="CA49" s="91" t="inlineStr">
        <is>
          <t>Actual</t>
        </is>
      </c>
      <c r="CB49" s="92" t="n">
        <v>6310.76</v>
      </c>
      <c r="CC49" s="93" t="inlineStr">
        <is>
          <t>Estimated</t>
        </is>
      </c>
      <c r="CD49" s="94" t="inlineStr">
        <is>
          <t>Secondary Transaction - Open Market</t>
        </is>
      </c>
      <c r="CE49" s="95" t="inlineStr">
        <is>
          <t/>
        </is>
      </c>
      <c r="CF49" s="96" t="inlineStr">
        <is>
          <t/>
        </is>
      </c>
      <c r="CG49" s="97" t="inlineStr">
        <is>
          <t>Corporate</t>
        </is>
      </c>
      <c r="CH49" s="98" t="inlineStr">
        <is>
          <t/>
        </is>
      </c>
      <c r="CI49" s="99" t="inlineStr">
        <is>
          <t/>
        </is>
      </c>
      <c r="CJ49" s="100" t="inlineStr">
        <is>
          <t/>
        </is>
      </c>
      <c r="CK49" s="101" t="inlineStr">
        <is>
          <t>Completed</t>
        </is>
      </c>
      <c r="CL49" s="102" t="n">
        <v>41183.0</v>
      </c>
      <c r="CM49" s="103" t="n">
        <v>52.79</v>
      </c>
      <c r="CN49" s="104" t="n">
        <v>0.07</v>
      </c>
      <c r="CO49" s="105" t="n">
        <v>83.0</v>
      </c>
      <c r="CP49" s="106" t="n">
        <v>-0.01</v>
      </c>
      <c r="CQ49" s="107" t="n">
        <v>-7.36</v>
      </c>
      <c r="CR49" s="108" t="n">
        <v>0.0</v>
      </c>
      <c r="CS49" s="109" t="n">
        <v>14.0</v>
      </c>
      <c r="CT49" s="110" t="n">
        <v>0.13</v>
      </c>
      <c r="CU49" s="111" t="n">
        <v>77.0</v>
      </c>
      <c r="CV49" s="112" t="n">
        <v>0.0</v>
      </c>
      <c r="CW49" s="113" t="n">
        <v>33.0</v>
      </c>
      <c r="CX49" s="114" t="n">
        <v>0.0</v>
      </c>
      <c r="CY49" s="115" t="n">
        <v>11.0</v>
      </c>
      <c r="CZ49" s="116" t="n">
        <v>0.13</v>
      </c>
      <c r="DA49" s="117" t="n">
        <v>80.0</v>
      </c>
      <c r="DB49" s="118" t="n">
        <v>29.22</v>
      </c>
      <c r="DC49" s="119" t="n">
        <v>96.0</v>
      </c>
      <c r="DD49" s="120" t="n">
        <v>0.24</v>
      </c>
      <c r="DE49" s="121" t="n">
        <v>0.82</v>
      </c>
      <c r="DF49" s="122" t="n">
        <v>0.71</v>
      </c>
      <c r="DG49" s="123" t="n">
        <v>42.0</v>
      </c>
      <c r="DH49" s="124" t="n">
        <v>57.74</v>
      </c>
      <c r="DI49" s="125" t="n">
        <v>96.0</v>
      </c>
      <c r="DJ49" s="126" t="n">
        <v>0.34</v>
      </c>
      <c r="DK49" s="127" t="n">
        <v>25.0</v>
      </c>
      <c r="DL49" s="128" t="n">
        <v>1.09</v>
      </c>
      <c r="DM49" s="129" t="n">
        <v>52.0</v>
      </c>
      <c r="DN49" s="130" t="n">
        <v>57.74</v>
      </c>
      <c r="DO49" s="131" t="n">
        <v>97.0</v>
      </c>
      <c r="DP49" s="132" t="n">
        <v>239.0</v>
      </c>
      <c r="DQ49" s="133" t="n">
        <v>4.0</v>
      </c>
      <c r="DR49" s="134" t="n">
        <v>1.7</v>
      </c>
      <c r="DS49" s="135" t="n">
        <v>37.0</v>
      </c>
      <c r="DT49" s="136" t="n">
        <v>-1.0</v>
      </c>
      <c r="DU49" s="137" t="n">
        <v>-2.63</v>
      </c>
      <c r="DV49" s="138" t="n">
        <v>20722.0</v>
      </c>
      <c r="DW49" s="139" t="n">
        <v>18.0</v>
      </c>
      <c r="DX49" s="140" t="n">
        <v>0.09</v>
      </c>
      <c r="DY49" s="141" t="inlineStr">
        <is>
          <t>PitchBook Research</t>
        </is>
      </c>
      <c r="DZ49" s="142" t="n">
        <v>43522.0</v>
      </c>
      <c r="EA49" s="143" t="n">
        <v>6310.76</v>
      </c>
      <c r="EB49" s="144" t="n">
        <v>42074.0</v>
      </c>
      <c r="EC49" s="145" t="inlineStr">
        <is>
          <t>Secondary Transaction - Open Market</t>
        </is>
      </c>
      <c r="ED49" s="547">
        <f>HYPERLINK("https://my.pitchbook.com?c=53796-70", "View company online")</f>
      </c>
    </row>
    <row r="50">
      <c r="A50" s="147" t="inlineStr">
        <is>
          <t>64191-43</t>
        </is>
      </c>
      <c r="B50" s="148" t="inlineStr">
        <is>
          <t>Puma</t>
        </is>
      </c>
      <c r="C50" s="149" t="inlineStr">
        <is>
          <t>PUMA Schuhfabrik Rudolf Dassler</t>
        </is>
      </c>
      <c r="D50" s="150" t="inlineStr">
        <is>
          <t/>
        </is>
      </c>
      <c r="E50" s="151" t="inlineStr">
        <is>
          <t>64191-43</t>
        </is>
      </c>
      <c r="F50" s="152" t="inlineStr">
        <is>
          <t>Puma SElls footwear, apparel, and accessories under the Puma and Cobra Golf brand names. Footwear is the company's leading category. Puma also licenses its brand name for fragrances, eyewear, and watches. Nearly a quarter of the company's sales are direct to consumer through Puma's retail stores, factory outlets, and online channel. Remaining sales are wholesale to Puma's retail partners. Most of the company's revenue is generated in the Americas and the Europe, Middle East, and Africa geographic segments.</t>
        </is>
      </c>
      <c r="G50" s="153" t="inlineStr">
        <is>
          <t>Consumer Products and Services (B2C)</t>
        </is>
      </c>
      <c r="H50" s="154" t="inlineStr">
        <is>
          <t>Apparel and Accessories</t>
        </is>
      </c>
      <c r="I50" s="155" t="inlineStr">
        <is>
          <t>Footwear</t>
        </is>
      </c>
      <c r="J50" s="156" t="inlineStr">
        <is>
          <t>Accessories, Clothing, Footwear*</t>
        </is>
      </c>
      <c r="K50" s="157" t="inlineStr">
        <is>
          <t>Manufacturing</t>
        </is>
      </c>
      <c r="L50" s="158" t="inlineStr">
        <is>
          <t>bags, football, football kits, sports wear</t>
        </is>
      </c>
      <c r="M50" s="159" t="inlineStr">
        <is>
          <t>Formerly PE-Backed</t>
        </is>
      </c>
      <c r="N50" s="160" t="n">
        <v>31.58</v>
      </c>
      <c r="O50" s="161" t="inlineStr">
        <is>
          <t>Profitable</t>
        </is>
      </c>
      <c r="P50" s="162" t="inlineStr">
        <is>
          <t>Acquired/Merged</t>
        </is>
      </c>
      <c r="Q50" s="163" t="inlineStr">
        <is>
          <t>M&amp;A, Private Equity, Publicly Listed</t>
        </is>
      </c>
      <c r="R50" s="164" t="inlineStr">
        <is>
          <t>www.puma.com</t>
        </is>
      </c>
      <c r="S50" s="165" t="n">
        <v>13000.0</v>
      </c>
      <c r="T50" s="166" t="inlineStr">
        <is>
          <t>2008: 9503, 2010: 9697, 2011: 10836, 2012: 11290, 2013: 10982, 2014: 11267, 2015: 11351, 2016: 11495, 2017: 11787, 2018: 12192, 2019: 13000</t>
        </is>
      </c>
      <c r="U50" s="167" t="inlineStr">
        <is>
          <t/>
        </is>
      </c>
      <c r="V50" s="168" t="inlineStr">
        <is>
          <t/>
        </is>
      </c>
      <c r="W50" s="169" t="n">
        <v>1948.0</v>
      </c>
      <c r="X50" s="170" t="inlineStr">
        <is>
          <t/>
        </is>
      </c>
      <c r="Y50" s="171" t="inlineStr">
        <is>
          <t/>
        </is>
      </c>
      <c r="Z50" s="172" t="inlineStr">
        <is>
          <t>News (New) , Competitor (New) Ralph Lauren Corporation</t>
        </is>
      </c>
      <c r="AA50" s="173" t="n">
        <v>5485.3</v>
      </c>
      <c r="AB50" s="174" t="n">
        <v>2654.44</v>
      </c>
      <c r="AC50" s="175" t="n">
        <v>221.14</v>
      </c>
      <c r="AD50" s="176" t="n">
        <v>6753.9</v>
      </c>
      <c r="AE50" s="177" t="n">
        <v>479.11</v>
      </c>
      <c r="AF50" s="178" t="inlineStr">
        <is>
          <t>FY 2018</t>
        </is>
      </c>
      <c r="AG50" s="179" t="n">
        <v>382.93</v>
      </c>
      <c r="AH50" s="180" t="n">
        <v>8502.88</v>
      </c>
      <c r="AI50" s="181" t="n">
        <v>-551.13</v>
      </c>
      <c r="AJ50" s="182" t="inlineStr">
        <is>
          <t>84207-79P</t>
        </is>
      </c>
      <c r="AK50" s="183" t="inlineStr">
        <is>
          <t>Bjorn Gulden</t>
        </is>
      </c>
      <c r="AL50" s="184" t="inlineStr">
        <is>
          <t>Chief Executive Officer &amp; Managing Director</t>
        </is>
      </c>
      <c r="AM50" s="185" t="inlineStr">
        <is>
          <t>bjorn.gulden@puma.com</t>
        </is>
      </c>
      <c r="AN50" s="186" t="inlineStr">
        <is>
          <t>+49 (0)91 3281 0</t>
        </is>
      </c>
      <c r="AO50" s="187" t="inlineStr">
        <is>
          <t>Herzogenaurach, Germany</t>
        </is>
      </c>
      <c r="AP50" s="188" t="inlineStr">
        <is>
          <t>Puma Way 1</t>
        </is>
      </c>
      <c r="AQ50" s="189" t="inlineStr">
        <is>
          <t/>
        </is>
      </c>
      <c r="AR50" s="190" t="inlineStr">
        <is>
          <t>Herzogenaurach</t>
        </is>
      </c>
      <c r="AS50" s="191" t="inlineStr">
        <is>
          <t/>
        </is>
      </c>
      <c r="AT50" s="192" t="inlineStr">
        <is>
          <t>91074</t>
        </is>
      </c>
      <c r="AU50" s="193" t="inlineStr">
        <is>
          <t>Germany</t>
        </is>
      </c>
      <c r="AV50" s="194" t="inlineStr">
        <is>
          <t>+49 (0)91 3281 0</t>
        </is>
      </c>
      <c r="AW50" s="195" t="inlineStr">
        <is>
          <t>+49 (0)91 3281 2246</t>
        </is>
      </c>
      <c r="AX50" s="196" t="inlineStr">
        <is>
          <t>info@puma.com</t>
        </is>
      </c>
      <c r="AY50" s="197" t="inlineStr">
        <is>
          <t>Europe</t>
        </is>
      </c>
      <c r="AZ50" s="198" t="inlineStr">
        <is>
          <t>Western Europe</t>
        </is>
      </c>
      <c r="BA50" s="199" t="inlineStr">
        <is>
          <t>The company was spun out of Kering (PAR: KER) for an undisclosed amount on May 16, 2018.</t>
        </is>
      </c>
      <c r="BB50" s="200" t="inlineStr">
        <is>
          <t>Kering</t>
        </is>
      </c>
      <c r="BC50" s="201" t="n">
        <v>1.0</v>
      </c>
      <c r="BD50" s="202" t="inlineStr">
        <is>
          <t/>
        </is>
      </c>
      <c r="BE50" s="203" t="inlineStr">
        <is>
          <t>Monarchy/Regency Enterprises, Proventus</t>
        </is>
      </c>
      <c r="BF50" s="204" t="inlineStr">
        <is>
          <t>VF Corporation</t>
        </is>
      </c>
      <c r="BG50" s="205" t="inlineStr">
        <is>
          <t>Kering(www.kering.com)</t>
        </is>
      </c>
      <c r="BH50" s="206" t="inlineStr">
        <is>
          <t>Proventus(www.proventus.se)</t>
        </is>
      </c>
      <c r="BI50" s="207" t="inlineStr">
        <is>
          <t>VF Corporation(www.vfc.com)</t>
        </is>
      </c>
      <c r="BJ50" s="208" t="inlineStr">
        <is>
          <t>Bowdoin Group(Consulting), Brown Rudnick(Legal Advisor), Bukhash Brothers(Consulting), CEE Attorneys(Legal Advisor), Leydig, Voit &amp; Mayer(Legal Advisor), Miebach Consulting(Consulting), Winthrop Group(Consulting)</t>
        </is>
      </c>
      <c r="BK50" s="209" t="inlineStr">
        <is>
          <t>Freshfields Bruckhaus Deringer(Legal Advisor)</t>
        </is>
      </c>
      <c r="BL50" s="210" t="n">
        <v>31573.0</v>
      </c>
      <c r="BM50" s="211" t="inlineStr">
        <is>
          <t/>
        </is>
      </c>
      <c r="BN50" s="212" t="inlineStr">
        <is>
          <t/>
        </is>
      </c>
      <c r="BO50" s="213" t="inlineStr">
        <is>
          <t/>
        </is>
      </c>
      <c r="BP50" s="214" t="inlineStr">
        <is>
          <t/>
        </is>
      </c>
      <c r="BQ50" s="215" t="inlineStr">
        <is>
          <t>IPO</t>
        </is>
      </c>
      <c r="BR50" s="216" t="inlineStr">
        <is>
          <t/>
        </is>
      </c>
      <c r="BS50" s="217" t="inlineStr">
        <is>
          <t/>
        </is>
      </c>
      <c r="BT50" s="218" t="inlineStr">
        <is>
          <t>Public Investment</t>
        </is>
      </c>
      <c r="BU50" s="219" t="inlineStr">
        <is>
          <t/>
        </is>
      </c>
      <c r="BV50" s="220" t="inlineStr">
        <is>
          <t/>
        </is>
      </c>
      <c r="BW50" s="221" t="inlineStr">
        <is>
          <t/>
        </is>
      </c>
      <c r="BX50" s="222" t="inlineStr">
        <is>
          <t>Completed</t>
        </is>
      </c>
      <c r="BY50" s="223" t="n">
        <v>43236.0</v>
      </c>
      <c r="BZ50" s="224" t="inlineStr">
        <is>
          <t/>
        </is>
      </c>
      <c r="CA50" s="225" t="inlineStr">
        <is>
          <t/>
        </is>
      </c>
      <c r="CB50" s="226" t="inlineStr">
        <is>
          <t/>
        </is>
      </c>
      <c r="CC50" s="227" t="inlineStr">
        <is>
          <t/>
        </is>
      </c>
      <c r="CD50" s="228" t="inlineStr">
        <is>
          <t>Spin-Off</t>
        </is>
      </c>
      <c r="CE50" s="229" t="inlineStr">
        <is>
          <t/>
        </is>
      </c>
      <c r="CF50" s="230" t="inlineStr">
        <is>
          <t/>
        </is>
      </c>
      <c r="CG50" s="231" t="inlineStr">
        <is>
          <t>Public Investment</t>
        </is>
      </c>
      <c r="CH50" s="232" t="inlineStr">
        <is>
          <t/>
        </is>
      </c>
      <c r="CI50" s="233" t="inlineStr">
        <is>
          <t/>
        </is>
      </c>
      <c r="CJ50" s="234" t="inlineStr">
        <is>
          <t/>
        </is>
      </c>
      <c r="CK50" s="235" t="inlineStr">
        <is>
          <t>Completed</t>
        </is>
      </c>
      <c r="CL50" s="236" t="inlineStr">
        <is>
          <t/>
        </is>
      </c>
      <c r="CM50" s="237" t="inlineStr">
        <is>
          <t/>
        </is>
      </c>
      <c r="CN50" s="238" t="inlineStr">
        <is>
          <t/>
        </is>
      </c>
      <c r="CO50" s="239" t="inlineStr">
        <is>
          <t/>
        </is>
      </c>
      <c r="CP50" s="240" t="inlineStr">
        <is>
          <t/>
        </is>
      </c>
      <c r="CQ50" s="241" t="inlineStr">
        <is>
          <t/>
        </is>
      </c>
      <c r="CR50" s="242" t="inlineStr">
        <is>
          <t/>
        </is>
      </c>
      <c r="CS50" s="243" t="inlineStr">
        <is>
          <t/>
        </is>
      </c>
      <c r="CT50" s="244" t="inlineStr">
        <is>
          <t/>
        </is>
      </c>
      <c r="CU50" s="245" t="inlineStr">
        <is>
          <t/>
        </is>
      </c>
      <c r="CV50" s="246" t="inlineStr">
        <is>
          <t/>
        </is>
      </c>
      <c r="CW50" s="247" t="inlineStr">
        <is>
          <t/>
        </is>
      </c>
      <c r="CX50" s="248" t="inlineStr">
        <is>
          <t/>
        </is>
      </c>
      <c r="CY50" s="249" t="inlineStr">
        <is>
          <t/>
        </is>
      </c>
      <c r="CZ50" s="250" t="inlineStr">
        <is>
          <t/>
        </is>
      </c>
      <c r="DA50" s="251" t="inlineStr">
        <is>
          <t/>
        </is>
      </c>
      <c r="DB50" s="252" t="inlineStr">
        <is>
          <t/>
        </is>
      </c>
      <c r="DC50" s="253" t="inlineStr">
        <is>
          <t/>
        </is>
      </c>
      <c r="DD50" s="254" t="inlineStr">
        <is>
          <t/>
        </is>
      </c>
      <c r="DE50" s="255" t="inlineStr">
        <is>
          <t/>
        </is>
      </c>
      <c r="DF50" s="256" t="inlineStr">
        <is>
          <t/>
        </is>
      </c>
      <c r="DG50" s="257" t="inlineStr">
        <is>
          <t/>
        </is>
      </c>
      <c r="DH50" s="258" t="inlineStr">
        <is>
          <t/>
        </is>
      </c>
      <c r="DI50" s="259" t="inlineStr">
        <is>
          <t/>
        </is>
      </c>
      <c r="DJ50" s="260" t="inlineStr">
        <is>
          <t/>
        </is>
      </c>
      <c r="DK50" s="261" t="inlineStr">
        <is>
          <t/>
        </is>
      </c>
      <c r="DL50" s="262" t="inlineStr">
        <is>
          <t/>
        </is>
      </c>
      <c r="DM50" s="263" t="inlineStr">
        <is>
          <t/>
        </is>
      </c>
      <c r="DN50" s="264" t="inlineStr">
        <is>
          <t/>
        </is>
      </c>
      <c r="DO50" s="265" t="inlineStr">
        <is>
          <t/>
        </is>
      </c>
      <c r="DP50" s="266" t="inlineStr">
        <is>
          <t/>
        </is>
      </c>
      <c r="DQ50" s="267" t="inlineStr">
        <is>
          <t/>
        </is>
      </c>
      <c r="DR50" s="268" t="inlineStr">
        <is>
          <t/>
        </is>
      </c>
      <c r="DS50" s="269" t="inlineStr">
        <is>
          <t/>
        </is>
      </c>
      <c r="DT50" s="270" t="inlineStr">
        <is>
          <t/>
        </is>
      </c>
      <c r="DU50" s="271" t="inlineStr">
        <is>
          <t/>
        </is>
      </c>
      <c r="DV50" s="272" t="inlineStr">
        <is>
          <t/>
        </is>
      </c>
      <c r="DW50" s="273" t="inlineStr">
        <is>
          <t/>
        </is>
      </c>
      <c r="DX50" s="274" t="inlineStr">
        <is>
          <t/>
        </is>
      </c>
      <c r="DY50" s="275" t="inlineStr">
        <is>
          <t>PitchBook Research</t>
        </is>
      </c>
      <c r="DZ50" s="276" t="n">
        <v>43518.0</v>
      </c>
      <c r="EA50" s="277" t="n">
        <v>600.0</v>
      </c>
      <c r="EB50" s="278" t="n">
        <v>35375.0</v>
      </c>
      <c r="EC50" s="279" t="inlineStr">
        <is>
          <t>Secondary Transaction - Private</t>
        </is>
      </c>
      <c r="ED50" s="548">
        <f>HYPERLINK("https://my.pitchbook.com?c=64191-43", "View company online")</f>
      </c>
    </row>
    <row r="51">
      <c r="A51" s="13" t="inlineStr">
        <is>
          <t>12156-76</t>
        </is>
      </c>
      <c r="B51" s="14" t="inlineStr">
        <is>
          <t>Under Armour (NYS: UAA)</t>
        </is>
      </c>
      <c r="C51" s="15" t="inlineStr">
        <is>
          <t>KP Sports</t>
        </is>
      </c>
      <c r="D51" s="16" t="inlineStr">
        <is>
          <t>UA</t>
        </is>
      </c>
      <c r="E51" s="17" t="inlineStr">
        <is>
          <t>12156-76</t>
        </is>
      </c>
      <c r="F51" s="18" t="inlineStr">
        <is>
          <t>Under Armour markets athletic apparel, footwear, and gear and owns technology assets in Connected Fitness. The brand made its name by developing performance apparel made of synthetic microfiber, designed to wick perspiration away from the skin and help regulate body temperature. Although Under Armour is primarily a wholesaler to sporting goods retailers, it also operates 230 factory-house stores and 80 brand-house stores across the globe. Roughly 22% of total revenue is generated outside the U.S., including in Europe, Japan, and China.</t>
        </is>
      </c>
      <c r="G51" s="19" t="inlineStr">
        <is>
          <t>Consumer Products and Services (B2C)</t>
        </is>
      </c>
      <c r="H51" s="20" t="inlineStr">
        <is>
          <t>Apparel and Accessories</t>
        </is>
      </c>
      <c r="I51" s="21" t="inlineStr">
        <is>
          <t>Clothing</t>
        </is>
      </c>
      <c r="J51" s="22" t="inlineStr">
        <is>
          <t>Clothing*, Footwear</t>
        </is>
      </c>
      <c r="K51" s="23" t="inlineStr">
        <is>
          <t/>
        </is>
      </c>
      <c r="L51" s="24" t="inlineStr">
        <is>
          <t>athletic accessory, sports apparel, sportswear</t>
        </is>
      </c>
      <c r="M51" s="25" t="inlineStr">
        <is>
          <t>Formerly PE-Backed</t>
        </is>
      </c>
      <c r="N51" s="26" t="n">
        <v>375.76</v>
      </c>
      <c r="O51" s="27" t="inlineStr">
        <is>
          <t>Generating Revenue/Not Profitable</t>
        </is>
      </c>
      <c r="P51" s="28" t="inlineStr">
        <is>
          <t>Publicly Held</t>
        </is>
      </c>
      <c r="Q51" s="29" t="inlineStr">
        <is>
          <t>Private Equity, Publicly Listed</t>
        </is>
      </c>
      <c r="R51" s="30" t="inlineStr">
        <is>
          <t>underarmour.com</t>
        </is>
      </c>
      <c r="S51" s="31" t="n">
        <v>15000.0</v>
      </c>
      <c r="T51" s="32" t="inlineStr">
        <is>
          <t>2004: 574, 2005: 610, 2006: 979, 2007: 1400, 2008: 2200, 2009: 3000, 2010: 3900, 2011: 4400, 2012: 5900, 2013: 7800, 2014: 10700, 2015: 13400, 2016: 15200, 2017: 15800, 2018: 15000</t>
        </is>
      </c>
      <c r="U51" s="33" t="inlineStr">
        <is>
          <t>NYS</t>
        </is>
      </c>
      <c r="V51" s="34" t="inlineStr">
        <is>
          <t>UAA</t>
        </is>
      </c>
      <c r="W51" s="35" t="n">
        <v>1995.0</v>
      </c>
      <c r="X51" s="36" t="inlineStr">
        <is>
          <t/>
        </is>
      </c>
      <c r="Y51" s="37" t="inlineStr">
        <is>
          <t>News (New) </t>
        </is>
      </c>
      <c r="Z51" s="38" t="inlineStr">
        <is>
          <t>News (New) </t>
        </is>
      </c>
      <c r="AA51" s="39" t="n">
        <v>5193.19</v>
      </c>
      <c r="AB51" s="40" t="n">
        <v>2340.47</v>
      </c>
      <c r="AC51" s="41" t="n">
        <v>-46.3</v>
      </c>
      <c r="AD51" s="42" t="n">
        <v>8217.96</v>
      </c>
      <c r="AE51" s="43" t="n">
        <v>147.55</v>
      </c>
      <c r="AF51" s="44" t="inlineStr">
        <is>
          <t>FY 2018</t>
        </is>
      </c>
      <c r="AG51" s="45" t="n">
        <v>-34.22</v>
      </c>
      <c r="AH51" s="46" t="n">
        <v>8774.94</v>
      </c>
      <c r="AI51" s="47" t="n">
        <v>171.43</v>
      </c>
      <c r="AJ51" s="48" t="inlineStr">
        <is>
          <t>175668-67P</t>
        </is>
      </c>
      <c r="AK51" s="49" t="inlineStr">
        <is>
          <t>David Bergman</t>
        </is>
      </c>
      <c r="AL51" s="50" t="inlineStr">
        <is>
          <t>Chief Financial Officer</t>
        </is>
      </c>
      <c r="AM51" s="51" t="inlineStr">
        <is>
          <t>dbergman@underarmour.com</t>
        </is>
      </c>
      <c r="AN51" s="52" t="inlineStr">
        <is>
          <t>+1 (888) 727-6687</t>
        </is>
      </c>
      <c r="AO51" s="53" t="inlineStr">
        <is>
          <t>Baltimore, MD</t>
        </is>
      </c>
      <c r="AP51" s="54" t="inlineStr">
        <is>
          <t>1020 Hull Street</t>
        </is>
      </c>
      <c r="AQ51" s="55" t="inlineStr">
        <is>
          <t>Suite 300</t>
        </is>
      </c>
      <c r="AR51" s="56" t="inlineStr">
        <is>
          <t>Baltimore</t>
        </is>
      </c>
      <c r="AS51" s="57" t="inlineStr">
        <is>
          <t>Maryland</t>
        </is>
      </c>
      <c r="AT51" s="58" t="inlineStr">
        <is>
          <t>21230</t>
        </is>
      </c>
      <c r="AU51" s="59" t="inlineStr">
        <is>
          <t>United States</t>
        </is>
      </c>
      <c r="AV51" s="60" t="inlineStr">
        <is>
          <t>+1 (888) 727-6687</t>
        </is>
      </c>
      <c r="AW51" s="61" t="inlineStr">
        <is>
          <t>+1 (410) 454-6535</t>
        </is>
      </c>
      <c r="AX51" s="62" t="inlineStr">
        <is>
          <t>investorrelations@underarmour.com</t>
        </is>
      </c>
      <c r="AY51" s="63" t="inlineStr">
        <is>
          <t>Americas</t>
        </is>
      </c>
      <c r="AZ51" s="64" t="inlineStr">
        <is>
          <t>North America</t>
        </is>
      </c>
      <c r="BA51" s="65" t="inlineStr">
        <is>
          <t>The company (NYS: UAA) received $248.9 million of development capital from The Vanguard Group on November 30, 2017 through a private placement.</t>
        </is>
      </c>
      <c r="BB51" s="66" t="inlineStr">
        <is>
          <t>The Vanguard Group</t>
        </is>
      </c>
      <c r="BC51" s="67" t="n">
        <v>1.0</v>
      </c>
      <c r="BD51" s="68" t="inlineStr">
        <is>
          <t/>
        </is>
      </c>
      <c r="BE51" s="69" t="inlineStr">
        <is>
          <t>Bullish, Prudent Capital, Rosewood Capital</t>
        </is>
      </c>
      <c r="BF51" s="70" t="inlineStr">
        <is>
          <t/>
        </is>
      </c>
      <c r="BG51" s="71" t="inlineStr">
        <is>
          <t>The Vanguard Group(www.vanguard.com)</t>
        </is>
      </c>
      <c r="BH51" s="72" t="inlineStr">
        <is>
          <t>Bullish(bullish.co), Prudent Capital(www.prudentcapital.com), Rosewood Capital(www.rosewoodcap.com)</t>
        </is>
      </c>
      <c r="BI51" s="73" t="inlineStr">
        <is>
          <t/>
        </is>
      </c>
      <c r="BJ51" s="74" t="inlineStr">
        <is>
          <t>Lg2(Consulting), McDermott &amp; Bull(Consulting), Motion!(Advisor: General), Odeon Capital Group(Advisor: General), Oppenheimer &amp; Company(Lead Manager or Arranger), Robert K. Futterman &amp; Associates(Consulting), Telsey Advisory Group(Advisor: General)</t>
        </is>
      </c>
      <c r="BK51" s="75" t="inlineStr">
        <is>
          <t>CIBC Capital Markets(Underwriter), Cleary Gottlieb Steen &amp; Hamilton(Legal Advisor), Hogan Lovells(Legal Advisor), Piper Jaffray(Underwriter), PwC(Accounting), The Goldman Sachs Group(Underwriter), Thomas Weisel Partners Group(Underwriter), Wells Fargo Advisors(Underwriter)</t>
        </is>
      </c>
      <c r="BL51" s="76" t="n">
        <v>37865.0</v>
      </c>
      <c r="BM51" s="77" t="n">
        <v>12.0</v>
      </c>
      <c r="BN51" s="78" t="inlineStr">
        <is>
          <t>Actual</t>
        </is>
      </c>
      <c r="BO51" s="79" t="n">
        <v>120.0</v>
      </c>
      <c r="BP51" s="80" t="inlineStr">
        <is>
          <t>Estimated</t>
        </is>
      </c>
      <c r="BQ51" s="81" t="inlineStr">
        <is>
          <t>PE Growth/Expansion</t>
        </is>
      </c>
      <c r="BR51" s="82" t="inlineStr">
        <is>
          <t/>
        </is>
      </c>
      <c r="BS51" s="83" t="inlineStr">
        <is>
          <t/>
        </is>
      </c>
      <c r="BT51" s="84" t="inlineStr">
        <is>
          <t>Private Equity</t>
        </is>
      </c>
      <c r="BU51" s="85" t="inlineStr">
        <is>
          <t/>
        </is>
      </c>
      <c r="BV51" s="86" t="inlineStr">
        <is>
          <t/>
        </is>
      </c>
      <c r="BW51" s="87" t="inlineStr">
        <is>
          <t/>
        </is>
      </c>
      <c r="BX51" s="88" t="inlineStr">
        <is>
          <t>Completed</t>
        </is>
      </c>
      <c r="BY51" s="89" t="n">
        <v>43069.0</v>
      </c>
      <c r="BZ51" s="90" t="n">
        <v>248.9</v>
      </c>
      <c r="CA51" s="91" t="inlineStr">
        <is>
          <t>Actual</t>
        </is>
      </c>
      <c r="CB51" s="92" t="n">
        <v>2489.0</v>
      </c>
      <c r="CC51" s="93" t="inlineStr">
        <is>
          <t>Estimated</t>
        </is>
      </c>
      <c r="CD51" s="94" t="inlineStr">
        <is>
          <t>PIPE</t>
        </is>
      </c>
      <c r="CE51" s="95" t="inlineStr">
        <is>
          <t/>
        </is>
      </c>
      <c r="CF51" s="96" t="inlineStr">
        <is>
          <t/>
        </is>
      </c>
      <c r="CG51" s="97" t="inlineStr">
        <is>
          <t>Private Equity</t>
        </is>
      </c>
      <c r="CH51" s="98" t="inlineStr">
        <is>
          <t/>
        </is>
      </c>
      <c r="CI51" s="99" t="inlineStr">
        <is>
          <t/>
        </is>
      </c>
      <c r="CJ51" s="100" t="inlineStr">
        <is>
          <t/>
        </is>
      </c>
      <c r="CK51" s="101" t="inlineStr">
        <is>
          <t>Completed</t>
        </is>
      </c>
      <c r="CL51" s="102" t="inlineStr">
        <is>
          <t/>
        </is>
      </c>
      <c r="CM51" s="103" t="inlineStr">
        <is>
          <t/>
        </is>
      </c>
      <c r="CN51" s="104" t="n">
        <v>0.69</v>
      </c>
      <c r="CO51" s="105" t="n">
        <v>96.0</v>
      </c>
      <c r="CP51" s="106" t="n">
        <v>-0.01</v>
      </c>
      <c r="CQ51" s="107" t="n">
        <v>-2.07</v>
      </c>
      <c r="CR51" s="108" t="n">
        <v>1.03</v>
      </c>
      <c r="CS51" s="109" t="n">
        <v>97.0</v>
      </c>
      <c r="CT51" s="110" t="n">
        <v>0.02</v>
      </c>
      <c r="CU51" s="111" t="n">
        <v>58.0</v>
      </c>
      <c r="CV51" s="112" t="n">
        <v>2.05</v>
      </c>
      <c r="CW51" s="113" t="n">
        <v>91.0</v>
      </c>
      <c r="CX51" s="114" t="n">
        <v>0.01</v>
      </c>
      <c r="CY51" s="115" t="n">
        <v>85.0</v>
      </c>
      <c r="CZ51" s="116" t="n">
        <v>0.02</v>
      </c>
      <c r="DA51" s="117" t="n">
        <v>64.0</v>
      </c>
      <c r="DB51" s="118" t="n">
        <v>1505.2</v>
      </c>
      <c r="DC51" s="119" t="n">
        <v>100.0</v>
      </c>
      <c r="DD51" s="120" t="n">
        <v>36.77</v>
      </c>
      <c r="DE51" s="121" t="n">
        <v>2.5</v>
      </c>
      <c r="DF51" s="122" t="n">
        <v>1233.84</v>
      </c>
      <c r="DG51" s="123" t="n">
        <v>100.0</v>
      </c>
      <c r="DH51" s="124" t="n">
        <v>2692.26</v>
      </c>
      <c r="DI51" s="125" t="n">
        <v>100.0</v>
      </c>
      <c r="DJ51" s="126" t="n">
        <v>1906.7</v>
      </c>
      <c r="DK51" s="127" t="n">
        <v>100.0</v>
      </c>
      <c r="DL51" s="128" t="n">
        <v>560.97</v>
      </c>
      <c r="DM51" s="129" t="n">
        <v>100.0</v>
      </c>
      <c r="DN51" s="130" t="n">
        <v>2692.26</v>
      </c>
      <c r="DO51" s="131" t="n">
        <v>100.0</v>
      </c>
      <c r="DP51" s="132" t="n">
        <v>1365654.0</v>
      </c>
      <c r="DQ51" s="133" t="n">
        <v>-55564.0</v>
      </c>
      <c r="DR51" s="134" t="n">
        <v>-3.91</v>
      </c>
      <c r="DS51" s="135" t="n">
        <v>19083.0</v>
      </c>
      <c r="DT51" s="136" t="n">
        <v>-31.0</v>
      </c>
      <c r="DU51" s="137" t="n">
        <v>-0.16</v>
      </c>
      <c r="DV51" s="138" t="n">
        <v>966586.0</v>
      </c>
      <c r="DW51" s="139" t="n">
        <v>-263.0</v>
      </c>
      <c r="DX51" s="140" t="n">
        <v>-0.03</v>
      </c>
      <c r="DY51" s="141" t="inlineStr">
        <is>
          <t>PitchBook Research</t>
        </is>
      </c>
      <c r="DZ51" s="142" t="n">
        <v>43543.0</v>
      </c>
      <c r="EA51" s="143" t="n">
        <v>2489.0</v>
      </c>
      <c r="EB51" s="144" t="n">
        <v>43069.0</v>
      </c>
      <c r="EC51" s="145" t="inlineStr">
        <is>
          <t>PIPE</t>
        </is>
      </c>
      <c r="ED51" s="547">
        <f>HYPERLINK("https://my.pitchbook.com?c=12156-76", "View company online")</f>
      </c>
    </row>
    <row r="52">
      <c r="A52" s="147" t="inlineStr">
        <is>
          <t>54003-07</t>
        </is>
      </c>
      <c r="B52" s="148" t="inlineStr">
        <is>
          <t>Capri Holdings (NYS: CPRI)</t>
        </is>
      </c>
      <c r="C52" s="149" t="inlineStr">
        <is>
          <t>Michael Kors (USA)</t>
        </is>
      </c>
      <c r="D52" s="150" t="inlineStr">
        <is>
          <t>Michael Kors</t>
        </is>
      </c>
      <c r="E52" s="151" t="inlineStr">
        <is>
          <t>54003-07</t>
        </is>
      </c>
      <c r="F52" s="152" t="inlineStr">
        <is>
          <t>Capri Holdings Ltd, formerly Michael Kors Holdings Ltd designs and manufactures apparel, footwear, and accessories ( primarily handbags). Products are positioned as luxury goods &amp; classified under three collections. The Michael Kors Collection and MICHAEL Michael Kors are the women's collections and are distinguished from each other by their price points. Michael Kors Mens is the men's collection. Most sales are through one of two channels: directly through its company-operated retail stores (and e-commerce websites), or through wholesale to department and specialty stores. The firm licenses products such as watches, jewelry, eyewear, and fragrances. Production is carried out across Asia and Europe, and sales are concentrated in the Americas, Europe, and Asia along with additional markets.</t>
        </is>
      </c>
      <c r="G52" s="153" t="inlineStr">
        <is>
          <t>Consumer Products and Services (B2C)</t>
        </is>
      </c>
      <c r="H52" s="154" t="inlineStr">
        <is>
          <t>Apparel and Accessories</t>
        </is>
      </c>
      <c r="I52" s="155" t="inlineStr">
        <is>
          <t>Clothing</t>
        </is>
      </c>
      <c r="J52" s="156" t="inlineStr">
        <is>
          <t>Accessories, Clothing*</t>
        </is>
      </c>
      <c r="K52" s="157" t="inlineStr">
        <is>
          <t>E-Commerce, Manufacturing, TMT</t>
        </is>
      </c>
      <c r="L52" s="158" t="inlineStr">
        <is>
          <t>apparel and accessories, beauty vertical, lifestyle product</t>
        </is>
      </c>
      <c r="M52" s="159" t="inlineStr">
        <is>
          <t>Formerly PE-Backed</t>
        </is>
      </c>
      <c r="N52" s="160" t="n">
        <v>1944.0</v>
      </c>
      <c r="O52" s="161" t="inlineStr">
        <is>
          <t>Profitable</t>
        </is>
      </c>
      <c r="P52" s="162" t="inlineStr">
        <is>
          <t>Publicly Held</t>
        </is>
      </c>
      <c r="Q52" s="163" t="inlineStr">
        <is>
          <t>Debt Financed, Private Equity, Publicly Listed, Venture Capital</t>
        </is>
      </c>
      <c r="R52" s="164" t="inlineStr">
        <is>
          <t>www.michaelkors.com</t>
        </is>
      </c>
      <c r="S52" s="165" t="n">
        <v>14846.0</v>
      </c>
      <c r="T52" s="166" t="inlineStr">
        <is>
          <t>2012: 4180, 2013: 6379, 2014: 9184, 2015: 11094, 2016: 12689, 2017: 13702, 2018: 14846</t>
        </is>
      </c>
      <c r="U52" s="167" t="inlineStr">
        <is>
          <t>NYS</t>
        </is>
      </c>
      <c r="V52" s="168" t="inlineStr">
        <is>
          <t>CPRI</t>
        </is>
      </c>
      <c r="W52" s="169" t="n">
        <v>1981.0</v>
      </c>
      <c r="X52" s="170" t="inlineStr">
        <is>
          <t/>
        </is>
      </c>
      <c r="Y52" s="171" t="inlineStr">
        <is>
          <t/>
        </is>
      </c>
      <c r="Z52" s="172" t="inlineStr">
        <is>
          <t/>
        </is>
      </c>
      <c r="AA52" s="173" t="n">
        <v>5073.8</v>
      </c>
      <c r="AB52" s="174" t="n">
        <v>3096.9</v>
      </c>
      <c r="AC52" s="175" t="n">
        <v>567.7</v>
      </c>
      <c r="AD52" s="176" t="n">
        <v>6429.97</v>
      </c>
      <c r="AE52" s="177" t="n">
        <v>706.2</v>
      </c>
      <c r="AF52" s="178" t="inlineStr">
        <is>
          <t>TTM 3Q2019</t>
        </is>
      </c>
      <c r="AG52" s="179" t="n">
        <v>706.2</v>
      </c>
      <c r="AH52" s="180" t="n">
        <v>6585.96</v>
      </c>
      <c r="AI52" s="181" t="n">
        <v>2269.6</v>
      </c>
      <c r="AJ52" s="182" t="inlineStr">
        <is>
          <t>129029-05P</t>
        </is>
      </c>
      <c r="AK52" s="183" t="inlineStr">
        <is>
          <t>Thomas Edwards</t>
        </is>
      </c>
      <c r="AL52" s="184" t="inlineStr">
        <is>
          <t>Executive Vice President, Chief Financial Officer, Chief Operating Officer and Treasurer</t>
        </is>
      </c>
      <c r="AM52" s="185" t="inlineStr">
        <is>
          <t>tedwards@michaelkors.com</t>
        </is>
      </c>
      <c r="AN52" s="186" t="inlineStr">
        <is>
          <t>+1 (201) 812-2599</t>
        </is>
      </c>
      <c r="AO52" s="187" t="inlineStr">
        <is>
          <t>New York, NY</t>
        </is>
      </c>
      <c r="AP52" s="188" t="inlineStr">
        <is>
          <t>11 West 42nd Street</t>
        </is>
      </c>
      <c r="AQ52" s="189" t="inlineStr">
        <is>
          <t/>
        </is>
      </c>
      <c r="AR52" s="190" t="inlineStr">
        <is>
          <t>New York</t>
        </is>
      </c>
      <c r="AS52" s="191" t="inlineStr">
        <is>
          <t>New York</t>
        </is>
      </c>
      <c r="AT52" s="192" t="inlineStr">
        <is>
          <t>10036</t>
        </is>
      </c>
      <c r="AU52" s="193" t="inlineStr">
        <is>
          <t>United States</t>
        </is>
      </c>
      <c r="AV52" s="194" t="inlineStr">
        <is>
          <t>+1 (201) 812-2599</t>
        </is>
      </c>
      <c r="AW52" s="195" t="inlineStr">
        <is>
          <t>+1 (646) 376-6299</t>
        </is>
      </c>
      <c r="AX52" s="196" t="inlineStr">
        <is>
          <t/>
        </is>
      </c>
      <c r="AY52" s="197" t="inlineStr">
        <is>
          <t>Americas</t>
        </is>
      </c>
      <c r="AZ52" s="198" t="inlineStr">
        <is>
          <t>North America</t>
        </is>
      </c>
      <c r="BA52" s="199" t="inlineStr">
        <is>
          <t>T. Rowe Price, Fidelity Investments, KEC Ventures and Sportswear Holdings Ltd sold its stake in the company on an undisclosed date.</t>
        </is>
      </c>
      <c r="BB52" s="200" t="inlineStr">
        <is>
          <t/>
        </is>
      </c>
      <c r="BC52" s="201" t="inlineStr">
        <is>
          <t/>
        </is>
      </c>
      <c r="BD52" s="202" t="inlineStr">
        <is>
          <t/>
        </is>
      </c>
      <c r="BE52" s="203" t="inlineStr">
        <is>
          <t>Fidelity Investments, KEC Ventures, Ontario Teachers' Pension Plan, Sportswear Holdings, T. Rowe Price</t>
        </is>
      </c>
      <c r="BF52" s="204" t="inlineStr">
        <is>
          <t/>
        </is>
      </c>
      <c r="BG52" s="205" t="inlineStr">
        <is>
          <t/>
        </is>
      </c>
      <c r="BH52" s="206" t="inlineStr">
        <is>
          <t>Fidelity Investments(www.fidelity.com), KEC Ventures(www.kecventures.com), Ontario Teachers' Pension Plan(www.otpp.com), T. Rowe Price(www3.troweprice.com)</t>
        </is>
      </c>
      <c r="BI52" s="207" t="inlineStr">
        <is>
          <t/>
        </is>
      </c>
      <c r="BJ52" s="208" t="inlineStr">
        <is>
          <t>ASAP+(Consulting), Herbert Mines Associates(Placement Agent), Odeon Capital Group(Advisor: General), Olshan Frome Wolosky(Legal Advisor), Robert K. Futterman &amp; Associates(Consulting), Robert W. Baird &amp; Co.(Advisor: General), The Bank of Tokyo-Mitsubishi UFJ(Advisor: General)</t>
        </is>
      </c>
      <c r="BK52" s="209" t="inlineStr">
        <is>
          <t>EY(Accounting), Harneys(Legal Advisor), HSBC Securities (Canada)(Underwriter), J.P. Morgan(Underwriter), Jefferies Group(Underwriter), Lebenthal Holdings(Underwriter), Morgan Stanley(Underwriter), Nomura Securities(Underwriter), Paul, Weiss, Rifkind, Wharton &amp; Garrison(Legal Advisor), Piper Jaffray(Underwriter), PwC(Advisor: General), Robert W. Baird &amp; Co.(Advisor: General), Telsey Advisory Group(Underwriter), The Goldman Sachs Group(Underwriter)</t>
        </is>
      </c>
      <c r="BL52" s="210" t="inlineStr">
        <is>
          <t/>
        </is>
      </c>
      <c r="BM52" s="211" t="inlineStr">
        <is>
          <t/>
        </is>
      </c>
      <c r="BN52" s="212" t="inlineStr">
        <is>
          <t/>
        </is>
      </c>
      <c r="BO52" s="213" t="inlineStr">
        <is>
          <t/>
        </is>
      </c>
      <c r="BP52" s="214" t="inlineStr">
        <is>
          <t/>
        </is>
      </c>
      <c r="BQ52" s="215" t="inlineStr">
        <is>
          <t>Early Stage VC</t>
        </is>
      </c>
      <c r="BR52" s="216" t="inlineStr">
        <is>
          <t/>
        </is>
      </c>
      <c r="BS52" s="217" t="inlineStr">
        <is>
          <t/>
        </is>
      </c>
      <c r="BT52" s="218" t="inlineStr">
        <is>
          <t>Venture Capital</t>
        </is>
      </c>
      <c r="BU52" s="219" t="inlineStr">
        <is>
          <t/>
        </is>
      </c>
      <c r="BV52" s="220" t="inlineStr">
        <is>
          <t/>
        </is>
      </c>
      <c r="BW52" s="221" t="inlineStr">
        <is>
          <t/>
        </is>
      </c>
      <c r="BX52" s="222" t="inlineStr">
        <is>
          <t>Completed</t>
        </is>
      </c>
      <c r="BY52" s="223" t="inlineStr">
        <is>
          <t/>
        </is>
      </c>
      <c r="BZ52" s="224" t="inlineStr">
        <is>
          <t/>
        </is>
      </c>
      <c r="CA52" s="225" t="inlineStr">
        <is>
          <t/>
        </is>
      </c>
      <c r="CB52" s="226" t="inlineStr">
        <is>
          <t/>
        </is>
      </c>
      <c r="CC52" s="227" t="inlineStr">
        <is>
          <t/>
        </is>
      </c>
      <c r="CD52" s="228" t="inlineStr">
        <is>
          <t>Undetermined</t>
        </is>
      </c>
      <c r="CE52" s="229" t="inlineStr">
        <is>
          <t/>
        </is>
      </c>
      <c r="CF52" s="230" t="inlineStr">
        <is>
          <t/>
        </is>
      </c>
      <c r="CG52" s="231" t="inlineStr">
        <is>
          <t>Other</t>
        </is>
      </c>
      <c r="CH52" s="232" t="inlineStr">
        <is>
          <t/>
        </is>
      </c>
      <c r="CI52" s="233" t="inlineStr">
        <is>
          <t/>
        </is>
      </c>
      <c r="CJ52" s="234" t="inlineStr">
        <is>
          <t/>
        </is>
      </c>
      <c r="CK52" s="235" t="inlineStr">
        <is>
          <t>Completed</t>
        </is>
      </c>
      <c r="CL52" s="236" t="n">
        <v>42306.0</v>
      </c>
      <c r="CM52" s="237" t="n">
        <v>1000.0</v>
      </c>
      <c r="CN52" s="238" t="n">
        <v>3.65</v>
      </c>
      <c r="CO52" s="239" t="n">
        <v>100.0</v>
      </c>
      <c r="CP52" s="240" t="n">
        <v>-0.36</v>
      </c>
      <c r="CQ52" s="241" t="n">
        <v>-9.0</v>
      </c>
      <c r="CR52" s="242" t="n">
        <v>2.63</v>
      </c>
      <c r="CS52" s="243" t="n">
        <v>99.0</v>
      </c>
      <c r="CT52" s="244" t="n">
        <v>-0.04</v>
      </c>
      <c r="CU52" s="245" t="n">
        <v>17.0</v>
      </c>
      <c r="CV52" s="246" t="n">
        <v>5.22</v>
      </c>
      <c r="CW52" s="247" t="n">
        <v>97.0</v>
      </c>
      <c r="CX52" s="248" t="n">
        <v>0.04</v>
      </c>
      <c r="CY52" s="249" t="n">
        <v>85.0</v>
      </c>
      <c r="CZ52" s="250" t="n">
        <v>-0.04</v>
      </c>
      <c r="DA52" s="251" t="n">
        <v>21.0</v>
      </c>
      <c r="DB52" s="252" t="n">
        <v>3537.27</v>
      </c>
      <c r="DC52" s="253" t="n">
        <v>100.0</v>
      </c>
      <c r="DD52" s="254" t="n">
        <v>40.3</v>
      </c>
      <c r="DE52" s="255" t="n">
        <v>1.15</v>
      </c>
      <c r="DF52" s="256" t="n">
        <v>722.28</v>
      </c>
      <c r="DG52" s="257" t="n">
        <v>100.0</v>
      </c>
      <c r="DH52" s="258" t="n">
        <v>9824.67</v>
      </c>
      <c r="DI52" s="259" t="n">
        <v>100.0</v>
      </c>
      <c r="DJ52" s="260" t="n">
        <v>922.38</v>
      </c>
      <c r="DK52" s="261" t="n">
        <v>100.0</v>
      </c>
      <c r="DL52" s="262" t="n">
        <v>522.18</v>
      </c>
      <c r="DM52" s="263" t="n">
        <v>100.0</v>
      </c>
      <c r="DN52" s="264" t="n">
        <v>9824.67</v>
      </c>
      <c r="DO52" s="265" t="n">
        <v>100.0</v>
      </c>
      <c r="DP52" s="266" t="n">
        <v>659139.0</v>
      </c>
      <c r="DQ52" s="267" t="n">
        <v>-13326.0</v>
      </c>
      <c r="DR52" s="268" t="n">
        <v>-1.98</v>
      </c>
      <c r="DS52" s="269" t="n">
        <v>17714.0</v>
      </c>
      <c r="DT52" s="270" t="n">
        <v>77.0</v>
      </c>
      <c r="DU52" s="271" t="n">
        <v>0.44</v>
      </c>
      <c r="DV52" s="272" t="n">
        <v>3527589.0</v>
      </c>
      <c r="DW52" s="273" t="n">
        <v>-2904.0</v>
      </c>
      <c r="DX52" s="274" t="n">
        <v>-0.08</v>
      </c>
      <c r="DY52" s="275" t="inlineStr">
        <is>
          <t>PitchBook Research</t>
        </is>
      </c>
      <c r="DZ52" s="276" t="n">
        <v>43495.0</v>
      </c>
      <c r="EA52" s="277" t="n">
        <v>3815.86</v>
      </c>
      <c r="EB52" s="278" t="n">
        <v>40892.0</v>
      </c>
      <c r="EC52" s="279" t="inlineStr">
        <is>
          <t>IPO</t>
        </is>
      </c>
      <c r="ED52" s="548">
        <f>HYPERLINK("https://my.pitchbook.com?c=54003-07", "View company online")</f>
      </c>
    </row>
    <row r="53">
      <c r="A53" s="13" t="inlineStr">
        <is>
          <t>109224-01</t>
        </is>
      </c>
      <c r="B53" s="14" t="inlineStr">
        <is>
          <t>Louis Vuitton Malletier</t>
        </is>
      </c>
      <c r="C53" s="15" t="inlineStr">
        <is>
          <t/>
        </is>
      </c>
      <c r="D53" s="16" t="inlineStr">
        <is>
          <t>Louis Vuitton</t>
        </is>
      </c>
      <c r="E53" s="17" t="inlineStr">
        <is>
          <t>109224-01</t>
        </is>
      </c>
      <c r="F53" s="18" t="inlineStr">
        <is>
          <t>Designer of luxury goods. The company designs a variety of luxury goods including leather goods, shoes, watches, jewelry, accessories sunglasses and books.</t>
        </is>
      </c>
      <c r="G53" s="19" t="inlineStr">
        <is>
          <t>Business Products and Services (B2B)</t>
        </is>
      </c>
      <c r="H53" s="20" t="inlineStr">
        <is>
          <t>Commercial Products</t>
        </is>
      </c>
      <c r="I53" s="21" t="inlineStr">
        <is>
          <t>Distributors/Wholesale</t>
        </is>
      </c>
      <c r="J53" s="22" t="inlineStr">
        <is>
          <t>Distributors/Wholesale*, Luxury Goods</t>
        </is>
      </c>
      <c r="K53" s="23" t="inlineStr">
        <is>
          <t>Industrials</t>
        </is>
      </c>
      <c r="L53" s="24" t="inlineStr">
        <is>
          <t>fashion house, luxury good, luxury product, luxury wear</t>
        </is>
      </c>
      <c r="M53" s="25" t="inlineStr">
        <is>
          <t>Corporation</t>
        </is>
      </c>
      <c r="N53" s="26" t="inlineStr">
        <is>
          <t/>
        </is>
      </c>
      <c r="O53" s="27" t="inlineStr">
        <is>
          <t>Generating Revenue</t>
        </is>
      </c>
      <c r="P53" s="28" t="inlineStr">
        <is>
          <t>Privately Held (no backing)</t>
        </is>
      </c>
      <c r="Q53" s="29" t="inlineStr">
        <is>
          <t>Other Private Companies</t>
        </is>
      </c>
      <c r="R53" s="30" t="inlineStr">
        <is>
          <t>www.louisvuitton.com</t>
        </is>
      </c>
      <c r="S53" s="31" t="inlineStr">
        <is>
          <t/>
        </is>
      </c>
      <c r="T53" s="32" t="inlineStr">
        <is>
          <t/>
        </is>
      </c>
      <c r="U53" s="33" t="inlineStr">
        <is>
          <t/>
        </is>
      </c>
      <c r="V53" s="34" t="inlineStr">
        <is>
          <t/>
        </is>
      </c>
      <c r="W53" s="35" t="n">
        <v>1853.0</v>
      </c>
      <c r="X53" s="36" t="inlineStr">
        <is>
          <t>LVMH Moët Hennessy Louis Vuitton</t>
        </is>
      </c>
      <c r="Y53" s="37" t="inlineStr">
        <is>
          <t/>
        </is>
      </c>
      <c r="Z53" s="38" t="inlineStr">
        <is>
          <t/>
        </is>
      </c>
      <c r="AA53" s="39" t="n">
        <v>5058.91</v>
      </c>
      <c r="AB53" s="40" t="n">
        <v>1789.16</v>
      </c>
      <c r="AC53" s="41" t="n">
        <v>2213.4</v>
      </c>
      <c r="AD53" s="42" t="inlineStr">
        <is>
          <t/>
        </is>
      </c>
      <c r="AE53" s="43" t="n">
        <v>1881.1</v>
      </c>
      <c r="AF53" s="44" t="inlineStr">
        <is>
          <t>FY 2017</t>
        </is>
      </c>
      <c r="AG53" s="45" t="inlineStr">
        <is>
          <t/>
        </is>
      </c>
      <c r="AH53" s="46" t="inlineStr">
        <is>
          <t/>
        </is>
      </c>
      <c r="AI53" s="47" t="inlineStr">
        <is>
          <t/>
        </is>
      </c>
      <c r="AJ53" s="48" t="inlineStr">
        <is>
          <t>98749-90P</t>
        </is>
      </c>
      <c r="AK53" s="49" t="inlineStr">
        <is>
          <t>Michael Burke</t>
        </is>
      </c>
      <c r="AL53" s="50" t="inlineStr">
        <is>
          <t>Chief Executive Officer</t>
        </is>
      </c>
      <c r="AM53" s="51" t="inlineStr">
        <is>
          <t/>
        </is>
      </c>
      <c r="AN53" s="52" t="inlineStr">
        <is>
          <t/>
        </is>
      </c>
      <c r="AO53" s="53" t="inlineStr">
        <is>
          <t>Paris, France</t>
        </is>
      </c>
      <c r="AP53" s="54" t="inlineStr">
        <is>
          <t/>
        </is>
      </c>
      <c r="AQ53" s="55" t="inlineStr">
        <is>
          <t/>
        </is>
      </c>
      <c r="AR53" s="56" t="inlineStr">
        <is>
          <t>Paris</t>
        </is>
      </c>
      <c r="AS53" s="57" t="inlineStr">
        <is>
          <t/>
        </is>
      </c>
      <c r="AT53" s="58" t="inlineStr">
        <is>
          <t/>
        </is>
      </c>
      <c r="AU53" s="59" t="inlineStr">
        <is>
          <t>France</t>
        </is>
      </c>
      <c r="AV53" s="60" t="inlineStr">
        <is>
          <t/>
        </is>
      </c>
      <c r="AW53" s="61" t="inlineStr">
        <is>
          <t/>
        </is>
      </c>
      <c r="AX53" s="62" t="inlineStr">
        <is>
          <t/>
        </is>
      </c>
      <c r="AY53" s="63" t="inlineStr">
        <is>
          <t>Europe</t>
        </is>
      </c>
      <c r="AZ53" s="64" t="inlineStr">
        <is>
          <t>Western Europe</t>
        </is>
      </c>
      <c r="BA53" s="65" t="inlineStr">
        <is>
          <t/>
        </is>
      </c>
      <c r="BB53" s="66" t="inlineStr">
        <is>
          <t/>
        </is>
      </c>
      <c r="BC53" s="67" t="inlineStr">
        <is>
          <t/>
        </is>
      </c>
      <c r="BD53" s="68" t="inlineStr">
        <is>
          <t/>
        </is>
      </c>
      <c r="BE53" s="69" t="inlineStr">
        <is>
          <t/>
        </is>
      </c>
      <c r="BF53" s="70" t="inlineStr">
        <is>
          <t/>
        </is>
      </c>
      <c r="BG53" s="71" t="inlineStr">
        <is>
          <t/>
        </is>
      </c>
      <c r="BH53" s="72" t="inlineStr">
        <is>
          <t/>
        </is>
      </c>
      <c r="BI53" s="73" t="inlineStr">
        <is>
          <t/>
        </is>
      </c>
      <c r="BJ53" s="74" t="inlineStr">
        <is>
          <t>Boyanov &amp; Company(Legal Advisor), Montfort Communications(Advisor: General), Morrison Cohen(Legal Advisor)</t>
        </is>
      </c>
      <c r="BK53" s="75" t="inlineStr">
        <is>
          <t/>
        </is>
      </c>
      <c r="BL53" s="76" t="inlineStr">
        <is>
          <t/>
        </is>
      </c>
      <c r="BM53" s="77" t="inlineStr">
        <is>
          <t/>
        </is>
      </c>
      <c r="BN53" s="78" t="inlineStr">
        <is>
          <t/>
        </is>
      </c>
      <c r="BO53" s="79" t="inlineStr">
        <is>
          <t/>
        </is>
      </c>
      <c r="BP53" s="80" t="inlineStr">
        <is>
          <t/>
        </is>
      </c>
      <c r="BQ53" s="81" t="inlineStr">
        <is>
          <t/>
        </is>
      </c>
      <c r="BR53" s="82" t="inlineStr">
        <is>
          <t/>
        </is>
      </c>
      <c r="BS53" s="83" t="inlineStr">
        <is>
          <t/>
        </is>
      </c>
      <c r="BT53" s="84" t="inlineStr">
        <is>
          <t/>
        </is>
      </c>
      <c r="BU53" s="85" t="inlineStr">
        <is>
          <t/>
        </is>
      </c>
      <c r="BV53" s="86" t="inlineStr">
        <is>
          <t/>
        </is>
      </c>
      <c r="BW53" s="87" t="inlineStr">
        <is>
          <t/>
        </is>
      </c>
      <c r="BX53" s="88" t="inlineStr">
        <is>
          <t/>
        </is>
      </c>
      <c r="BY53" s="89" t="inlineStr">
        <is>
          <t/>
        </is>
      </c>
      <c r="BZ53" s="90" t="inlineStr">
        <is>
          <t/>
        </is>
      </c>
      <c r="CA53" s="91" t="inlineStr">
        <is>
          <t/>
        </is>
      </c>
      <c r="CB53" s="92" t="inlineStr">
        <is>
          <t/>
        </is>
      </c>
      <c r="CC53" s="93" t="inlineStr">
        <is>
          <t/>
        </is>
      </c>
      <c r="CD53" s="94" t="inlineStr">
        <is>
          <t/>
        </is>
      </c>
      <c r="CE53" s="95" t="inlineStr">
        <is>
          <t/>
        </is>
      </c>
      <c r="CF53" s="96" t="inlineStr">
        <is>
          <t/>
        </is>
      </c>
      <c r="CG53" s="97" t="inlineStr">
        <is>
          <t/>
        </is>
      </c>
      <c r="CH53" s="98" t="inlineStr">
        <is>
          <t/>
        </is>
      </c>
      <c r="CI53" s="99" t="inlineStr">
        <is>
          <t/>
        </is>
      </c>
      <c r="CJ53" s="100" t="inlineStr">
        <is>
          <t/>
        </is>
      </c>
      <c r="CK53" s="101" t="inlineStr">
        <is>
          <t/>
        </is>
      </c>
      <c r="CL53" s="102" t="inlineStr">
        <is>
          <t/>
        </is>
      </c>
      <c r="CM53" s="103" t="inlineStr">
        <is>
          <t/>
        </is>
      </c>
      <c r="CN53" s="104" t="n">
        <v>0.31</v>
      </c>
      <c r="CO53" s="105" t="n">
        <v>92.0</v>
      </c>
      <c r="CP53" s="106" t="n">
        <v>-0.04</v>
      </c>
      <c r="CQ53" s="107" t="n">
        <v>-12.57</v>
      </c>
      <c r="CR53" s="108" t="n">
        <v>0.52</v>
      </c>
      <c r="CS53" s="109" t="n">
        <v>94.0</v>
      </c>
      <c r="CT53" s="110" t="n">
        <v>-0.03</v>
      </c>
      <c r="CU53" s="111" t="n">
        <v>20.0</v>
      </c>
      <c r="CV53" s="112" t="n">
        <v>1.09</v>
      </c>
      <c r="CW53" s="113" t="n">
        <v>87.0</v>
      </c>
      <c r="CX53" s="114" t="n">
        <v>-0.05</v>
      </c>
      <c r="CY53" s="115" t="n">
        <v>11.0</v>
      </c>
      <c r="CZ53" s="116" t="n">
        <v>-0.03</v>
      </c>
      <c r="DA53" s="117" t="n">
        <v>23.0</v>
      </c>
      <c r="DB53" s="118" t="n">
        <v>1576.92</v>
      </c>
      <c r="DC53" s="119" t="n">
        <v>100.0</v>
      </c>
      <c r="DD53" s="120" t="n">
        <v>34.6</v>
      </c>
      <c r="DE53" s="121" t="n">
        <v>2.24</v>
      </c>
      <c r="DF53" s="122" t="n">
        <v>393.54</v>
      </c>
      <c r="DG53" s="123" t="n">
        <v>100.0</v>
      </c>
      <c r="DH53" s="124" t="n">
        <v>4335.3</v>
      </c>
      <c r="DI53" s="125" t="n">
        <v>100.0</v>
      </c>
      <c r="DJ53" s="126" t="n">
        <v>106.25</v>
      </c>
      <c r="DK53" s="127" t="n">
        <v>97.0</v>
      </c>
      <c r="DL53" s="128" t="n">
        <v>680.82</v>
      </c>
      <c r="DM53" s="129" t="n">
        <v>100.0</v>
      </c>
      <c r="DN53" s="130" t="n">
        <v>4335.3</v>
      </c>
      <c r="DO53" s="131" t="n">
        <v>100.0</v>
      </c>
      <c r="DP53" s="132" t="n">
        <v>75838.0</v>
      </c>
      <c r="DQ53" s="133" t="n">
        <v>-735.0</v>
      </c>
      <c r="DR53" s="134" t="n">
        <v>-0.96</v>
      </c>
      <c r="DS53" s="135" t="n">
        <v>23182.0</v>
      </c>
      <c r="DT53" s="136" t="n">
        <v>-43.0</v>
      </c>
      <c r="DU53" s="137" t="n">
        <v>-0.19</v>
      </c>
      <c r="DV53" s="138" t="n">
        <v>1556795.0</v>
      </c>
      <c r="DW53" s="139" t="n">
        <v>-1347.0</v>
      </c>
      <c r="DX53" s="140" t="n">
        <v>-0.09</v>
      </c>
      <c r="DY53" s="141" t="inlineStr">
        <is>
          <t>PitchBook Research</t>
        </is>
      </c>
      <c r="DZ53" s="142" t="n">
        <v>43395.0</v>
      </c>
      <c r="EA53" s="143" t="inlineStr">
        <is>
          <t/>
        </is>
      </c>
      <c r="EB53" s="144" t="inlineStr">
        <is>
          <t/>
        </is>
      </c>
      <c r="EC53" s="145" t="inlineStr">
        <is>
          <t/>
        </is>
      </c>
      <c r="ED53" s="547">
        <f>HYPERLINK("https://my.pitchbook.com?c=109224-01", "View company online")</f>
      </c>
    </row>
    <row r="54">
      <c r="A54" s="147" t="inlineStr">
        <is>
          <t>51736-87</t>
        </is>
      </c>
      <c r="B54" s="148" t="inlineStr">
        <is>
          <t>Coupang</t>
        </is>
      </c>
      <c r="C54" s="149" t="inlineStr">
        <is>
          <t/>
        </is>
      </c>
      <c r="D54" s="150" t="inlineStr">
        <is>
          <t/>
        </is>
      </c>
      <c r="E54" s="151" t="inlineStr">
        <is>
          <t>51736-87</t>
        </is>
      </c>
      <c r="F54" s="152" t="inlineStr">
        <is>
          <t>Provider of an online retailing platform designed to help leading retailers and brands to monetize their social fanbases. The company's platform offers a diverse selection of merchandise including baby products, fashion apparel, beauty products and food items in addition to tickets for travel or cultural events, enabling vendors to reach a large number consumers and increase their online market, while providing consumers with a single source for convenient, online shopping.</t>
        </is>
      </c>
      <c r="G54" s="153" t="inlineStr">
        <is>
          <t>Consumer Products and Services (B2C)</t>
        </is>
      </c>
      <c r="H54" s="154" t="inlineStr">
        <is>
          <t>Retail</t>
        </is>
      </c>
      <c r="I54" s="155" t="inlineStr">
        <is>
          <t>Internet Retail</t>
        </is>
      </c>
      <c r="J54" s="156" t="inlineStr">
        <is>
          <t>Accessories, Clothing, Internet Retail*</t>
        </is>
      </c>
      <c r="K54" s="157" t="inlineStr">
        <is>
          <t>E-Commerce, TMT</t>
        </is>
      </c>
      <c r="L54" s="158" t="inlineStr">
        <is>
          <t>baby product, beauty product, books and toys, daily deals, ecommerce marketplace, online marketplace</t>
        </is>
      </c>
      <c r="M54" s="159" t="inlineStr">
        <is>
          <t>Venture Capital-Backed</t>
        </is>
      </c>
      <c r="N54" s="160" t="n">
        <v>3480.0</v>
      </c>
      <c r="O54" s="161" t="inlineStr">
        <is>
          <t>Generating Revenue</t>
        </is>
      </c>
      <c r="P54" s="162" t="inlineStr">
        <is>
          <t>Privately Held (backing)</t>
        </is>
      </c>
      <c r="Q54" s="163" t="inlineStr">
        <is>
          <t>Venture Capital</t>
        </is>
      </c>
      <c r="R54" s="164" t="inlineStr">
        <is>
          <t>www.coupang.com</t>
        </is>
      </c>
      <c r="S54" s="165" t="n">
        <v>3600.0</v>
      </c>
      <c r="T54" s="166" t="inlineStr">
        <is>
          <t>2010: 7, 2012: 732, 2014: 1500, 2015: 1500, 2016: 3600</t>
        </is>
      </c>
      <c r="U54" s="167" t="inlineStr">
        <is>
          <t/>
        </is>
      </c>
      <c r="V54" s="168" t="inlineStr">
        <is>
          <t/>
        </is>
      </c>
      <c r="W54" s="169" t="n">
        <v>2010.0</v>
      </c>
      <c r="X54" s="170" t="inlineStr">
        <is>
          <t/>
        </is>
      </c>
      <c r="Y54" s="171" t="inlineStr">
        <is>
          <t/>
        </is>
      </c>
      <c r="Z54" s="172" t="inlineStr">
        <is>
          <t>News (New) </t>
        </is>
      </c>
      <c r="AA54" s="173" t="n">
        <v>5000.0</v>
      </c>
      <c r="AB54" s="174" t="inlineStr">
        <is>
          <t/>
        </is>
      </c>
      <c r="AC54" s="175" t="inlineStr">
        <is>
          <t/>
        </is>
      </c>
      <c r="AD54" s="176" t="inlineStr">
        <is>
          <t/>
        </is>
      </c>
      <c r="AE54" s="177" t="inlineStr">
        <is>
          <t/>
        </is>
      </c>
      <c r="AF54" s="178" t="inlineStr">
        <is>
          <t>FY 2018</t>
        </is>
      </c>
      <c r="AG54" s="179" t="inlineStr">
        <is>
          <t/>
        </is>
      </c>
      <c r="AH54" s="180" t="inlineStr">
        <is>
          <t/>
        </is>
      </c>
      <c r="AI54" s="181" t="inlineStr">
        <is>
          <t/>
        </is>
      </c>
      <c r="AJ54" s="182" t="inlineStr">
        <is>
          <t>68457-88P</t>
        </is>
      </c>
      <c r="AK54" s="183" t="inlineStr">
        <is>
          <t>Richard Song</t>
        </is>
      </c>
      <c r="AL54" s="184" t="inlineStr">
        <is>
          <t>Chief Financial Officer</t>
        </is>
      </c>
      <c r="AM54" s="185" t="inlineStr">
        <is>
          <t>rsong@coupang.com</t>
        </is>
      </c>
      <c r="AN54" s="186" t="inlineStr">
        <is>
          <t>+82 (0)1 577 7011</t>
        </is>
      </c>
      <c r="AO54" s="187" t="inlineStr">
        <is>
          <t>Seoul, South Korea</t>
        </is>
      </c>
      <c r="AP54" s="188" t="inlineStr">
        <is>
          <t>570, Songpa Road, Songpa-gu, Seoul</t>
        </is>
      </c>
      <c r="AQ54" s="189" t="inlineStr">
        <is>
          <t>18th Floor, Shincheon-dong</t>
        </is>
      </c>
      <c r="AR54" s="190" t="inlineStr">
        <is>
          <t>Seoul</t>
        </is>
      </c>
      <c r="AS54" s="191" t="inlineStr">
        <is>
          <t/>
        </is>
      </c>
      <c r="AT54" s="192" t="inlineStr">
        <is>
          <t/>
        </is>
      </c>
      <c r="AU54" s="193" t="inlineStr">
        <is>
          <t>South Korea</t>
        </is>
      </c>
      <c r="AV54" s="194" t="inlineStr">
        <is>
          <t>+82 (0)1 577 7011</t>
        </is>
      </c>
      <c r="AW54" s="195" t="inlineStr">
        <is>
          <t>+82 (0)23 441 7011</t>
        </is>
      </c>
      <c r="AX54" s="196" t="inlineStr">
        <is>
          <t>help@coupang.com</t>
        </is>
      </c>
      <c r="AY54" s="197" t="inlineStr">
        <is>
          <t>Asia</t>
        </is>
      </c>
      <c r="AZ54" s="198" t="inlineStr">
        <is>
          <t>East Asia</t>
        </is>
      </c>
      <c r="BA54" s="199" t="inlineStr">
        <is>
          <t>Illuminate Ventures sold its stake in the company to undisclosed investors. Earlier, the company raised $2 billion of venture funding from SoftBank Group on November 20, 2018, putting the company's pre-money valuation at $7 billion. Illuminate Ventures also participated in the round.</t>
        </is>
      </c>
      <c r="BB54" s="200" t="inlineStr">
        <is>
          <t>Alpha Venture Partners, Altos Ventures, Basset Investment Group, Beall Investment Partners, BlackRock Private Equity Partners, Crocker Ventures, Cross Creek, Cynthia Padnos, Entrée Capital, Ernest Pomerantz, Evolution VC Partners, FJ Labs, Forward Ventures, Founder Collective, GFO Companies, Greenoaks Capital Partners, Hammerstone Capital, Harbor Pacific Capital, IMM Investment, James Pallotta, Jay Eum, LaunchTime, Maverick Ventures, Max Ventures, Nima Capital, Panorama Point Partners, Primary Venture Partners, Pumori Capital, Rose Park Advisors, Sequoia Capital, Sequoia Heritage, SoftBank Capital, SoftBank Group, Tekton Ventures, The Strand Partners, Toba Capital, WayPoint Capital Partners, Wellington Management</t>
        </is>
      </c>
      <c r="BC54" s="201" t="n">
        <v>38.0</v>
      </c>
      <c r="BD54" s="202" t="inlineStr">
        <is>
          <t/>
        </is>
      </c>
      <c r="BE54" s="203" t="inlineStr">
        <is>
          <t>Illuminate Ventures</t>
        </is>
      </c>
      <c r="BF54" s="204" t="inlineStr">
        <is>
          <t/>
        </is>
      </c>
      <c r="BG54" s="205" t="inlineStr">
        <is>
          <t>Alpha Venture Partners(www.alphavp.com), Altos Ventures(www.altos.vc), Basset Investment Group(www.bassetinvestmentgroup.com), Beall Investment Partners(www.beallinvestmentpartners.com), Crocker Ventures(www.crockerventures.com), Cross Creek(www.crosscreek.vc), Entrée Capital(www.entreecap.com), Evolution VC Partners(www.evolutionadvisorsllc.com), FJ Labs(www.fjlabs.com), Forward Ventures(www.forwardventures.com), Founder Collective(www.foundercollective.com), GFO Companies(www.gfocompanies.com), Greenoaks Capital Partners(www.greenoakscap.com), Hammerstone Capital(www.hammerstonecapital.com), IMM Investment(www.imm.co.kr), LaunchTime(www.launchtime.com), Maverick Ventures(www.maverickventures.com), Max Ventures(www.maxventures.vc), Nima Capital(www.nimacap.com), Panorama Point Partners(www.panoramapoint.com), Primary Venture Partners(www.primary.vc), Pumori Capital(www.pumoricapital.com), Rose Park Advisors(www.roseparkadvisors.com), Sequoia Capital(www.sequoiacap.com), Sequoia Heritage(www.sequoiacap.com/heritage), SoftBank Capital(www.softbankvc.com), SoftBank Group(www.softbank.jp), Tekton Ventures(www.tektonventures.com), The Strand Partners(www.thestrandpartners.com), Toba Capital(www.tobacapital.com), WayPoint Capital Partners(www.waypointcapitalpartners.com), Wellington Management(www.wellington.com)</t>
        </is>
      </c>
      <c r="BH54" s="206" t="inlineStr">
        <is>
          <t>Illuminate Ventures(www.illuminate.com)</t>
        </is>
      </c>
      <c r="BI54" s="207" t="inlineStr">
        <is>
          <t/>
        </is>
      </c>
      <c r="BJ54" s="208" t="inlineStr">
        <is>
          <t>Calibre One(Consulting)</t>
        </is>
      </c>
      <c r="BK54" s="209" t="inlineStr">
        <is>
          <t>Fenwick &amp; West(Legal Advisor), Hughes Hubbard &amp; Reed(Legal Advisor), Morrison &amp; Foerster(Legal Advisor)</t>
        </is>
      </c>
      <c r="BL54" s="210" t="n">
        <v>40631.0</v>
      </c>
      <c r="BM54" s="211" t="n">
        <v>17.84</v>
      </c>
      <c r="BN54" s="212" t="inlineStr">
        <is>
          <t>Actual</t>
        </is>
      </c>
      <c r="BO54" s="213" t="inlineStr">
        <is>
          <t/>
        </is>
      </c>
      <c r="BP54" s="214" t="inlineStr">
        <is>
          <t/>
        </is>
      </c>
      <c r="BQ54" s="215" t="inlineStr">
        <is>
          <t>Early Stage VC</t>
        </is>
      </c>
      <c r="BR54" s="216" t="inlineStr">
        <is>
          <t/>
        </is>
      </c>
      <c r="BS54" s="217" t="inlineStr">
        <is>
          <t/>
        </is>
      </c>
      <c r="BT54" s="218" t="inlineStr">
        <is>
          <t>Venture Capital</t>
        </is>
      </c>
      <c r="BU54" s="219" t="inlineStr">
        <is>
          <t/>
        </is>
      </c>
      <c r="BV54" s="220" t="inlineStr">
        <is>
          <t/>
        </is>
      </c>
      <c r="BW54" s="221" t="inlineStr">
        <is>
          <t/>
        </is>
      </c>
      <c r="BX54" s="222" t="inlineStr">
        <is>
          <t>Completed</t>
        </is>
      </c>
      <c r="BY54" s="223" t="inlineStr">
        <is>
          <t/>
        </is>
      </c>
      <c r="BZ54" s="224" t="inlineStr">
        <is>
          <t/>
        </is>
      </c>
      <c r="CA54" s="225" t="inlineStr">
        <is>
          <t/>
        </is>
      </c>
      <c r="CB54" s="226" t="inlineStr">
        <is>
          <t/>
        </is>
      </c>
      <c r="CC54" s="227" t="inlineStr">
        <is>
          <t/>
        </is>
      </c>
      <c r="CD54" s="228" t="inlineStr">
        <is>
          <t>Secondary Transaction - Private</t>
        </is>
      </c>
      <c r="CE54" s="229" t="inlineStr">
        <is>
          <t/>
        </is>
      </c>
      <c r="CF54" s="230" t="inlineStr">
        <is>
          <t/>
        </is>
      </c>
      <c r="CG54" s="231" t="inlineStr">
        <is>
          <t>Venture Capital</t>
        </is>
      </c>
      <c r="CH54" s="232" t="inlineStr">
        <is>
          <t/>
        </is>
      </c>
      <c r="CI54" s="233" t="inlineStr">
        <is>
          <t/>
        </is>
      </c>
      <c r="CJ54" s="234" t="inlineStr">
        <is>
          <t/>
        </is>
      </c>
      <c r="CK54" s="235" t="inlineStr">
        <is>
          <t>Completed</t>
        </is>
      </c>
      <c r="CL54" s="236" t="inlineStr">
        <is>
          <t/>
        </is>
      </c>
      <c r="CM54" s="237" t="inlineStr">
        <is>
          <t/>
        </is>
      </c>
      <c r="CN54" s="238" t="n">
        <v>1.4</v>
      </c>
      <c r="CO54" s="239" t="n">
        <v>99.0</v>
      </c>
      <c r="CP54" s="240" t="n">
        <v>0.14</v>
      </c>
      <c r="CQ54" s="241" t="n">
        <v>11.18</v>
      </c>
      <c r="CR54" s="242" t="n">
        <v>4.24</v>
      </c>
      <c r="CS54" s="243" t="n">
        <v>100.0</v>
      </c>
      <c r="CT54" s="244" t="n">
        <v>-0.27</v>
      </c>
      <c r="CU54" s="245" t="n">
        <v>1.0</v>
      </c>
      <c r="CV54" s="246" t="n">
        <v>1.48</v>
      </c>
      <c r="CW54" s="247" t="n">
        <v>89.0</v>
      </c>
      <c r="CX54" s="248" t="n">
        <v>6.99</v>
      </c>
      <c r="CY54" s="249" t="n">
        <v>100.0</v>
      </c>
      <c r="CZ54" s="250" t="n">
        <v>-0.64</v>
      </c>
      <c r="DA54" s="251" t="n">
        <v>1.0</v>
      </c>
      <c r="DB54" s="252" t="n">
        <v>147.06</v>
      </c>
      <c r="DC54" s="253" t="n">
        <v>100.0</v>
      </c>
      <c r="DD54" s="254" t="n">
        <v>8.53</v>
      </c>
      <c r="DE54" s="255" t="n">
        <v>6.16</v>
      </c>
      <c r="DF54" s="256" t="n">
        <v>133.92</v>
      </c>
      <c r="DG54" s="257" t="n">
        <v>100.0</v>
      </c>
      <c r="DH54" s="258" t="n">
        <v>304.8</v>
      </c>
      <c r="DI54" s="259" t="n">
        <v>99.0</v>
      </c>
      <c r="DJ54" s="260" t="n">
        <v>83.95</v>
      </c>
      <c r="DK54" s="261" t="n">
        <v>97.0</v>
      </c>
      <c r="DL54" s="262" t="n">
        <v>183.88</v>
      </c>
      <c r="DM54" s="263" t="n">
        <v>100.0</v>
      </c>
      <c r="DN54" s="264" t="n">
        <v>62.21</v>
      </c>
      <c r="DO54" s="265" t="n">
        <v>97.0</v>
      </c>
      <c r="DP54" s="266" t="n">
        <v>59869.0</v>
      </c>
      <c r="DQ54" s="267" t="n">
        <v>-94.0</v>
      </c>
      <c r="DR54" s="268" t="n">
        <v>-0.16</v>
      </c>
      <c r="DS54" s="269" t="n">
        <v>6166.0</v>
      </c>
      <c r="DT54" s="270" t="n">
        <v>243.0</v>
      </c>
      <c r="DU54" s="271" t="n">
        <v>4.1</v>
      </c>
      <c r="DV54" s="272" t="n">
        <v>22345.0</v>
      </c>
      <c r="DW54" s="273" t="n">
        <v>-85.0</v>
      </c>
      <c r="DX54" s="274" t="n">
        <v>-0.38</v>
      </c>
      <c r="DY54" s="275" t="inlineStr">
        <is>
          <t>PitchBook Research</t>
        </is>
      </c>
      <c r="DZ54" s="276" t="n">
        <v>43538.0</v>
      </c>
      <c r="EA54" s="277" t="n">
        <v>9000.0</v>
      </c>
      <c r="EB54" s="278" t="n">
        <v>43424.0</v>
      </c>
      <c r="EC54" s="279" t="inlineStr">
        <is>
          <t>Later Stage VC</t>
        </is>
      </c>
      <c r="ED54" s="548">
        <f>HYPERLINK("https://my.pitchbook.com?c=51736-87", "View company online")</f>
      </c>
    </row>
    <row r="55">
      <c r="A55" s="13" t="inlineStr">
        <is>
          <t>97965-01</t>
        </is>
      </c>
      <c r="B55" s="14" t="inlineStr">
        <is>
          <t>Shimamura Co. (TKS: 8227)</t>
        </is>
      </c>
      <c r="C55" s="15" t="inlineStr">
        <is>
          <t/>
        </is>
      </c>
      <c r="D55" s="16" t="inlineStr">
        <is>
          <t>Shimamura</t>
        </is>
      </c>
      <c r="E55" s="17" t="inlineStr">
        <is>
          <t>97965-01</t>
        </is>
      </c>
      <c r="F55" s="18" t="inlineStr">
        <is>
          <t>Shimamura Co Ltd is a Japanese apparel retailer. Its core business is Fashion Center Temura, which has over 1,000 stores and sells items for families, primarily to housewives in their twenties to fifties. Fashion Center Temura focuses on low price private brands. Stores are in residential areas in the suburbs and in large cities, including Tokyo and Osaka. Shimamura has more than 500 stores under other brand names that include Casual and Shoes Avel, Baby/Chilren's Goods Birthday, Chambre, and Divero. The company's stores are primarily in Japan, but it has some brands in Taiwan and Shanghai.</t>
        </is>
      </c>
      <c r="G55" s="19" t="inlineStr">
        <is>
          <t>Consumer Products and Services (B2C)</t>
        </is>
      </c>
      <c r="H55" s="20" t="inlineStr">
        <is>
          <t>Apparel and Accessories</t>
        </is>
      </c>
      <c r="I55" s="21" t="inlineStr">
        <is>
          <t>Clothing</t>
        </is>
      </c>
      <c r="J55" s="22" t="inlineStr">
        <is>
          <t>Clothing*</t>
        </is>
      </c>
      <c r="K55" s="23" t="inlineStr">
        <is>
          <t/>
        </is>
      </c>
      <c r="L55" s="24" t="inlineStr">
        <is>
          <t/>
        </is>
      </c>
      <c r="M55" s="25" t="inlineStr">
        <is>
          <t>Corporation</t>
        </is>
      </c>
      <c r="N55" s="26" t="inlineStr">
        <is>
          <t/>
        </is>
      </c>
      <c r="O55" s="27" t="inlineStr">
        <is>
          <t>Profitable</t>
        </is>
      </c>
      <c r="P55" s="28" t="inlineStr">
        <is>
          <t>Publicly Held</t>
        </is>
      </c>
      <c r="Q55" s="29" t="inlineStr">
        <is>
          <t>Publicly Listed</t>
        </is>
      </c>
      <c r="R55" s="30" t="inlineStr">
        <is>
          <t>www.shimamura.gr.jp</t>
        </is>
      </c>
      <c r="S55" s="31" t="n">
        <v>15848.0</v>
      </c>
      <c r="T55" s="32" t="inlineStr">
        <is>
          <t>2006: 1657, 2007: 1745, 2008: 1895, 2009: 2009, 2010: 2079, 2011: 2234, 2012: 2218, 2013: 2283, 2014: 2358, 2015: 2475, 2016: 2549, 2017: 2615, 2018: 15848</t>
        </is>
      </c>
      <c r="U55" s="33" t="inlineStr">
        <is>
          <t>TKS</t>
        </is>
      </c>
      <c r="V55" s="34" t="inlineStr">
        <is>
          <t>8227</t>
        </is>
      </c>
      <c r="W55" s="35" t="inlineStr">
        <is>
          <t/>
        </is>
      </c>
      <c r="X55" s="36" t="inlineStr">
        <is>
          <t/>
        </is>
      </c>
      <c r="Y55" s="37" t="inlineStr">
        <is>
          <t/>
        </is>
      </c>
      <c r="Z55" s="38" t="inlineStr">
        <is>
          <t/>
        </is>
      </c>
      <c r="AA55" s="39" t="n">
        <v>4969.17</v>
      </c>
      <c r="AB55" s="40" t="n">
        <v>1612.64</v>
      </c>
      <c r="AC55" s="41" t="n">
        <v>176.35</v>
      </c>
      <c r="AD55" s="42" t="n">
        <v>1610.49</v>
      </c>
      <c r="AE55" s="43" t="n">
        <v>300.96</v>
      </c>
      <c r="AF55" s="44" t="inlineStr">
        <is>
          <t>TTM 3Q2019</t>
        </is>
      </c>
      <c r="AG55" s="45" t="n">
        <v>249.01</v>
      </c>
      <c r="AH55" s="46" t="n">
        <v>3107.59</v>
      </c>
      <c r="AI55" s="47" t="n">
        <v>-1361.14</v>
      </c>
      <c r="AJ55" s="48" t="inlineStr">
        <is>
          <t/>
        </is>
      </c>
      <c r="AK55" s="49" t="inlineStr">
        <is>
          <t/>
        </is>
      </c>
      <c r="AL55" s="50" t="inlineStr">
        <is>
          <t/>
        </is>
      </c>
      <c r="AM55" s="51" t="inlineStr">
        <is>
          <t/>
        </is>
      </c>
      <c r="AN55" s="52" t="inlineStr">
        <is>
          <t/>
        </is>
      </c>
      <c r="AO55" s="53" t="inlineStr">
        <is>
          <t>Saitama, Japan</t>
        </is>
      </c>
      <c r="AP55" s="54" t="inlineStr">
        <is>
          <t/>
        </is>
      </c>
      <c r="AQ55" s="55" t="inlineStr">
        <is>
          <t/>
        </is>
      </c>
      <c r="AR55" s="56" t="inlineStr">
        <is>
          <t>Saitama</t>
        </is>
      </c>
      <c r="AS55" s="57" t="inlineStr">
        <is>
          <t/>
        </is>
      </c>
      <c r="AT55" s="58" t="inlineStr">
        <is>
          <t/>
        </is>
      </c>
      <c r="AU55" s="59" t="inlineStr">
        <is>
          <t>Japan</t>
        </is>
      </c>
      <c r="AV55" s="60" t="inlineStr">
        <is>
          <t/>
        </is>
      </c>
      <c r="AW55" s="61" t="inlineStr">
        <is>
          <t/>
        </is>
      </c>
      <c r="AX55" s="62" t="inlineStr">
        <is>
          <t/>
        </is>
      </c>
      <c r="AY55" s="63" t="inlineStr">
        <is>
          <t>Asia</t>
        </is>
      </c>
      <c r="AZ55" s="64" t="inlineStr">
        <is>
          <t>East Asia</t>
        </is>
      </c>
      <c r="BA55" s="65" t="inlineStr">
        <is>
          <t/>
        </is>
      </c>
      <c r="BB55" s="66" t="inlineStr">
        <is>
          <t/>
        </is>
      </c>
      <c r="BC55" s="67" t="inlineStr">
        <is>
          <t/>
        </is>
      </c>
      <c r="BD55" s="68" t="inlineStr">
        <is>
          <t/>
        </is>
      </c>
      <c r="BE55" s="69" t="inlineStr">
        <is>
          <t/>
        </is>
      </c>
      <c r="BF55" s="70" t="inlineStr">
        <is>
          <t/>
        </is>
      </c>
      <c r="BG55" s="71" t="inlineStr">
        <is>
          <t/>
        </is>
      </c>
      <c r="BH55" s="72" t="inlineStr">
        <is>
          <t/>
        </is>
      </c>
      <c r="BI55" s="73" t="inlineStr">
        <is>
          <t/>
        </is>
      </c>
      <c r="BJ55" s="74" t="inlineStr">
        <is>
          <t/>
        </is>
      </c>
      <c r="BK55" s="75" t="inlineStr">
        <is>
          <t/>
        </is>
      </c>
      <c r="BL55" s="76" t="inlineStr">
        <is>
          <t/>
        </is>
      </c>
      <c r="BM55" s="77" t="inlineStr">
        <is>
          <t/>
        </is>
      </c>
      <c r="BN55" s="78" t="inlineStr">
        <is>
          <t/>
        </is>
      </c>
      <c r="BO55" s="79" t="inlineStr">
        <is>
          <t/>
        </is>
      </c>
      <c r="BP55" s="80" t="inlineStr">
        <is>
          <t/>
        </is>
      </c>
      <c r="BQ55" s="81" t="inlineStr">
        <is>
          <t/>
        </is>
      </c>
      <c r="BR55" s="82" t="inlineStr">
        <is>
          <t/>
        </is>
      </c>
      <c r="BS55" s="83" t="inlineStr">
        <is>
          <t/>
        </is>
      </c>
      <c r="BT55" s="84" t="inlineStr">
        <is>
          <t/>
        </is>
      </c>
      <c r="BU55" s="85" t="inlineStr">
        <is>
          <t/>
        </is>
      </c>
      <c r="BV55" s="86" t="inlineStr">
        <is>
          <t/>
        </is>
      </c>
      <c r="BW55" s="87" t="inlineStr">
        <is>
          <t/>
        </is>
      </c>
      <c r="BX55" s="88" t="inlineStr">
        <is>
          <t/>
        </is>
      </c>
      <c r="BY55" s="89" t="inlineStr">
        <is>
          <t/>
        </is>
      </c>
      <c r="BZ55" s="90" t="inlineStr">
        <is>
          <t/>
        </is>
      </c>
      <c r="CA55" s="91" t="inlineStr">
        <is>
          <t/>
        </is>
      </c>
      <c r="CB55" s="92" t="inlineStr">
        <is>
          <t/>
        </is>
      </c>
      <c r="CC55" s="93" t="inlineStr">
        <is>
          <t/>
        </is>
      </c>
      <c r="CD55" s="94" t="inlineStr">
        <is>
          <t/>
        </is>
      </c>
      <c r="CE55" s="95" t="inlineStr">
        <is>
          <t/>
        </is>
      </c>
      <c r="CF55" s="96" t="inlineStr">
        <is>
          <t/>
        </is>
      </c>
      <c r="CG55" s="97" t="inlineStr">
        <is>
          <t/>
        </is>
      </c>
      <c r="CH55" s="98" t="inlineStr">
        <is>
          <t/>
        </is>
      </c>
      <c r="CI55" s="99" t="inlineStr">
        <is>
          <t/>
        </is>
      </c>
      <c r="CJ55" s="100" t="inlineStr">
        <is>
          <t/>
        </is>
      </c>
      <c r="CK55" s="101" t="inlineStr">
        <is>
          <t/>
        </is>
      </c>
      <c r="CL55" s="102" t="inlineStr">
        <is>
          <t/>
        </is>
      </c>
      <c r="CM55" s="103" t="inlineStr">
        <is>
          <t/>
        </is>
      </c>
      <c r="CN55" s="104" t="n">
        <v>-3.59</v>
      </c>
      <c r="CO55" s="105" t="n">
        <v>1.0</v>
      </c>
      <c r="CP55" s="106" t="n">
        <v>0.01</v>
      </c>
      <c r="CQ55" s="107" t="n">
        <v>0.17</v>
      </c>
      <c r="CR55" s="108" t="n">
        <v>-3.59</v>
      </c>
      <c r="CS55" s="109" t="n">
        <v>2.0</v>
      </c>
      <c r="CT55" s="110" t="inlineStr">
        <is>
          <t/>
        </is>
      </c>
      <c r="CU55" s="111" t="inlineStr">
        <is>
          <t/>
        </is>
      </c>
      <c r="CV55" s="112" t="n">
        <v>-8.15</v>
      </c>
      <c r="CW55" s="113" t="n">
        <v>3.0</v>
      </c>
      <c r="CX55" s="114" t="n">
        <v>0.98</v>
      </c>
      <c r="CY55" s="115" t="n">
        <v>97.0</v>
      </c>
      <c r="CZ55" s="116" t="inlineStr">
        <is>
          <t/>
        </is>
      </c>
      <c r="DA55" s="117" t="inlineStr">
        <is>
          <t/>
        </is>
      </c>
      <c r="DB55" s="118" t="n">
        <v>48.9</v>
      </c>
      <c r="DC55" s="119" t="n">
        <v>98.0</v>
      </c>
      <c r="DD55" s="120" t="n">
        <v>11.96</v>
      </c>
      <c r="DE55" s="121" t="n">
        <v>32.37</v>
      </c>
      <c r="DF55" s="122" t="n">
        <v>48.9</v>
      </c>
      <c r="DG55" s="123" t="n">
        <v>98.0</v>
      </c>
      <c r="DH55" s="124" t="inlineStr">
        <is>
          <t/>
        </is>
      </c>
      <c r="DI55" s="125" t="inlineStr">
        <is>
          <t/>
        </is>
      </c>
      <c r="DJ55" s="126" t="n">
        <v>1.5</v>
      </c>
      <c r="DK55" s="127" t="n">
        <v>59.0</v>
      </c>
      <c r="DL55" s="128" t="n">
        <v>96.29</v>
      </c>
      <c r="DM55" s="129" t="n">
        <v>99.0</v>
      </c>
      <c r="DN55" s="130" t="inlineStr">
        <is>
          <t/>
        </is>
      </c>
      <c r="DO55" s="131" t="inlineStr">
        <is>
          <t/>
        </is>
      </c>
      <c r="DP55" s="132" t="n">
        <v>1085.0</v>
      </c>
      <c r="DQ55" s="133" t="n">
        <v>-141.0</v>
      </c>
      <c r="DR55" s="134" t="n">
        <v>-11.5</v>
      </c>
      <c r="DS55" s="135" t="n">
        <v>3266.0</v>
      </c>
      <c r="DT55" s="136" t="n">
        <v>15.0</v>
      </c>
      <c r="DU55" s="137" t="n">
        <v>0.46</v>
      </c>
      <c r="DV55" s="138" t="inlineStr">
        <is>
          <t/>
        </is>
      </c>
      <c r="DW55" s="139" t="inlineStr">
        <is>
          <t/>
        </is>
      </c>
      <c r="DX55" s="140" t="inlineStr">
        <is>
          <t/>
        </is>
      </c>
      <c r="DY55" s="141" t="inlineStr">
        <is>
          <t>PitchBook Research</t>
        </is>
      </c>
      <c r="DZ55" s="142" t="n">
        <v>43491.0</v>
      </c>
      <c r="EA55" s="143" t="inlineStr">
        <is>
          <t/>
        </is>
      </c>
      <c r="EB55" s="144" t="inlineStr">
        <is>
          <t/>
        </is>
      </c>
      <c r="EC55" s="145" t="inlineStr">
        <is>
          <t/>
        </is>
      </c>
      <c r="ED55" s="547">
        <f>HYPERLINK("https://my.pitchbook.com?c=97965-01", "View company online")</f>
      </c>
    </row>
    <row r="56">
      <c r="A56" s="147" t="inlineStr">
        <is>
          <t>59321-71</t>
        </is>
      </c>
      <c r="B56" s="148" t="inlineStr">
        <is>
          <t>Lojas Americanas (BSP: LAME3)</t>
        </is>
      </c>
      <c r="C56" s="149" t="inlineStr">
        <is>
          <t/>
        </is>
      </c>
      <c r="D56" s="150" t="inlineStr">
        <is>
          <t/>
        </is>
      </c>
      <c r="E56" s="151" t="inlineStr">
        <is>
          <t>59321-71</t>
        </is>
      </c>
      <c r="F56" s="152" t="inlineStr">
        <is>
          <t>Lojas Americanas SA is a Brazilian retail chain involved in operating department stores. The business is divided into three segments: physical trade, which sells retail goods through Lojas Americanas and Express stores; electronic commerce, which sells electronic goods; and other, which is engaged in various other activities. The company operates under two brands: Lojas Americanas and Express.</t>
        </is>
      </c>
      <c r="G56" s="153" t="inlineStr">
        <is>
          <t>Consumer Products and Services (B2C)</t>
        </is>
      </c>
      <c r="H56" s="154" t="inlineStr">
        <is>
          <t>Retail</t>
        </is>
      </c>
      <c r="I56" s="155" t="inlineStr">
        <is>
          <t>Department Stores</t>
        </is>
      </c>
      <c r="J56" s="156" t="inlineStr">
        <is>
          <t>Clothing, Department Stores*, Electronics (B2C), Household Products</t>
        </is>
      </c>
      <c r="K56" s="157" t="inlineStr">
        <is>
          <t>TMT</t>
        </is>
      </c>
      <c r="L56" s="158" t="inlineStr">
        <is>
          <t/>
        </is>
      </c>
      <c r="M56" s="159" t="inlineStr">
        <is>
          <t>Corporation</t>
        </is>
      </c>
      <c r="N56" s="160" t="inlineStr">
        <is>
          <t/>
        </is>
      </c>
      <c r="O56" s="161" t="inlineStr">
        <is>
          <t>Profitable</t>
        </is>
      </c>
      <c r="P56" s="162" t="inlineStr">
        <is>
          <t>Publicly Held</t>
        </is>
      </c>
      <c r="Q56" s="163" t="inlineStr">
        <is>
          <t>Publicly Listed</t>
        </is>
      </c>
      <c r="R56" s="164" t="inlineStr">
        <is>
          <t>ri.lasa.com.br</t>
        </is>
      </c>
      <c r="S56" s="165" t="inlineStr">
        <is>
          <t/>
        </is>
      </c>
      <c r="T56" s="166" t="inlineStr">
        <is>
          <t/>
        </is>
      </c>
      <c r="U56" s="167" t="inlineStr">
        <is>
          <t>BSP</t>
        </is>
      </c>
      <c r="V56" s="168" t="inlineStr">
        <is>
          <t>LAME3</t>
        </is>
      </c>
      <c r="W56" s="169" t="inlineStr">
        <is>
          <t/>
        </is>
      </c>
      <c r="X56" s="170" t="inlineStr">
        <is>
          <t/>
        </is>
      </c>
      <c r="Y56" s="171" t="inlineStr">
        <is>
          <t/>
        </is>
      </c>
      <c r="Z56" s="172" t="inlineStr">
        <is>
          <t>News (New) </t>
        </is>
      </c>
      <c r="AA56" s="173" t="n">
        <v>4840.17</v>
      </c>
      <c r="AB56" s="174" t="n">
        <v>1657.99</v>
      </c>
      <c r="AC56" s="175" t="n">
        <v>104.11</v>
      </c>
      <c r="AD56" s="176" t="n">
        <v>9540.97</v>
      </c>
      <c r="AE56" s="177" t="n">
        <v>644.89</v>
      </c>
      <c r="AF56" s="178" t="inlineStr">
        <is>
          <t>FY 2018</t>
        </is>
      </c>
      <c r="AG56" s="179" t="n">
        <v>388.97</v>
      </c>
      <c r="AH56" s="180" t="n">
        <v>6597.93</v>
      </c>
      <c r="AI56" s="181" t="n">
        <v>1452.12</v>
      </c>
      <c r="AJ56" s="182" t="inlineStr">
        <is>
          <t>42078-88P</t>
        </is>
      </c>
      <c r="AK56" s="183" t="inlineStr">
        <is>
          <t>Marcos Tanaka</t>
        </is>
      </c>
      <c r="AL56" s="184" t="inlineStr">
        <is>
          <t>Executive</t>
        </is>
      </c>
      <c r="AM56" s="185" t="inlineStr">
        <is>
          <t>marcos.tanaka@lasa.com.br</t>
        </is>
      </c>
      <c r="AN56" s="186" t="inlineStr">
        <is>
          <t>+55 21 2206 6503</t>
        </is>
      </c>
      <c r="AO56" s="187" t="inlineStr">
        <is>
          <t>Rio de Janeiro, Brazil</t>
        </is>
      </c>
      <c r="AP56" s="188" t="inlineStr">
        <is>
          <t>R Sacadura Cabral 102</t>
        </is>
      </c>
      <c r="AQ56" s="189" t="inlineStr">
        <is>
          <t>3 Andar</t>
        </is>
      </c>
      <c r="AR56" s="190" t="inlineStr">
        <is>
          <t>Rio de Janeiro</t>
        </is>
      </c>
      <c r="AS56" s="191" t="inlineStr">
        <is>
          <t>RJ</t>
        </is>
      </c>
      <c r="AT56" s="192" t="inlineStr">
        <is>
          <t>20081-902</t>
        </is>
      </c>
      <c r="AU56" s="193" t="inlineStr">
        <is>
          <t>Brazil</t>
        </is>
      </c>
      <c r="AV56" s="194" t="inlineStr">
        <is>
          <t>+55 21 2206 6503</t>
        </is>
      </c>
      <c r="AW56" s="195" t="inlineStr">
        <is>
          <t>+55 21 2206 6687</t>
        </is>
      </c>
      <c r="AX56" s="196" t="inlineStr">
        <is>
          <t/>
        </is>
      </c>
      <c r="AY56" s="197" t="inlineStr">
        <is>
          <t>Americas</t>
        </is>
      </c>
      <c r="AZ56" s="198" t="inlineStr">
        <is>
          <t>South America</t>
        </is>
      </c>
      <c r="BA56" s="199" t="inlineStr">
        <is>
          <t/>
        </is>
      </c>
      <c r="BB56" s="200" t="inlineStr">
        <is>
          <t/>
        </is>
      </c>
      <c r="BC56" s="201" t="inlineStr">
        <is>
          <t/>
        </is>
      </c>
      <c r="BD56" s="202" t="inlineStr">
        <is>
          <t/>
        </is>
      </c>
      <c r="BE56" s="203" t="inlineStr">
        <is>
          <t>Peter Kellner</t>
        </is>
      </c>
      <c r="BF56" s="204" t="inlineStr">
        <is>
          <t/>
        </is>
      </c>
      <c r="BG56" s="205" t="inlineStr">
        <is>
          <t/>
        </is>
      </c>
      <c r="BH56" s="206" t="inlineStr">
        <is>
          <t/>
        </is>
      </c>
      <c r="BI56" s="207" t="inlineStr">
        <is>
          <t/>
        </is>
      </c>
      <c r="BJ56" s="208" t="inlineStr">
        <is>
          <t/>
        </is>
      </c>
      <c r="BK56" s="209" t="inlineStr">
        <is>
          <t/>
        </is>
      </c>
      <c r="BL56" s="210" t="inlineStr">
        <is>
          <t/>
        </is>
      </c>
      <c r="BM56" s="211" t="inlineStr">
        <is>
          <t/>
        </is>
      </c>
      <c r="BN56" s="212" t="inlineStr">
        <is>
          <t/>
        </is>
      </c>
      <c r="BO56" s="213" t="inlineStr">
        <is>
          <t/>
        </is>
      </c>
      <c r="BP56" s="214" t="inlineStr">
        <is>
          <t/>
        </is>
      </c>
      <c r="BQ56" s="215" t="inlineStr">
        <is>
          <t/>
        </is>
      </c>
      <c r="BR56" s="216" t="inlineStr">
        <is>
          <t/>
        </is>
      </c>
      <c r="BS56" s="217" t="inlineStr">
        <is>
          <t/>
        </is>
      </c>
      <c r="BT56" s="218" t="inlineStr">
        <is>
          <t/>
        </is>
      </c>
      <c r="BU56" s="219" t="inlineStr">
        <is>
          <t/>
        </is>
      </c>
      <c r="BV56" s="220" t="inlineStr">
        <is>
          <t/>
        </is>
      </c>
      <c r="BW56" s="221" t="inlineStr">
        <is>
          <t/>
        </is>
      </c>
      <c r="BX56" s="222" t="inlineStr">
        <is>
          <t/>
        </is>
      </c>
      <c r="BY56" s="223" t="inlineStr">
        <is>
          <t/>
        </is>
      </c>
      <c r="BZ56" s="224" t="inlineStr">
        <is>
          <t/>
        </is>
      </c>
      <c r="CA56" s="225" t="inlineStr">
        <is>
          <t/>
        </is>
      </c>
      <c r="CB56" s="226" t="inlineStr">
        <is>
          <t/>
        </is>
      </c>
      <c r="CC56" s="227" t="inlineStr">
        <is>
          <t/>
        </is>
      </c>
      <c r="CD56" s="228" t="inlineStr">
        <is>
          <t/>
        </is>
      </c>
      <c r="CE56" s="229" t="inlineStr">
        <is>
          <t/>
        </is>
      </c>
      <c r="CF56" s="230" t="inlineStr">
        <is>
          <t/>
        </is>
      </c>
      <c r="CG56" s="231" t="inlineStr">
        <is>
          <t/>
        </is>
      </c>
      <c r="CH56" s="232" t="inlineStr">
        <is>
          <t/>
        </is>
      </c>
      <c r="CI56" s="233" t="inlineStr">
        <is>
          <t/>
        </is>
      </c>
      <c r="CJ56" s="234" t="inlineStr">
        <is>
          <t/>
        </is>
      </c>
      <c r="CK56" s="235" t="inlineStr">
        <is>
          <t/>
        </is>
      </c>
      <c r="CL56" s="236" t="inlineStr">
        <is>
          <t/>
        </is>
      </c>
      <c r="CM56" s="237" t="inlineStr">
        <is>
          <t/>
        </is>
      </c>
      <c r="CN56" s="238" t="n">
        <v>0.12</v>
      </c>
      <c r="CO56" s="239" t="n">
        <v>86.0</v>
      </c>
      <c r="CP56" s="240" t="n">
        <v>-0.02</v>
      </c>
      <c r="CQ56" s="241" t="n">
        <v>-12.59</v>
      </c>
      <c r="CR56" s="242" t="inlineStr">
        <is>
          <t/>
        </is>
      </c>
      <c r="CS56" s="243" t="inlineStr">
        <is>
          <t/>
        </is>
      </c>
      <c r="CT56" s="244" t="n">
        <v>0.12</v>
      </c>
      <c r="CU56" s="245" t="n">
        <v>76.0</v>
      </c>
      <c r="CV56" s="246" t="inlineStr">
        <is>
          <t/>
        </is>
      </c>
      <c r="CW56" s="247" t="inlineStr">
        <is>
          <t/>
        </is>
      </c>
      <c r="CX56" s="248" t="inlineStr">
        <is>
          <t/>
        </is>
      </c>
      <c r="CY56" s="249" t="inlineStr">
        <is>
          <t/>
        </is>
      </c>
      <c r="CZ56" s="250" t="n">
        <v>0.21</v>
      </c>
      <c r="DA56" s="251" t="n">
        <v>86.0</v>
      </c>
      <c r="DB56" s="252" t="n">
        <v>4326.9</v>
      </c>
      <c r="DC56" s="253" t="n">
        <v>100.0</v>
      </c>
      <c r="DD56" s="254" t="n">
        <v>9.75</v>
      </c>
      <c r="DE56" s="255" t="n">
        <v>0.23</v>
      </c>
      <c r="DF56" s="256" t="inlineStr">
        <is>
          <t/>
        </is>
      </c>
      <c r="DG56" s="257" t="inlineStr">
        <is>
          <t/>
        </is>
      </c>
      <c r="DH56" s="258" t="n">
        <v>4326.9</v>
      </c>
      <c r="DI56" s="259" t="n">
        <v>100.0</v>
      </c>
      <c r="DJ56" s="260" t="inlineStr">
        <is>
          <t/>
        </is>
      </c>
      <c r="DK56" s="261" t="inlineStr">
        <is>
          <t/>
        </is>
      </c>
      <c r="DL56" s="262" t="inlineStr">
        <is>
          <t/>
        </is>
      </c>
      <c r="DM56" s="263" t="inlineStr">
        <is>
          <t/>
        </is>
      </c>
      <c r="DN56" s="264" t="n">
        <v>24.56</v>
      </c>
      <c r="DO56" s="265" t="n">
        <v>94.0</v>
      </c>
      <c r="DP56" s="266" t="inlineStr">
        <is>
          <t/>
        </is>
      </c>
      <c r="DQ56" s="267" t="inlineStr">
        <is>
          <t/>
        </is>
      </c>
      <c r="DR56" s="268" t="inlineStr">
        <is>
          <t/>
        </is>
      </c>
      <c r="DS56" s="269" t="inlineStr">
        <is>
          <t/>
        </is>
      </c>
      <c r="DT56" s="270" t="inlineStr">
        <is>
          <t/>
        </is>
      </c>
      <c r="DU56" s="271" t="inlineStr">
        <is>
          <t/>
        </is>
      </c>
      <c r="DV56" s="272" t="n">
        <v>8810.0</v>
      </c>
      <c r="DW56" s="273" t="n">
        <v>12.0</v>
      </c>
      <c r="DX56" s="274" t="n">
        <v>0.14</v>
      </c>
      <c r="DY56" s="275" t="inlineStr">
        <is>
          <t>PitchBook Research</t>
        </is>
      </c>
      <c r="DZ56" s="276" t="n">
        <v>43492.0</v>
      </c>
      <c r="EA56" s="277" t="inlineStr">
        <is>
          <t/>
        </is>
      </c>
      <c r="EB56" s="278" t="inlineStr">
        <is>
          <t/>
        </is>
      </c>
      <c r="EC56" s="279" t="inlineStr">
        <is>
          <t/>
        </is>
      </c>
      <c r="ED56" s="548">
        <f>HYPERLINK("https://my.pitchbook.com?c=59321-71", "View company online")</f>
      </c>
    </row>
    <row r="57">
      <c r="A57" s="13" t="inlineStr">
        <is>
          <t>61485-04</t>
        </is>
      </c>
      <c r="B57" s="14" t="inlineStr">
        <is>
          <t>JD Sports Fashion (LON: JD.)</t>
        </is>
      </c>
      <c r="C57" s="15" t="inlineStr">
        <is>
          <t>The John David Group</t>
        </is>
      </c>
      <c r="D57" s="16" t="inlineStr">
        <is>
          <t>JD</t>
        </is>
      </c>
      <c r="E57" s="17" t="inlineStr">
        <is>
          <t>61485-04</t>
        </is>
      </c>
      <c r="F57" s="18" t="inlineStr">
        <is>
          <t>JD Sports Fashion PLC is a U.K. retailer of branded sportswear and fashionwear. The company has stores in the United Kingdom, mainland Europe, and outside Europe. The offering includes internationally brands, such as Nike, Adidas, and The North Face, and own-brand labels, such as McKenzie, Carbrini, Supply &amp; Demand and The Duffer of St George. The store network consists of various shops: Size?, Footpatrol, Chausport, Sprinter, Scotts, Tessuti, Cloggs, Mainline, and Ultimate Outdoors, among others. Stores are specialized: Footpatrol is a sneaker provider; Size? offers footwear, apparel, and accessories; and Chausport operates throughout France selling international footwear brands, such as Nike.</t>
        </is>
      </c>
      <c r="G57" s="19" t="inlineStr">
        <is>
          <t>Business Products and Services (B2B)</t>
        </is>
      </c>
      <c r="H57" s="20" t="inlineStr">
        <is>
          <t>Commercial Services</t>
        </is>
      </c>
      <c r="I57" s="21" t="inlineStr">
        <is>
          <t>Other Commercial Services</t>
        </is>
      </c>
      <c r="J57" s="22" t="inlineStr">
        <is>
          <t>Clothing, Footwear, Other Commercial Services*, Specialty Retail</t>
        </is>
      </c>
      <c r="K57" s="23" t="inlineStr">
        <is>
          <t/>
        </is>
      </c>
      <c r="L57" s="24" t="inlineStr">
        <is>
          <t>catalogue, champion sports, fashion wear, outdoor segments</t>
        </is>
      </c>
      <c r="M57" s="25" t="inlineStr">
        <is>
          <t>Formerly PE-Backed</t>
        </is>
      </c>
      <c r="N57" s="26" t="n">
        <v>253.83</v>
      </c>
      <c r="O57" s="27" t="inlineStr">
        <is>
          <t>Profitable</t>
        </is>
      </c>
      <c r="P57" s="28" t="inlineStr">
        <is>
          <t>Publicly Held</t>
        </is>
      </c>
      <c r="Q57" s="29" t="inlineStr">
        <is>
          <t>M&amp;A, Private Equity, Publicly Listed</t>
        </is>
      </c>
      <c r="R57" s="30" t="inlineStr">
        <is>
          <t>www.jdplc.com</t>
        </is>
      </c>
      <c r="S57" s="31" t="n">
        <v>32383.0</v>
      </c>
      <c r="T57" s="32" t="inlineStr">
        <is>
          <t>1994: 465, 1995: 924, 1996: 1256, 1997: 1883, 1998: 2324, 1999: 3003, 2000: 3472, 2001: 4012, 2002: 5078, 2003: 8849, 2004: 9192, 2005: 8613, 2006: 8770, 2007: 8919, 2008: 8622, 2009: 9694, 2010: 10329, 2011: 11225, 2012: 5108, 2013: 5222, 2014: 16497, 2015: 15825, 2016: 19033, 2017: 23793, 2018: 32383</t>
        </is>
      </c>
      <c r="U57" s="33" t="inlineStr">
        <is>
          <t>LON</t>
        </is>
      </c>
      <c r="V57" s="34" t="inlineStr">
        <is>
          <t>JD.</t>
        </is>
      </c>
      <c r="W57" s="35" t="n">
        <v>1981.0</v>
      </c>
      <c r="X57" s="36" t="inlineStr">
        <is>
          <t/>
        </is>
      </c>
      <c r="Y57" s="37" t="inlineStr">
        <is>
          <t/>
        </is>
      </c>
      <c r="Z57" s="38" t="inlineStr">
        <is>
          <t>News (New) </t>
        </is>
      </c>
      <c r="AA57" s="39" t="n">
        <v>4904.75</v>
      </c>
      <c r="AB57" s="40" t="n">
        <v>2388.58</v>
      </c>
      <c r="AC57" s="41" t="n">
        <v>338.17</v>
      </c>
      <c r="AD57" s="42" t="n">
        <v>5633.16</v>
      </c>
      <c r="AE57" s="43" t="n">
        <v>586.87</v>
      </c>
      <c r="AF57" s="44" t="inlineStr">
        <is>
          <t>TTM 2Q2019</t>
        </is>
      </c>
      <c r="AG57" s="45" t="n">
        <v>426.28</v>
      </c>
      <c r="AH57" s="46" t="n">
        <v>6181.89</v>
      </c>
      <c r="AI57" s="47" t="n">
        <v>111.77</v>
      </c>
      <c r="AJ57" s="48" t="inlineStr">
        <is>
          <t>67334-50P</t>
        </is>
      </c>
      <c r="AK57" s="49" t="inlineStr">
        <is>
          <t>Peter Cowgill</t>
        </is>
      </c>
      <c r="AL57" s="50" t="inlineStr">
        <is>
          <t>Executive Chairman &amp; Chairman, Nomination Committee</t>
        </is>
      </c>
      <c r="AM57" s="51" t="inlineStr">
        <is>
          <t/>
        </is>
      </c>
      <c r="AN57" s="52" t="inlineStr">
        <is>
          <t/>
        </is>
      </c>
      <c r="AO57" s="53" t="inlineStr">
        <is>
          <t>Bury, United Kingdom</t>
        </is>
      </c>
      <c r="AP57" s="54" t="inlineStr">
        <is>
          <t>Hollinsbrook Way</t>
        </is>
      </c>
      <c r="AQ57" s="55" t="inlineStr">
        <is>
          <t>Pilsworth</t>
        </is>
      </c>
      <c r="AR57" s="56" t="inlineStr">
        <is>
          <t>Bury</t>
        </is>
      </c>
      <c r="AS57" s="57" t="inlineStr">
        <is>
          <t>England</t>
        </is>
      </c>
      <c r="AT57" s="58" t="inlineStr">
        <is>
          <t>BL9 8RR</t>
        </is>
      </c>
      <c r="AU57" s="59" t="inlineStr">
        <is>
          <t>United Kingdom</t>
        </is>
      </c>
      <c r="AV57" s="60" t="inlineStr">
        <is>
          <t>+44 (0)16 1767 1000</t>
        </is>
      </c>
      <c r="AW57" s="61" t="inlineStr">
        <is>
          <t>+44 (0)16 1767 1001</t>
        </is>
      </c>
      <c r="AX57" s="62" t="inlineStr">
        <is>
          <t>info@jdplc.com</t>
        </is>
      </c>
      <c r="AY57" s="63" t="inlineStr">
        <is>
          <t>Europe</t>
        </is>
      </c>
      <c r="AZ57" s="64" t="inlineStr">
        <is>
          <t>Western Europe</t>
        </is>
      </c>
      <c r="BA57" s="65" t="inlineStr">
        <is>
          <t>Sports Direct International (LON: SPD) acquired a 7% stake in the company (NYSE: DKS) for an undisclosed date.</t>
        </is>
      </c>
      <c r="BB57" s="66" t="inlineStr">
        <is>
          <t>Sports Direct International</t>
        </is>
      </c>
      <c r="BC57" s="67" t="n">
        <v>1.0</v>
      </c>
      <c r="BD57" s="68" t="inlineStr">
        <is>
          <t>Pentland Group</t>
        </is>
      </c>
      <c r="BE57" s="69" t="inlineStr">
        <is>
          <t/>
        </is>
      </c>
      <c r="BF57" s="70" t="inlineStr">
        <is>
          <t/>
        </is>
      </c>
      <c r="BG57" s="71" t="inlineStr">
        <is>
          <t>Sports Direct International(www.sportsdirectplc.com)</t>
        </is>
      </c>
      <c r="BH57" s="72" t="inlineStr">
        <is>
          <t/>
        </is>
      </c>
      <c r="BI57" s="73" t="inlineStr">
        <is>
          <t/>
        </is>
      </c>
      <c r="BJ57" s="74" t="inlineStr">
        <is>
          <t>Schofield Sweeney(Legal Advisor)</t>
        </is>
      </c>
      <c r="BK57" s="75" t="inlineStr">
        <is>
          <t>Barclays(Debt Financing), HSBC Holdings(Debt Financing), Lloyds Banking Group(Debt Financing), Royal Bank of Scotland(Debt Financing)</t>
        </is>
      </c>
      <c r="BL57" s="76" t="n">
        <v>35360.0</v>
      </c>
      <c r="BM57" s="77" t="inlineStr">
        <is>
          <t/>
        </is>
      </c>
      <c r="BN57" s="78" t="inlineStr">
        <is>
          <t/>
        </is>
      </c>
      <c r="BO57" s="79" t="inlineStr">
        <is>
          <t/>
        </is>
      </c>
      <c r="BP57" s="80" t="inlineStr">
        <is>
          <t/>
        </is>
      </c>
      <c r="BQ57" s="81" t="inlineStr">
        <is>
          <t>IPO</t>
        </is>
      </c>
      <c r="BR57" s="82" t="inlineStr">
        <is>
          <t/>
        </is>
      </c>
      <c r="BS57" s="83" t="inlineStr">
        <is>
          <t/>
        </is>
      </c>
      <c r="BT57" s="84" t="inlineStr">
        <is>
          <t>Public Investment</t>
        </is>
      </c>
      <c r="BU57" s="85" t="inlineStr">
        <is>
          <t/>
        </is>
      </c>
      <c r="BV57" s="86" t="inlineStr">
        <is>
          <t/>
        </is>
      </c>
      <c r="BW57" s="87" t="inlineStr">
        <is>
          <t/>
        </is>
      </c>
      <c r="BX57" s="88" t="inlineStr">
        <is>
          <t>Completed</t>
        </is>
      </c>
      <c r="BY57" s="89" t="inlineStr">
        <is>
          <t/>
        </is>
      </c>
      <c r="BZ57" s="90" t="inlineStr">
        <is>
          <t/>
        </is>
      </c>
      <c r="CA57" s="91" t="inlineStr">
        <is>
          <t/>
        </is>
      </c>
      <c r="CB57" s="92" t="inlineStr">
        <is>
          <t/>
        </is>
      </c>
      <c r="CC57" s="93" t="inlineStr">
        <is>
          <t/>
        </is>
      </c>
      <c r="CD57" s="94" t="inlineStr">
        <is>
          <t>PIPE</t>
        </is>
      </c>
      <c r="CE57" s="95" t="inlineStr">
        <is>
          <t/>
        </is>
      </c>
      <c r="CF57" s="96" t="inlineStr">
        <is>
          <t/>
        </is>
      </c>
      <c r="CG57" s="97" t="inlineStr">
        <is>
          <t>Corporate</t>
        </is>
      </c>
      <c r="CH57" s="98" t="inlineStr">
        <is>
          <t/>
        </is>
      </c>
      <c r="CI57" s="99" t="inlineStr">
        <is>
          <t/>
        </is>
      </c>
      <c r="CJ57" s="100" t="inlineStr">
        <is>
          <t/>
        </is>
      </c>
      <c r="CK57" s="101" t="inlineStr">
        <is>
          <t>Completed</t>
        </is>
      </c>
      <c r="CL57" s="102" t="n">
        <v>40647.0</v>
      </c>
      <c r="CM57" s="103" t="n">
        <v>49.04</v>
      </c>
      <c r="CN57" s="104" t="n">
        <v>0.34</v>
      </c>
      <c r="CO57" s="105" t="n">
        <v>92.0</v>
      </c>
      <c r="CP57" s="106" t="n">
        <v>-0.05</v>
      </c>
      <c r="CQ57" s="107" t="n">
        <v>-13.89</v>
      </c>
      <c r="CR57" s="108" t="n">
        <v>0.06</v>
      </c>
      <c r="CS57" s="109" t="n">
        <v>86.0</v>
      </c>
      <c r="CT57" s="110" t="n">
        <v>0.62</v>
      </c>
      <c r="CU57" s="111" t="n">
        <v>96.0</v>
      </c>
      <c r="CV57" s="112" t="n">
        <v>0.0</v>
      </c>
      <c r="CW57" s="113" t="n">
        <v>33.0</v>
      </c>
      <c r="CX57" s="114" t="n">
        <v>0.11</v>
      </c>
      <c r="CY57" s="115" t="n">
        <v>86.0</v>
      </c>
      <c r="CZ57" s="116" t="n">
        <v>1.03</v>
      </c>
      <c r="DA57" s="117" t="n">
        <v>99.0</v>
      </c>
      <c r="DB57" s="118" t="n">
        <v>788.92</v>
      </c>
      <c r="DC57" s="119" t="n">
        <v>100.0</v>
      </c>
      <c r="DD57" s="120" t="n">
        <v>2.4</v>
      </c>
      <c r="DE57" s="121" t="n">
        <v>0.31</v>
      </c>
      <c r="DF57" s="122" t="n">
        <v>5.31</v>
      </c>
      <c r="DG57" s="123" t="n">
        <v>84.0</v>
      </c>
      <c r="DH57" s="124" t="n">
        <v>1572.52</v>
      </c>
      <c r="DI57" s="125" t="n">
        <v>100.0</v>
      </c>
      <c r="DJ57" s="126" t="n">
        <v>0.38</v>
      </c>
      <c r="DK57" s="127" t="n">
        <v>28.0</v>
      </c>
      <c r="DL57" s="128" t="n">
        <v>10.24</v>
      </c>
      <c r="DM57" s="129" t="n">
        <v>89.0</v>
      </c>
      <c r="DN57" s="130" t="n">
        <v>1.35</v>
      </c>
      <c r="DO57" s="131" t="n">
        <v>56.0</v>
      </c>
      <c r="DP57" s="132" t="n">
        <v>269.0</v>
      </c>
      <c r="DQ57" s="133" t="n">
        <v>3.0</v>
      </c>
      <c r="DR57" s="134" t="n">
        <v>1.13</v>
      </c>
      <c r="DS57" s="135" t="n">
        <v>347.0</v>
      </c>
      <c r="DT57" s="136" t="n">
        <v>2.0</v>
      </c>
      <c r="DU57" s="137" t="n">
        <v>0.58</v>
      </c>
      <c r="DV57" s="138" t="n">
        <v>482.0</v>
      </c>
      <c r="DW57" s="139" t="n">
        <v>5.0</v>
      </c>
      <c r="DX57" s="140" t="n">
        <v>1.05</v>
      </c>
      <c r="DY57" s="141" t="inlineStr">
        <is>
          <t>PitchBook Research</t>
        </is>
      </c>
      <c r="DZ57" s="142" t="n">
        <v>43510.0</v>
      </c>
      <c r="EA57" s="143" t="n">
        <v>198.08</v>
      </c>
      <c r="EB57" s="144" t="n">
        <v>38645.0</v>
      </c>
      <c r="EC57" s="145" t="inlineStr">
        <is>
          <t>PIPE</t>
        </is>
      </c>
      <c r="ED57" s="547">
        <f>HYPERLINK("https://my.pitchbook.com?c=61485-04", "View company online")</f>
      </c>
    </row>
    <row r="58">
      <c r="A58" s="147" t="inlineStr">
        <is>
          <t>55811-89</t>
        </is>
      </c>
      <c r="B58" s="148" t="inlineStr">
        <is>
          <t>AMOREPACIFIC Ventures (KRX: 090430)</t>
        </is>
      </c>
      <c r="C58" s="149" t="inlineStr">
        <is>
          <t/>
        </is>
      </c>
      <c r="D58" s="150" t="inlineStr">
        <is>
          <t/>
        </is>
      </c>
      <c r="E58" s="151" t="inlineStr">
        <is>
          <t>55811-89</t>
        </is>
      </c>
      <c r="F58" s="152" t="inlineStr">
        <is>
          <t>AmorePacific Corp is a Korean beauty, household, and healthcare goods producer. The product categories are moisturizer, eye care, serum and ampoule, cushion and coverage, cleanser, toner and fluid, masque, sun care, and special care. Its most well-known brands are AmorePacific, Sulwhasoo, Laneige, and Etude House. Most of the firm's revenue is generated in Korea, followed by China, Europe, and North America. The company has research centers not only in Korea, but also internationally in countries such as France, Japan, and China.</t>
        </is>
      </c>
      <c r="G58" s="153" t="inlineStr">
        <is>
          <t>Consumer Products and Services (B2C)</t>
        </is>
      </c>
      <c r="H58" s="154" t="inlineStr">
        <is>
          <t>Apparel and Accessories</t>
        </is>
      </c>
      <c r="I58" s="155" t="inlineStr">
        <is>
          <t>Accessories</t>
        </is>
      </c>
      <c r="J58" s="156" t="inlineStr">
        <is>
          <t>Accessories*, Food Products, Personal Products</t>
        </is>
      </c>
      <c r="K58" s="157" t="inlineStr">
        <is>
          <t>Manufacturing</t>
        </is>
      </c>
      <c r="L58" s="158" t="inlineStr">
        <is>
          <t/>
        </is>
      </c>
      <c r="M58" s="159" t="inlineStr">
        <is>
          <t>Corporation</t>
        </is>
      </c>
      <c r="N58" s="160" t="inlineStr">
        <is>
          <t/>
        </is>
      </c>
      <c r="O58" s="161" t="inlineStr">
        <is>
          <t>Profitable</t>
        </is>
      </c>
      <c r="P58" s="162" t="inlineStr">
        <is>
          <t>Publicly Held</t>
        </is>
      </c>
      <c r="Q58" s="163" t="inlineStr">
        <is>
          <t>Publicly Listed</t>
        </is>
      </c>
      <c r="R58" s="164" t="inlineStr">
        <is>
          <t>ventures.amorepacific.com</t>
        </is>
      </c>
      <c r="S58" s="165" t="n">
        <v>6175.0</v>
      </c>
      <c r="T58" s="166" t="inlineStr">
        <is>
          <t>2007: 3297, 2008: 3557, 2009: 3751, 2010: 4121, 2011: 4443, 2012: 4724, 2013: 4737, 2014: 4936, 2015: 5811, 2016: 6267, 2017: 6324, 2018: 6175</t>
        </is>
      </c>
      <c r="U58" s="167" t="inlineStr">
        <is>
          <t>KRX</t>
        </is>
      </c>
      <c r="V58" s="168" t="inlineStr">
        <is>
          <t>090430</t>
        </is>
      </c>
      <c r="W58" s="169" t="n">
        <v>2011.0</v>
      </c>
      <c r="X58" s="170" t="inlineStr">
        <is>
          <t>AMOREPACIFIC Group</t>
        </is>
      </c>
      <c r="Y58" s="171" t="inlineStr">
        <is>
          <t/>
        </is>
      </c>
      <c r="Z58" s="172" t="inlineStr">
        <is>
          <t/>
        </is>
      </c>
      <c r="AA58" s="173" t="n">
        <v>4801.92</v>
      </c>
      <c r="AB58" s="174" t="n">
        <v>3496.43</v>
      </c>
      <c r="AC58" s="175" t="n">
        <v>302.24</v>
      </c>
      <c r="AD58" s="176" t="n">
        <v>10377.58</v>
      </c>
      <c r="AE58" s="177" t="n">
        <v>644.92</v>
      </c>
      <c r="AF58" s="178" t="inlineStr">
        <is>
          <t>FY 2018</t>
        </is>
      </c>
      <c r="AG58" s="179" t="n">
        <v>402.81</v>
      </c>
      <c r="AH58" s="180" t="n">
        <v>11009.98</v>
      </c>
      <c r="AI58" s="181" t="n">
        <v>-594.18</v>
      </c>
      <c r="AJ58" s="182" t="inlineStr">
        <is>
          <t>47226-25P</t>
        </is>
      </c>
      <c r="AK58" s="183" t="inlineStr">
        <is>
          <t>Paul Kang</t>
        </is>
      </c>
      <c r="AL58" s="184" t="inlineStr">
        <is>
          <t>Managing Director</t>
        </is>
      </c>
      <c r="AM58" s="185" t="inlineStr">
        <is>
          <t>bkang@amorepacific.com</t>
        </is>
      </c>
      <c r="AN58" s="186" t="inlineStr">
        <is>
          <t>+82 (0)2 709 5114</t>
        </is>
      </c>
      <c r="AO58" s="187" t="inlineStr">
        <is>
          <t>Seoul, South Korea</t>
        </is>
      </c>
      <c r="AP58" s="188" t="inlineStr">
        <is>
          <t>5F 13F, Signature Towers West Wing</t>
        </is>
      </c>
      <c r="AQ58" s="189" t="inlineStr">
        <is>
          <t>100 Cheonggyecheon-ro</t>
        </is>
      </c>
      <c r="AR58" s="190" t="inlineStr">
        <is>
          <t>Seoul</t>
        </is>
      </c>
      <c r="AS58" s="191" t="inlineStr">
        <is>
          <t>Jung-gu</t>
        </is>
      </c>
      <c r="AT58" s="192" t="inlineStr">
        <is>
          <t>140-777</t>
        </is>
      </c>
      <c r="AU58" s="193" t="inlineStr">
        <is>
          <t>South Korea</t>
        </is>
      </c>
      <c r="AV58" s="194" t="inlineStr">
        <is>
          <t>+82 (0)2 709 5114</t>
        </is>
      </c>
      <c r="AW58" s="195" t="inlineStr">
        <is>
          <t/>
        </is>
      </c>
      <c r="AX58" s="196" t="inlineStr">
        <is>
          <t/>
        </is>
      </c>
      <c r="AY58" s="197" t="inlineStr">
        <is>
          <t>Asia</t>
        </is>
      </c>
      <c r="AZ58" s="198" t="inlineStr">
        <is>
          <t>East Asia</t>
        </is>
      </c>
      <c r="BA58" s="199" t="inlineStr">
        <is>
          <t/>
        </is>
      </c>
      <c r="BB58" s="200" t="inlineStr">
        <is>
          <t/>
        </is>
      </c>
      <c r="BC58" s="201" t="inlineStr">
        <is>
          <t/>
        </is>
      </c>
      <c r="BD58" s="202" t="inlineStr">
        <is>
          <t/>
        </is>
      </c>
      <c r="BE58" s="203" t="inlineStr">
        <is>
          <t/>
        </is>
      </c>
      <c r="BF58" s="204" t="inlineStr">
        <is>
          <t/>
        </is>
      </c>
      <c r="BG58" s="205" t="inlineStr">
        <is>
          <t/>
        </is>
      </c>
      <c r="BH58" s="206" t="inlineStr">
        <is>
          <t/>
        </is>
      </c>
      <c r="BI58" s="207" t="inlineStr">
        <is>
          <t/>
        </is>
      </c>
      <c r="BJ58" s="208" t="inlineStr">
        <is>
          <t/>
        </is>
      </c>
      <c r="BK58" s="209" t="inlineStr">
        <is>
          <t/>
        </is>
      </c>
      <c r="BL58" s="210" t="inlineStr">
        <is>
          <t/>
        </is>
      </c>
      <c r="BM58" s="211" t="inlineStr">
        <is>
          <t/>
        </is>
      </c>
      <c r="BN58" s="212" t="inlineStr">
        <is>
          <t/>
        </is>
      </c>
      <c r="BO58" s="213" t="inlineStr">
        <is>
          <t/>
        </is>
      </c>
      <c r="BP58" s="214" t="inlineStr">
        <is>
          <t/>
        </is>
      </c>
      <c r="BQ58" s="215" t="inlineStr">
        <is>
          <t/>
        </is>
      </c>
      <c r="BR58" s="216" t="inlineStr">
        <is>
          <t/>
        </is>
      </c>
      <c r="BS58" s="217" t="inlineStr">
        <is>
          <t/>
        </is>
      </c>
      <c r="BT58" s="218" t="inlineStr">
        <is>
          <t/>
        </is>
      </c>
      <c r="BU58" s="219" t="inlineStr">
        <is>
          <t/>
        </is>
      </c>
      <c r="BV58" s="220" t="inlineStr">
        <is>
          <t/>
        </is>
      </c>
      <c r="BW58" s="221" t="inlineStr">
        <is>
          <t/>
        </is>
      </c>
      <c r="BX58" s="222" t="inlineStr">
        <is>
          <t/>
        </is>
      </c>
      <c r="BY58" s="223" t="inlineStr">
        <is>
          <t/>
        </is>
      </c>
      <c r="BZ58" s="224" t="inlineStr">
        <is>
          <t/>
        </is>
      </c>
      <c r="CA58" s="225" t="inlineStr">
        <is>
          <t/>
        </is>
      </c>
      <c r="CB58" s="226" t="inlineStr">
        <is>
          <t/>
        </is>
      </c>
      <c r="CC58" s="227" t="inlineStr">
        <is>
          <t/>
        </is>
      </c>
      <c r="CD58" s="228" t="inlineStr">
        <is>
          <t/>
        </is>
      </c>
      <c r="CE58" s="229" t="inlineStr">
        <is>
          <t/>
        </is>
      </c>
      <c r="CF58" s="230" t="inlineStr">
        <is>
          <t/>
        </is>
      </c>
      <c r="CG58" s="231" t="inlineStr">
        <is>
          <t/>
        </is>
      </c>
      <c r="CH58" s="232" t="inlineStr">
        <is>
          <t/>
        </is>
      </c>
      <c r="CI58" s="233" t="inlineStr">
        <is>
          <t/>
        </is>
      </c>
      <c r="CJ58" s="234" t="inlineStr">
        <is>
          <t/>
        </is>
      </c>
      <c r="CK58" s="235" t="inlineStr">
        <is>
          <t/>
        </is>
      </c>
      <c r="CL58" s="236" t="inlineStr">
        <is>
          <t/>
        </is>
      </c>
      <c r="CM58" s="237" t="inlineStr">
        <is>
          <t/>
        </is>
      </c>
      <c r="CN58" s="238" t="n">
        <v>0.0</v>
      </c>
      <c r="CO58" s="239" t="n">
        <v>18.0</v>
      </c>
      <c r="CP58" s="240" t="n">
        <v>0.0</v>
      </c>
      <c r="CQ58" s="241" t="n">
        <v>0.0</v>
      </c>
      <c r="CR58" s="242" t="inlineStr">
        <is>
          <t/>
        </is>
      </c>
      <c r="CS58" s="243" t="inlineStr">
        <is>
          <t/>
        </is>
      </c>
      <c r="CT58" s="244" t="n">
        <v>0.0</v>
      </c>
      <c r="CU58" s="245" t="n">
        <v>27.0</v>
      </c>
      <c r="CV58" s="246" t="inlineStr">
        <is>
          <t/>
        </is>
      </c>
      <c r="CW58" s="247" t="inlineStr">
        <is>
          <t/>
        </is>
      </c>
      <c r="CX58" s="248" t="inlineStr">
        <is>
          <t/>
        </is>
      </c>
      <c r="CY58" s="249" t="inlineStr">
        <is>
          <t/>
        </is>
      </c>
      <c r="CZ58" s="250" t="inlineStr">
        <is>
          <t/>
        </is>
      </c>
      <c r="DA58" s="251" t="inlineStr">
        <is>
          <t/>
        </is>
      </c>
      <c r="DB58" s="252" t="n">
        <v>0.03</v>
      </c>
      <c r="DC58" s="253" t="n">
        <v>1.0</v>
      </c>
      <c r="DD58" s="254" t="n">
        <v>0.0</v>
      </c>
      <c r="DE58" s="255" t="n">
        <v>0.22</v>
      </c>
      <c r="DF58" s="256" t="inlineStr">
        <is>
          <t/>
        </is>
      </c>
      <c r="DG58" s="257" t="inlineStr">
        <is>
          <t/>
        </is>
      </c>
      <c r="DH58" s="258" t="n">
        <v>0.03</v>
      </c>
      <c r="DI58" s="259" t="n">
        <v>6.0</v>
      </c>
      <c r="DJ58" s="260" t="inlineStr">
        <is>
          <t/>
        </is>
      </c>
      <c r="DK58" s="261" t="inlineStr">
        <is>
          <t/>
        </is>
      </c>
      <c r="DL58" s="262" t="inlineStr">
        <is>
          <t/>
        </is>
      </c>
      <c r="DM58" s="263" t="inlineStr">
        <is>
          <t/>
        </is>
      </c>
      <c r="DN58" s="264" t="inlineStr">
        <is>
          <t/>
        </is>
      </c>
      <c r="DO58" s="265" t="inlineStr">
        <is>
          <t/>
        </is>
      </c>
      <c r="DP58" s="266" t="inlineStr">
        <is>
          <t/>
        </is>
      </c>
      <c r="DQ58" s="267" t="inlineStr">
        <is>
          <t/>
        </is>
      </c>
      <c r="DR58" s="268" t="inlineStr">
        <is>
          <t/>
        </is>
      </c>
      <c r="DS58" s="269" t="inlineStr">
        <is>
          <t/>
        </is>
      </c>
      <c r="DT58" s="270" t="inlineStr">
        <is>
          <t/>
        </is>
      </c>
      <c r="DU58" s="271" t="inlineStr">
        <is>
          <t/>
        </is>
      </c>
      <c r="DV58" s="272" t="inlineStr">
        <is>
          <t/>
        </is>
      </c>
      <c r="DW58" s="273" t="inlineStr">
        <is>
          <t/>
        </is>
      </c>
      <c r="DX58" s="274" t="inlineStr">
        <is>
          <t/>
        </is>
      </c>
      <c r="DY58" s="275" t="inlineStr">
        <is>
          <t>PitchBook Research</t>
        </is>
      </c>
      <c r="DZ58" s="276" t="n">
        <v>43491.0</v>
      </c>
      <c r="EA58" s="277" t="inlineStr">
        <is>
          <t/>
        </is>
      </c>
      <c r="EB58" s="278" t="inlineStr">
        <is>
          <t/>
        </is>
      </c>
      <c r="EC58" s="279" t="inlineStr">
        <is>
          <t/>
        </is>
      </c>
      <c r="ED58" s="548">
        <f>HYPERLINK("https://my.pitchbook.com?c=55811-89", "View company online")</f>
      </c>
    </row>
    <row r="59">
      <c r="A59" s="13" t="inlineStr">
        <is>
          <t>41178-52</t>
        </is>
      </c>
      <c r="B59" s="14" t="inlineStr">
        <is>
          <t>Skechers Usa (NYS: SKX)</t>
        </is>
      </c>
      <c r="C59" s="15" t="inlineStr">
        <is>
          <t/>
        </is>
      </c>
      <c r="D59" s="16" t="inlineStr">
        <is>
          <t>SKECHERS</t>
        </is>
      </c>
      <c r="E59" s="17" t="inlineStr">
        <is>
          <t>41178-52</t>
        </is>
      </c>
      <c r="F59" s="18" t="inlineStr">
        <is>
          <t>Skechers USA Inc is a lifestyle footwear company under the Skechers GO brand name. Products offered include various styles of women's shoes, men's shoes, girls' shoes, boys' shoes, performance shoes and work shoes. Allied products offered are apparel, bags, eyewear, toys, and more. Its products are available for sale at department and specialty stores, athletic and independent retailers, boutiques and internet retailers. Geographic areas in which its products are sold include United States, Canada, Other International that comprise of Asia, Central America, Europe, North America, and South America. Income is derived from the sale of footwear and royalties earned from licensing the Skechers brand.</t>
        </is>
      </c>
      <c r="G59" s="19" t="inlineStr">
        <is>
          <t>Consumer Products and Services (B2C)</t>
        </is>
      </c>
      <c r="H59" s="20" t="inlineStr">
        <is>
          <t>Apparel and Accessories</t>
        </is>
      </c>
      <c r="I59" s="21" t="inlineStr">
        <is>
          <t>Footwear</t>
        </is>
      </c>
      <c r="J59" s="22" t="inlineStr">
        <is>
          <t>Footwear*</t>
        </is>
      </c>
      <c r="K59" s="23" t="inlineStr">
        <is>
          <t/>
        </is>
      </c>
      <c r="L59" s="24" t="inlineStr">
        <is>
          <t/>
        </is>
      </c>
      <c r="M59" s="25" t="inlineStr">
        <is>
          <t>Corporation</t>
        </is>
      </c>
      <c r="N59" s="26" t="inlineStr">
        <is>
          <t/>
        </is>
      </c>
      <c r="O59" s="27" t="inlineStr">
        <is>
          <t>Profitable</t>
        </is>
      </c>
      <c r="P59" s="28" t="inlineStr">
        <is>
          <t>Publicly Held</t>
        </is>
      </c>
      <c r="Q59" s="29" t="inlineStr">
        <is>
          <t>Publicly Listed</t>
        </is>
      </c>
      <c r="R59" s="30" t="inlineStr">
        <is>
          <t>www.skechers.com</t>
        </is>
      </c>
      <c r="S59" s="31" t="n">
        <v>12600.0</v>
      </c>
      <c r="T59" s="32" t="inlineStr">
        <is>
          <t>1998: 863, 1999: 888, 2000: 1666, 2001: 1964, 2002: 2521, 2003: 2618, 2004: 2701, 2005: 2997, 2006: 3628, 2007: 4182, 2008: 4130, 2009: 4698, 2010: 5440, 2011: 5636, 2012: 5666, 2013: 6868, 2014: 7772, 2015: 9200, 2016: 9800, 2017: 11800, 2018: 12600</t>
        </is>
      </c>
      <c r="U59" s="33" t="inlineStr">
        <is>
          <t>NYS</t>
        </is>
      </c>
      <c r="V59" s="34" t="inlineStr">
        <is>
          <t>SKX</t>
        </is>
      </c>
      <c r="W59" s="35" t="n">
        <v>1992.0</v>
      </c>
      <c r="X59" s="36" t="inlineStr">
        <is>
          <t/>
        </is>
      </c>
      <c r="Y59" s="37" t="inlineStr">
        <is>
          <t/>
        </is>
      </c>
      <c r="Z59" s="38" t="inlineStr">
        <is>
          <t>News (New) </t>
        </is>
      </c>
      <c r="AA59" s="39" t="n">
        <v>4662.65</v>
      </c>
      <c r="AB59" s="40" t="n">
        <v>2244.19</v>
      </c>
      <c r="AC59" s="41" t="n">
        <v>301.04</v>
      </c>
      <c r="AD59" s="42" t="n">
        <v>2885.13</v>
      </c>
      <c r="AE59" s="43" t="n">
        <v>537.28</v>
      </c>
      <c r="AF59" s="44" t="inlineStr">
        <is>
          <t>FY 2018</t>
        </is>
      </c>
      <c r="AG59" s="45" t="n">
        <v>427.6</v>
      </c>
      <c r="AH59" s="46" t="n">
        <v>4706.84</v>
      </c>
      <c r="AI59" s="47" t="n">
        <v>-875.26</v>
      </c>
      <c r="AJ59" s="48" t="inlineStr">
        <is>
          <t>131718-07P</t>
        </is>
      </c>
      <c r="AK59" s="49" t="inlineStr">
        <is>
          <t>Robert Greenberg</t>
        </is>
      </c>
      <c r="AL59" s="50" t="inlineStr">
        <is>
          <t>Chief Executive Officer</t>
        </is>
      </c>
      <c r="AM59" s="51" t="inlineStr">
        <is>
          <t>robertg@skechers.com</t>
        </is>
      </c>
      <c r="AN59" s="52" t="inlineStr">
        <is>
          <t>+1 (310) 318-3100</t>
        </is>
      </c>
      <c r="AO59" s="53" t="inlineStr">
        <is>
          <t>Manhattan Beach, CA</t>
        </is>
      </c>
      <c r="AP59" s="54" t="inlineStr">
        <is>
          <t>228 Manhattan Beach Boulevard</t>
        </is>
      </c>
      <c r="AQ59" s="55" t="inlineStr">
        <is>
          <t/>
        </is>
      </c>
      <c r="AR59" s="56" t="inlineStr">
        <is>
          <t>Manhattan Beach</t>
        </is>
      </c>
      <c r="AS59" s="57" t="inlineStr">
        <is>
          <t>California</t>
        </is>
      </c>
      <c r="AT59" s="58" t="inlineStr">
        <is>
          <t>90266</t>
        </is>
      </c>
      <c r="AU59" s="59" t="inlineStr">
        <is>
          <t>United States</t>
        </is>
      </c>
      <c r="AV59" s="60" t="inlineStr">
        <is>
          <t>+1 (310) 318-3100</t>
        </is>
      </c>
      <c r="AW59" s="61" t="inlineStr">
        <is>
          <t/>
        </is>
      </c>
      <c r="AX59" s="62" t="inlineStr">
        <is>
          <t/>
        </is>
      </c>
      <c r="AY59" s="63" t="inlineStr">
        <is>
          <t>Americas</t>
        </is>
      </c>
      <c r="AZ59" s="64" t="inlineStr">
        <is>
          <t>North America</t>
        </is>
      </c>
      <c r="BA59" s="65" t="inlineStr">
        <is>
          <t/>
        </is>
      </c>
      <c r="BB59" s="66" t="inlineStr">
        <is>
          <t/>
        </is>
      </c>
      <c r="BC59" s="67" t="inlineStr">
        <is>
          <t/>
        </is>
      </c>
      <c r="BD59" s="68" t="inlineStr">
        <is>
          <t/>
        </is>
      </c>
      <c r="BE59" s="69" t="inlineStr">
        <is>
          <t/>
        </is>
      </c>
      <c r="BF59" s="70" t="inlineStr">
        <is>
          <t/>
        </is>
      </c>
      <c r="BG59" s="71" t="inlineStr">
        <is>
          <t/>
        </is>
      </c>
      <c r="BH59" s="72" t="inlineStr">
        <is>
          <t/>
        </is>
      </c>
      <c r="BI59" s="73" t="inlineStr">
        <is>
          <t/>
        </is>
      </c>
      <c r="BJ59" s="74" t="inlineStr">
        <is>
          <t/>
        </is>
      </c>
      <c r="BK59" s="75" t="inlineStr">
        <is>
          <t/>
        </is>
      </c>
      <c r="BL59" s="76" t="inlineStr">
        <is>
          <t/>
        </is>
      </c>
      <c r="BM59" s="77" t="inlineStr">
        <is>
          <t/>
        </is>
      </c>
      <c r="BN59" s="78" t="inlineStr">
        <is>
          <t/>
        </is>
      </c>
      <c r="BO59" s="79" t="inlineStr">
        <is>
          <t/>
        </is>
      </c>
      <c r="BP59" s="80" t="inlineStr">
        <is>
          <t/>
        </is>
      </c>
      <c r="BQ59" s="81" t="inlineStr">
        <is>
          <t/>
        </is>
      </c>
      <c r="BR59" s="82" t="inlineStr">
        <is>
          <t/>
        </is>
      </c>
      <c r="BS59" s="83" t="inlineStr">
        <is>
          <t/>
        </is>
      </c>
      <c r="BT59" s="84" t="inlineStr">
        <is>
          <t/>
        </is>
      </c>
      <c r="BU59" s="85" t="inlineStr">
        <is>
          <t/>
        </is>
      </c>
      <c r="BV59" s="86" t="inlineStr">
        <is>
          <t/>
        </is>
      </c>
      <c r="BW59" s="87" t="inlineStr">
        <is>
          <t/>
        </is>
      </c>
      <c r="BX59" s="88" t="inlineStr">
        <is>
          <t/>
        </is>
      </c>
      <c r="BY59" s="89" t="inlineStr">
        <is>
          <t/>
        </is>
      </c>
      <c r="BZ59" s="90" t="inlineStr">
        <is>
          <t/>
        </is>
      </c>
      <c r="CA59" s="91" t="inlineStr">
        <is>
          <t/>
        </is>
      </c>
      <c r="CB59" s="92" t="inlineStr">
        <is>
          <t/>
        </is>
      </c>
      <c r="CC59" s="93" t="inlineStr">
        <is>
          <t/>
        </is>
      </c>
      <c r="CD59" s="94" t="inlineStr">
        <is>
          <t/>
        </is>
      </c>
      <c r="CE59" s="95" t="inlineStr">
        <is>
          <t/>
        </is>
      </c>
      <c r="CF59" s="96" t="inlineStr">
        <is>
          <t/>
        </is>
      </c>
      <c r="CG59" s="97" t="inlineStr">
        <is>
          <t/>
        </is>
      </c>
      <c r="CH59" s="98" t="inlineStr">
        <is>
          <t/>
        </is>
      </c>
      <c r="CI59" s="99" t="inlineStr">
        <is>
          <t/>
        </is>
      </c>
      <c r="CJ59" s="100" t="inlineStr">
        <is>
          <t/>
        </is>
      </c>
      <c r="CK59" s="101" t="inlineStr">
        <is>
          <t/>
        </is>
      </c>
      <c r="CL59" s="102" t="inlineStr">
        <is>
          <t/>
        </is>
      </c>
      <c r="CM59" s="103" t="inlineStr">
        <is>
          <t/>
        </is>
      </c>
      <c r="CN59" s="104" t="n">
        <v>3.67</v>
      </c>
      <c r="CO59" s="105" t="n">
        <v>100.0</v>
      </c>
      <c r="CP59" s="106" t="n">
        <v>0.12</v>
      </c>
      <c r="CQ59" s="107" t="n">
        <v>3.25</v>
      </c>
      <c r="CR59" s="108" t="n">
        <v>1.69</v>
      </c>
      <c r="CS59" s="109" t="n">
        <v>98.0</v>
      </c>
      <c r="CT59" s="110" t="n">
        <v>0.04</v>
      </c>
      <c r="CU59" s="111" t="n">
        <v>62.0</v>
      </c>
      <c r="CV59" s="112" t="n">
        <v>3.71</v>
      </c>
      <c r="CW59" s="113" t="n">
        <v>95.0</v>
      </c>
      <c r="CX59" s="114" t="n">
        <v>-0.34</v>
      </c>
      <c r="CY59" s="115" t="n">
        <v>7.0</v>
      </c>
      <c r="CZ59" s="116" t="n">
        <v>0.06</v>
      </c>
      <c r="DA59" s="117" t="n">
        <v>70.0</v>
      </c>
      <c r="DB59" s="118" t="n">
        <v>202.51</v>
      </c>
      <c r="DC59" s="119" t="n">
        <v>100.0</v>
      </c>
      <c r="DD59" s="120" t="n">
        <v>12.91</v>
      </c>
      <c r="DE59" s="121" t="n">
        <v>6.81</v>
      </c>
      <c r="DF59" s="122" t="n">
        <v>434.22</v>
      </c>
      <c r="DG59" s="123" t="n">
        <v>100.0</v>
      </c>
      <c r="DH59" s="124" t="n">
        <v>160.53</v>
      </c>
      <c r="DI59" s="125" t="n">
        <v>98.0</v>
      </c>
      <c r="DJ59" s="126" t="n">
        <v>564.88</v>
      </c>
      <c r="DK59" s="127" t="n">
        <v>100.0</v>
      </c>
      <c r="DL59" s="128" t="n">
        <v>303.56</v>
      </c>
      <c r="DM59" s="129" t="n">
        <v>100.0</v>
      </c>
      <c r="DN59" s="130" t="n">
        <v>128.5</v>
      </c>
      <c r="DO59" s="131" t="n">
        <v>99.0</v>
      </c>
      <c r="DP59" s="132" t="n">
        <v>402601.0</v>
      </c>
      <c r="DQ59" s="133" t="n">
        <v>1395.0</v>
      </c>
      <c r="DR59" s="134" t="n">
        <v>0.35</v>
      </c>
      <c r="DS59" s="135" t="n">
        <v>10305.0</v>
      </c>
      <c r="DT59" s="136" t="n">
        <v>41.0</v>
      </c>
      <c r="DU59" s="137" t="n">
        <v>0.4</v>
      </c>
      <c r="DV59" s="138" t="n">
        <v>46126.0</v>
      </c>
      <c r="DW59" s="139" t="n">
        <v>14.0</v>
      </c>
      <c r="DX59" s="140" t="n">
        <v>0.03</v>
      </c>
      <c r="DY59" s="141" t="inlineStr">
        <is>
          <t>PitchBook Research</t>
        </is>
      </c>
      <c r="DZ59" s="142" t="n">
        <v>43491.0</v>
      </c>
      <c r="EA59" s="143" t="inlineStr">
        <is>
          <t/>
        </is>
      </c>
      <c r="EB59" s="144" t="inlineStr">
        <is>
          <t/>
        </is>
      </c>
      <c r="EC59" s="145" t="inlineStr">
        <is>
          <t/>
        </is>
      </c>
      <c r="ED59" s="547">
        <f>HYPERLINK("https://my.pitchbook.com?c=41178-52", "View company online")</f>
      </c>
    </row>
    <row r="60">
      <c r="A60" s="147" t="inlineStr">
        <is>
          <t>43127-47</t>
        </is>
      </c>
      <c r="B60" s="148" t="inlineStr">
        <is>
          <t>Sports Direct International (LON: SPD)</t>
        </is>
      </c>
      <c r="C60" s="149" t="inlineStr">
        <is>
          <t/>
        </is>
      </c>
      <c r="D60" s="150" t="inlineStr">
        <is>
          <t>SDI, Sports Direct</t>
        </is>
      </c>
      <c r="E60" s="151" t="inlineStr">
        <is>
          <t>43127-47</t>
        </is>
      </c>
      <c r="F60" s="152" t="inlineStr">
        <is>
          <t>Sports Direct International PLC is a U.K. sport goods retailer. The company operates stores in the United Kingdom and continental Europe, including premium lifestyle stores in the U.K. The diversified portfolio consists of globally recognized brands, such as Dunlop, Lonsdale, Nike, Adidas, Under Armour, Puma, Karrimor, Kangol, Slazenger, Everlast, No Fear, and Firetrap, among others. Sports Direct International sells through stand-alone stores and multi-fascia retail spaces, department stores, and online. The premium lifestyle portfolio operates under the Flannels, Cruise, USC, and Van Mildert fascias.</t>
        </is>
      </c>
      <c r="G60" s="153" t="inlineStr">
        <is>
          <t>Business Products and Services (B2B)</t>
        </is>
      </c>
      <c r="H60" s="154" t="inlineStr">
        <is>
          <t>Commercial Services</t>
        </is>
      </c>
      <c r="I60" s="155" t="inlineStr">
        <is>
          <t>Other Commercial Services</t>
        </is>
      </c>
      <c r="J60" s="156" t="inlineStr">
        <is>
          <t>Clothing, Footwear, Other Commercial Services*</t>
        </is>
      </c>
      <c r="K60" s="157" t="inlineStr">
        <is>
          <t/>
        </is>
      </c>
      <c r="L60" s="158" t="inlineStr">
        <is>
          <t/>
        </is>
      </c>
      <c r="M60" s="159" t="inlineStr">
        <is>
          <t>Corporation</t>
        </is>
      </c>
      <c r="N60" s="160" t="inlineStr">
        <is>
          <t/>
        </is>
      </c>
      <c r="O60" s="161" t="inlineStr">
        <is>
          <t>Profitable</t>
        </is>
      </c>
      <c r="P60" s="162" t="inlineStr">
        <is>
          <t>Publicly Held</t>
        </is>
      </c>
      <c r="Q60" s="163" t="inlineStr">
        <is>
          <t>Publicly Listed</t>
        </is>
      </c>
      <c r="R60" s="164" t="inlineStr">
        <is>
          <t>www.sportsdirectplc.com</t>
        </is>
      </c>
      <c r="S60" s="165" t="n">
        <v>15018.0</v>
      </c>
      <c r="T60" s="166" t="inlineStr">
        <is>
          <t>2007: 11914, 2008: 10971, 2009: 10397, 2010: 10916, 2011: 10316, 2012: 12142, 2013: 14073, 2014: 17163, 2015: 17206, 2016: 18278, 2017: 18081, 2018: 15018</t>
        </is>
      </c>
      <c r="U60" s="167" t="inlineStr">
        <is>
          <t>LON</t>
        </is>
      </c>
      <c r="V60" s="168" t="inlineStr">
        <is>
          <t>SPD</t>
        </is>
      </c>
      <c r="W60" s="169" t="n">
        <v>1982.0</v>
      </c>
      <c r="X60" s="170" t="inlineStr">
        <is>
          <t/>
        </is>
      </c>
      <c r="Y60" s="171" t="inlineStr">
        <is>
          <t>News (New) </t>
        </is>
      </c>
      <c r="Z60" s="172" t="inlineStr">
        <is>
          <t>News (New) </t>
        </is>
      </c>
      <c r="AA60" s="173" t="n">
        <v>4614.32</v>
      </c>
      <c r="AB60" s="174" t="n">
        <v>1903.22</v>
      </c>
      <c r="AC60" s="175" t="n">
        <v>58.54</v>
      </c>
      <c r="AD60" s="176" t="n">
        <v>2776.36</v>
      </c>
      <c r="AE60" s="177" t="n">
        <v>463.62</v>
      </c>
      <c r="AF60" s="178" t="inlineStr">
        <is>
          <t>TTM 2Q2019</t>
        </is>
      </c>
      <c r="AG60" s="179" t="n">
        <v>180.32</v>
      </c>
      <c r="AH60" s="180" t="n">
        <v>2013.48</v>
      </c>
      <c r="AI60" s="181" t="n">
        <v>642.38</v>
      </c>
      <c r="AJ60" s="182" t="inlineStr">
        <is>
          <t>67378-06P</t>
        </is>
      </c>
      <c r="AK60" s="183" t="inlineStr">
        <is>
          <t>Michael Ashley</t>
        </is>
      </c>
      <c r="AL60" s="184" t="inlineStr">
        <is>
          <t>Owner, Founder and Chief Executive Officer</t>
        </is>
      </c>
      <c r="AM60" s="185" t="inlineStr">
        <is>
          <t>michaelashley@sportsdirect.com</t>
        </is>
      </c>
      <c r="AN60" s="186" t="inlineStr">
        <is>
          <t>+44 (0)34 4245 9200</t>
        </is>
      </c>
      <c r="AO60" s="187" t="inlineStr">
        <is>
          <t>Shirebrook, United Kingdom</t>
        </is>
      </c>
      <c r="AP60" s="188" t="inlineStr">
        <is>
          <t>Unit A Brook Park East</t>
        </is>
      </c>
      <c r="AQ60" s="189" t="inlineStr">
        <is>
          <t/>
        </is>
      </c>
      <c r="AR60" s="190" t="inlineStr">
        <is>
          <t>Shirebrook</t>
        </is>
      </c>
      <c r="AS60" s="191" t="inlineStr">
        <is>
          <t>England</t>
        </is>
      </c>
      <c r="AT60" s="192" t="inlineStr">
        <is>
          <t>NG20 8RY</t>
        </is>
      </c>
      <c r="AU60" s="193" t="inlineStr">
        <is>
          <t>United Kingdom</t>
        </is>
      </c>
      <c r="AV60" s="194" t="inlineStr">
        <is>
          <t>+44 (0)34 4245 9200</t>
        </is>
      </c>
      <c r="AW60" s="195" t="inlineStr">
        <is>
          <t/>
        </is>
      </c>
      <c r="AX60" s="196" t="inlineStr">
        <is>
          <t/>
        </is>
      </c>
      <c r="AY60" s="197" t="inlineStr">
        <is>
          <t>Europe</t>
        </is>
      </c>
      <c r="AZ60" s="198" t="inlineStr">
        <is>
          <t>Western Europe</t>
        </is>
      </c>
      <c r="BA60" s="199" t="inlineStr">
        <is>
          <t>The company raised an undisclosed amount of funding in its initial public offering on the London Stock Exchange under the ticker symbol of SPD on March 2, 2007.</t>
        </is>
      </c>
      <c r="BB60" s="200" t="inlineStr">
        <is>
          <t/>
        </is>
      </c>
      <c r="BC60" s="201" t="inlineStr">
        <is>
          <t/>
        </is>
      </c>
      <c r="BD60" s="202" t="inlineStr">
        <is>
          <t/>
        </is>
      </c>
      <c r="BE60" s="203" t="inlineStr">
        <is>
          <t/>
        </is>
      </c>
      <c r="BF60" s="204" t="inlineStr">
        <is>
          <t/>
        </is>
      </c>
      <c r="BG60" s="205" t="inlineStr">
        <is>
          <t/>
        </is>
      </c>
      <c r="BH60" s="206" t="inlineStr">
        <is>
          <t/>
        </is>
      </c>
      <c r="BI60" s="207" t="inlineStr">
        <is>
          <t/>
        </is>
      </c>
      <c r="BJ60" s="208" t="inlineStr">
        <is>
          <t/>
        </is>
      </c>
      <c r="BK60" s="209" t="inlineStr">
        <is>
          <t/>
        </is>
      </c>
      <c r="BL60" s="210" t="n">
        <v>39143.0</v>
      </c>
      <c r="BM60" s="211" t="inlineStr">
        <is>
          <t/>
        </is>
      </c>
      <c r="BN60" s="212" t="inlineStr">
        <is>
          <t/>
        </is>
      </c>
      <c r="BO60" s="213" t="inlineStr">
        <is>
          <t/>
        </is>
      </c>
      <c r="BP60" s="214" t="inlineStr">
        <is>
          <t/>
        </is>
      </c>
      <c r="BQ60" s="215" t="inlineStr">
        <is>
          <t>IPO</t>
        </is>
      </c>
      <c r="BR60" s="216" t="inlineStr">
        <is>
          <t/>
        </is>
      </c>
      <c r="BS60" s="217" t="inlineStr">
        <is>
          <t/>
        </is>
      </c>
      <c r="BT60" s="218" t="inlineStr">
        <is>
          <t>Public Investment</t>
        </is>
      </c>
      <c r="BU60" s="219" t="inlineStr">
        <is>
          <t/>
        </is>
      </c>
      <c r="BV60" s="220" t="inlineStr">
        <is>
          <t/>
        </is>
      </c>
      <c r="BW60" s="221" t="inlineStr">
        <is>
          <t/>
        </is>
      </c>
      <c r="BX60" s="222" t="inlineStr">
        <is>
          <t>Completed</t>
        </is>
      </c>
      <c r="BY60" s="223" t="n">
        <v>39143.0</v>
      </c>
      <c r="BZ60" s="224" t="inlineStr">
        <is>
          <t/>
        </is>
      </c>
      <c r="CA60" s="225" t="inlineStr">
        <is>
          <t/>
        </is>
      </c>
      <c r="CB60" s="226" t="inlineStr">
        <is>
          <t/>
        </is>
      </c>
      <c r="CC60" s="227" t="inlineStr">
        <is>
          <t/>
        </is>
      </c>
      <c r="CD60" s="228" t="inlineStr">
        <is>
          <t>IPO</t>
        </is>
      </c>
      <c r="CE60" s="229" t="inlineStr">
        <is>
          <t/>
        </is>
      </c>
      <c r="CF60" s="230" t="inlineStr">
        <is>
          <t/>
        </is>
      </c>
      <c r="CG60" s="231" t="inlineStr">
        <is>
          <t>Public Investment</t>
        </is>
      </c>
      <c r="CH60" s="232" t="inlineStr">
        <is>
          <t/>
        </is>
      </c>
      <c r="CI60" s="233" t="inlineStr">
        <is>
          <t/>
        </is>
      </c>
      <c r="CJ60" s="234" t="inlineStr">
        <is>
          <t/>
        </is>
      </c>
      <c r="CK60" s="235" t="inlineStr">
        <is>
          <t>Completed</t>
        </is>
      </c>
      <c r="CL60" s="236" t="inlineStr">
        <is>
          <t/>
        </is>
      </c>
      <c r="CM60" s="237" t="inlineStr">
        <is>
          <t/>
        </is>
      </c>
      <c r="CN60" s="238" t="n">
        <v>0.43</v>
      </c>
      <c r="CO60" s="239" t="n">
        <v>94.0</v>
      </c>
      <c r="CP60" s="240" t="n">
        <v>0.09</v>
      </c>
      <c r="CQ60" s="241" t="n">
        <v>24.87</v>
      </c>
      <c r="CR60" s="242" t="n">
        <v>0.72</v>
      </c>
      <c r="CS60" s="243" t="n">
        <v>96.0</v>
      </c>
      <c r="CT60" s="244" t="n">
        <v>0.13</v>
      </c>
      <c r="CU60" s="245" t="n">
        <v>77.0</v>
      </c>
      <c r="CV60" s="246" t="inlineStr">
        <is>
          <t/>
        </is>
      </c>
      <c r="CW60" s="247" t="inlineStr">
        <is>
          <t/>
        </is>
      </c>
      <c r="CX60" s="248" t="n">
        <v>0.72</v>
      </c>
      <c r="CY60" s="249" t="n">
        <v>96.0</v>
      </c>
      <c r="CZ60" s="250" t="n">
        <v>0.13</v>
      </c>
      <c r="DA60" s="251" t="n">
        <v>80.0</v>
      </c>
      <c r="DB60" s="252" t="n">
        <v>89.48</v>
      </c>
      <c r="DC60" s="253" t="n">
        <v>99.0</v>
      </c>
      <c r="DD60" s="254" t="n">
        <v>1.63</v>
      </c>
      <c r="DE60" s="255" t="n">
        <v>1.85</v>
      </c>
      <c r="DF60" s="256" t="n">
        <v>9.62</v>
      </c>
      <c r="DG60" s="257" t="n">
        <v>90.0</v>
      </c>
      <c r="DH60" s="258" t="n">
        <v>169.34</v>
      </c>
      <c r="DI60" s="259" t="n">
        <v>98.0</v>
      </c>
      <c r="DJ60" s="260" t="inlineStr">
        <is>
          <t/>
        </is>
      </c>
      <c r="DK60" s="261" t="inlineStr">
        <is>
          <t/>
        </is>
      </c>
      <c r="DL60" s="262" t="n">
        <v>9.62</v>
      </c>
      <c r="DM60" s="263" t="n">
        <v>89.0</v>
      </c>
      <c r="DN60" s="264" t="n">
        <v>169.34</v>
      </c>
      <c r="DO60" s="265" t="n">
        <v>99.0</v>
      </c>
      <c r="DP60" s="266" t="inlineStr">
        <is>
          <t/>
        </is>
      </c>
      <c r="DQ60" s="267" t="inlineStr">
        <is>
          <t/>
        </is>
      </c>
      <c r="DR60" s="268" t="inlineStr">
        <is>
          <t/>
        </is>
      </c>
      <c r="DS60" s="269" t="n">
        <v>326.0</v>
      </c>
      <c r="DT60" s="270" t="n">
        <v>3.0</v>
      </c>
      <c r="DU60" s="271" t="n">
        <v>0.93</v>
      </c>
      <c r="DV60" s="272" t="n">
        <v>60822.0</v>
      </c>
      <c r="DW60" s="273" t="n">
        <v>17.0</v>
      </c>
      <c r="DX60" s="274" t="n">
        <v>0.03</v>
      </c>
      <c r="DY60" s="275" t="inlineStr">
        <is>
          <t>PitchBook Research</t>
        </is>
      </c>
      <c r="DZ60" s="276" t="n">
        <v>43539.0</v>
      </c>
      <c r="EA60" s="277" t="inlineStr">
        <is>
          <t/>
        </is>
      </c>
      <c r="EB60" s="278" t="inlineStr">
        <is>
          <t/>
        </is>
      </c>
      <c r="EC60" s="279" t="inlineStr">
        <is>
          <t/>
        </is>
      </c>
      <c r="ED60" s="548">
        <f>HYPERLINK("https://my.pitchbook.com?c=43127-47", "View company online")</f>
      </c>
    </row>
    <row r="61">
      <c r="A61" s="13" t="inlineStr">
        <is>
          <t>13266-82</t>
        </is>
      </c>
      <c r="B61" s="14" t="inlineStr">
        <is>
          <t>Redcats USA</t>
        </is>
      </c>
      <c r="C61" s="15" t="inlineStr">
        <is>
          <t>Brylane</t>
        </is>
      </c>
      <c r="D61" s="16" t="inlineStr">
        <is>
          <t/>
        </is>
      </c>
      <c r="E61" s="17" t="inlineStr">
        <is>
          <t>13266-82</t>
        </is>
      </c>
      <c r="F61" s="18" t="inlineStr">
        <is>
          <t>Retailer of value-priced apparel. The company's established portfolio of catalogs serves consumers of both special- and regular-size apparel. Its catalogs include Lane Bryant, Roaman's, Lerner, Sue Brett, KingSize and Chadwick's of Boston.</t>
        </is>
      </c>
      <c r="G61" s="19" t="inlineStr">
        <is>
          <t>Consumer Products and Services (B2C)</t>
        </is>
      </c>
      <c r="H61" s="20" t="inlineStr">
        <is>
          <t>Retail</t>
        </is>
      </c>
      <c r="I61" s="21" t="inlineStr">
        <is>
          <t>Specialty Retail</t>
        </is>
      </c>
      <c r="J61" s="22" t="inlineStr">
        <is>
          <t>Clothing, Specialty Retail*</t>
        </is>
      </c>
      <c r="K61" s="23" t="inlineStr">
        <is>
          <t/>
        </is>
      </c>
      <c r="L61" s="24" t="inlineStr">
        <is>
          <t>apparel, catalog, clothes, clothing, portfolio</t>
        </is>
      </c>
      <c r="M61" s="25" t="inlineStr">
        <is>
          <t>Formerly PE-Backed</t>
        </is>
      </c>
      <c r="N61" s="26" t="n">
        <v>96.0</v>
      </c>
      <c r="O61" s="27" t="inlineStr">
        <is>
          <t>Generating Revenue</t>
        </is>
      </c>
      <c r="P61" s="28" t="inlineStr">
        <is>
          <t>Acquired/Merged</t>
        </is>
      </c>
      <c r="Q61" s="29" t="inlineStr">
        <is>
          <t>M&amp;A, Private Equity, Publicly Listed</t>
        </is>
      </c>
      <c r="R61" s="30" t="inlineStr">
        <is>
          <t>www.brylane.com</t>
        </is>
      </c>
      <c r="S61" s="31" t="n">
        <v>6400.0</v>
      </c>
      <c r="T61" s="32" t="inlineStr">
        <is>
          <t>2008: 6400</t>
        </is>
      </c>
      <c r="U61" s="33" t="inlineStr">
        <is>
          <t/>
        </is>
      </c>
      <c r="V61" s="34" t="inlineStr">
        <is>
          <t/>
        </is>
      </c>
      <c r="W61" s="35" t="n">
        <v>1993.0</v>
      </c>
      <c r="X61" s="36" t="inlineStr">
        <is>
          <t/>
        </is>
      </c>
      <c r="Y61" s="37" t="inlineStr">
        <is>
          <t/>
        </is>
      </c>
      <c r="Z61" s="38" t="inlineStr">
        <is>
          <t/>
        </is>
      </c>
      <c r="AA61" s="39" t="n">
        <v>4542.87</v>
      </c>
      <c r="AB61" s="40" t="inlineStr">
        <is>
          <t/>
        </is>
      </c>
      <c r="AC61" s="41" t="inlineStr">
        <is>
          <t/>
        </is>
      </c>
      <c r="AD61" s="42" t="inlineStr">
        <is>
          <t/>
        </is>
      </c>
      <c r="AE61" s="43" t="inlineStr">
        <is>
          <t/>
        </is>
      </c>
      <c r="AF61" s="44" t="inlineStr">
        <is>
          <t>FY 2010</t>
        </is>
      </c>
      <c r="AG61" s="45" t="inlineStr">
        <is>
          <t/>
        </is>
      </c>
      <c r="AH61" s="46" t="inlineStr">
        <is>
          <t/>
        </is>
      </c>
      <c r="AI61" s="47" t="inlineStr">
        <is>
          <t/>
        </is>
      </c>
      <c r="AJ61" s="48" t="inlineStr">
        <is>
          <t>38637-73P</t>
        </is>
      </c>
      <c r="AK61" s="49" t="inlineStr">
        <is>
          <t>Catherine Doucet</t>
        </is>
      </c>
      <c r="AL61" s="50" t="inlineStr">
        <is>
          <t>Chief Financial Officer</t>
        </is>
      </c>
      <c r="AM61" s="51" t="inlineStr">
        <is>
          <t/>
        </is>
      </c>
      <c r="AN61" s="52" t="inlineStr">
        <is>
          <t>+1 (212) 613-9500</t>
        </is>
      </c>
      <c r="AO61" s="53" t="inlineStr">
        <is>
          <t>New York, NY</t>
        </is>
      </c>
      <c r="AP61" s="54" t="inlineStr">
        <is>
          <t>463 Seventh Avenue</t>
        </is>
      </c>
      <c r="AQ61" s="55" t="inlineStr">
        <is>
          <t/>
        </is>
      </c>
      <c r="AR61" s="56" t="inlineStr">
        <is>
          <t>New York</t>
        </is>
      </c>
      <c r="AS61" s="57" t="inlineStr">
        <is>
          <t>New York</t>
        </is>
      </c>
      <c r="AT61" s="58" t="inlineStr">
        <is>
          <t>10018</t>
        </is>
      </c>
      <c r="AU61" s="59" t="inlineStr">
        <is>
          <t>United States</t>
        </is>
      </c>
      <c r="AV61" s="60" t="inlineStr">
        <is>
          <t>+1 (212) 613-9500</t>
        </is>
      </c>
      <c r="AW61" s="61" t="inlineStr">
        <is>
          <t>+1 (212) 613-9690</t>
        </is>
      </c>
      <c r="AX61" s="62" t="inlineStr">
        <is>
          <t/>
        </is>
      </c>
      <c r="AY61" s="63" t="inlineStr">
        <is>
          <t>Americas</t>
        </is>
      </c>
      <c r="AZ61" s="64" t="inlineStr">
        <is>
          <t>North America</t>
        </is>
      </c>
      <c r="BA61" s="65" t="inlineStr">
        <is>
          <t>The company received joint acquisition bid from TPG Capital and PAI Partners and separate acquisitions bids from Permira, Apax Partners and Advent International as of September 6, 2011. The company is valued at €1 billion. Subsequently, PPR SA withdrew the deal. This company is no longer actively tracked by PitchBook.</t>
        </is>
      </c>
      <c r="BB61" s="66" t="inlineStr">
        <is>
          <t/>
        </is>
      </c>
      <c r="BC61" s="67" t="inlineStr">
        <is>
          <t/>
        </is>
      </c>
      <c r="BD61" s="68" t="inlineStr">
        <is>
          <t>Kering</t>
        </is>
      </c>
      <c r="BE61" s="69" t="inlineStr">
        <is>
          <t>Freeman Spogli</t>
        </is>
      </c>
      <c r="BF61" s="70" t="inlineStr">
        <is>
          <t>Advent International, Apax Partners, PAI Partners, Permira, TPG Capital</t>
        </is>
      </c>
      <c r="BG61" s="71" t="inlineStr">
        <is>
          <t/>
        </is>
      </c>
      <c r="BH61" s="72" t="inlineStr">
        <is>
          <t>Freeman Spogli(www.freemanspogli.com)</t>
        </is>
      </c>
      <c r="BI61" s="73" t="inlineStr">
        <is>
          <t>Advent International(www.adventinternational.com), Apax Partners(www.apax.com), PAI Partners(www.paipartners.com), Permira(www.permira.com), TPG Capital(www.tpg.com)</t>
        </is>
      </c>
      <c r="BJ61" s="74" t="inlineStr">
        <is>
          <t>Executive Search International(Advisor: General), FortéONE(Consulting), M/Cap Advisors(Advisor: General)</t>
        </is>
      </c>
      <c r="BK61" s="75" t="inlineStr">
        <is>
          <t>Bank of America Merrill Lynch(Underwriter), Bank of America Merrill Lynch(Advisor: General), Bear Stearns(Advisor: General), J.P. Morgan(Underwriter), Lazard(Underwriter), Morris Nichols Arsht &amp; Tunnell(Legal Advisor), Morrison &amp; Foerster(Legal Advisor), PwC(Auditor), Riordan &amp; McKinzie(Legal Advisor)</t>
        </is>
      </c>
      <c r="BL61" s="76" t="n">
        <v>34164.0</v>
      </c>
      <c r="BM61" s="77" t="inlineStr">
        <is>
          <t/>
        </is>
      </c>
      <c r="BN61" s="78" t="inlineStr">
        <is>
          <t/>
        </is>
      </c>
      <c r="BO61" s="79" t="inlineStr">
        <is>
          <t/>
        </is>
      </c>
      <c r="BP61" s="80" t="inlineStr">
        <is>
          <t/>
        </is>
      </c>
      <c r="BQ61" s="81" t="inlineStr">
        <is>
          <t>Buyout/LBO</t>
        </is>
      </c>
      <c r="BR61" s="82" t="inlineStr">
        <is>
          <t/>
        </is>
      </c>
      <c r="BS61" s="83" t="inlineStr">
        <is>
          <t/>
        </is>
      </c>
      <c r="BT61" s="84" t="inlineStr">
        <is>
          <t>Private Equity</t>
        </is>
      </c>
      <c r="BU61" s="85" t="inlineStr">
        <is>
          <t/>
        </is>
      </c>
      <c r="BV61" s="86" t="inlineStr">
        <is>
          <t/>
        </is>
      </c>
      <c r="BW61" s="87" t="inlineStr">
        <is>
          <t/>
        </is>
      </c>
      <c r="BX61" s="88" t="inlineStr">
        <is>
          <t>Completed</t>
        </is>
      </c>
      <c r="BY61" s="89" t="n">
        <v>40805.0</v>
      </c>
      <c r="BZ61" s="90" t="inlineStr">
        <is>
          <t/>
        </is>
      </c>
      <c r="CA61" s="91" t="inlineStr">
        <is>
          <t/>
        </is>
      </c>
      <c r="CB61" s="92" t="n">
        <v>1000.0</v>
      </c>
      <c r="CC61" s="93" t="inlineStr">
        <is>
          <t>Estimated</t>
        </is>
      </c>
      <c r="CD61" s="94" t="inlineStr">
        <is>
          <t>Buyout/LBO</t>
        </is>
      </c>
      <c r="CE61" s="95" t="inlineStr">
        <is>
          <t>Corporate Divestiture</t>
        </is>
      </c>
      <c r="CF61" s="96" t="inlineStr">
        <is>
          <t/>
        </is>
      </c>
      <c r="CG61" s="97" t="inlineStr">
        <is>
          <t>Private Equity</t>
        </is>
      </c>
      <c r="CH61" s="98" t="inlineStr">
        <is>
          <t/>
        </is>
      </c>
      <c r="CI61" s="99" t="inlineStr">
        <is>
          <t/>
        </is>
      </c>
      <c r="CJ61" s="100" t="inlineStr">
        <is>
          <t/>
        </is>
      </c>
      <c r="CK61" s="101" t="inlineStr">
        <is>
          <t>Failed/Cancelled</t>
        </is>
      </c>
      <c r="CL61" s="102" t="inlineStr">
        <is>
          <t/>
        </is>
      </c>
      <c r="CM61" s="103" t="inlineStr">
        <is>
          <t/>
        </is>
      </c>
      <c r="CN61" s="104" t="inlineStr">
        <is>
          <t/>
        </is>
      </c>
      <c r="CO61" s="105" t="inlineStr">
        <is>
          <t/>
        </is>
      </c>
      <c r="CP61" s="106" t="inlineStr">
        <is>
          <t/>
        </is>
      </c>
      <c r="CQ61" s="107" t="inlineStr">
        <is>
          <t/>
        </is>
      </c>
      <c r="CR61" s="108" t="inlineStr">
        <is>
          <t/>
        </is>
      </c>
      <c r="CS61" s="109" t="inlineStr">
        <is>
          <t/>
        </is>
      </c>
      <c r="CT61" s="110" t="inlineStr">
        <is>
          <t/>
        </is>
      </c>
      <c r="CU61" s="111" t="inlineStr">
        <is>
          <t/>
        </is>
      </c>
      <c r="CV61" s="112" t="inlineStr">
        <is>
          <t/>
        </is>
      </c>
      <c r="CW61" s="113" t="inlineStr">
        <is>
          <t/>
        </is>
      </c>
      <c r="CX61" s="114" t="inlineStr">
        <is>
          <t/>
        </is>
      </c>
      <c r="CY61" s="115" t="inlineStr">
        <is>
          <t/>
        </is>
      </c>
      <c r="CZ61" s="116" t="inlineStr">
        <is>
          <t/>
        </is>
      </c>
      <c r="DA61" s="117" t="inlineStr">
        <is>
          <t/>
        </is>
      </c>
      <c r="DB61" s="118" t="inlineStr">
        <is>
          <t/>
        </is>
      </c>
      <c r="DC61" s="119" t="inlineStr">
        <is>
          <t/>
        </is>
      </c>
      <c r="DD61" s="120" t="inlineStr">
        <is>
          <t/>
        </is>
      </c>
      <c r="DE61" s="121" t="inlineStr">
        <is>
          <t/>
        </is>
      </c>
      <c r="DF61" s="122" t="inlineStr">
        <is>
          <t/>
        </is>
      </c>
      <c r="DG61" s="123" t="inlineStr">
        <is>
          <t/>
        </is>
      </c>
      <c r="DH61" s="124" t="inlineStr">
        <is>
          <t/>
        </is>
      </c>
      <c r="DI61" s="125" t="inlineStr">
        <is>
          <t/>
        </is>
      </c>
      <c r="DJ61" s="126" t="inlineStr">
        <is>
          <t/>
        </is>
      </c>
      <c r="DK61" s="127" t="inlineStr">
        <is>
          <t/>
        </is>
      </c>
      <c r="DL61" s="128" t="inlineStr">
        <is>
          <t/>
        </is>
      </c>
      <c r="DM61" s="129" t="inlineStr">
        <is>
          <t/>
        </is>
      </c>
      <c r="DN61" s="130" t="inlineStr">
        <is>
          <t/>
        </is>
      </c>
      <c r="DO61" s="131" t="inlineStr">
        <is>
          <t/>
        </is>
      </c>
      <c r="DP61" s="132" t="inlineStr">
        <is>
          <t/>
        </is>
      </c>
      <c r="DQ61" s="133" t="inlineStr">
        <is>
          <t/>
        </is>
      </c>
      <c r="DR61" s="134" t="inlineStr">
        <is>
          <t/>
        </is>
      </c>
      <c r="DS61" s="135" t="inlineStr">
        <is>
          <t/>
        </is>
      </c>
      <c r="DT61" s="136" t="inlineStr">
        <is>
          <t/>
        </is>
      </c>
      <c r="DU61" s="137" t="inlineStr">
        <is>
          <t/>
        </is>
      </c>
      <c r="DV61" s="138" t="inlineStr">
        <is>
          <t/>
        </is>
      </c>
      <c r="DW61" s="139" t="inlineStr">
        <is>
          <t/>
        </is>
      </c>
      <c r="DX61" s="140" t="inlineStr">
        <is>
          <t/>
        </is>
      </c>
      <c r="DY61" s="141" t="inlineStr">
        <is>
          <t>PitchBook Research</t>
        </is>
      </c>
      <c r="DZ61" s="142" t="n">
        <v>43425.0</v>
      </c>
      <c r="EA61" s="143" t="n">
        <v>1000.0</v>
      </c>
      <c r="EB61" s="144" t="n">
        <v>40805.0</v>
      </c>
      <c r="EC61" s="145" t="inlineStr">
        <is>
          <t>Buyout/LBO</t>
        </is>
      </c>
      <c r="ED61" s="547">
        <f>HYPERLINK("https://my.pitchbook.com?c=13266-82", "View company online")</f>
      </c>
    </row>
    <row r="62">
      <c r="A62" s="147" t="inlineStr">
        <is>
          <t>41154-22</t>
        </is>
      </c>
      <c r="B62" s="148" t="inlineStr">
        <is>
          <t>Tiffany (NYS: TIF)</t>
        </is>
      </c>
      <c r="C62" s="149" t="inlineStr">
        <is>
          <t/>
        </is>
      </c>
      <c r="D62" s="150" t="inlineStr">
        <is>
          <t/>
        </is>
      </c>
      <c r="E62" s="151" t="inlineStr">
        <is>
          <t>41154-22</t>
        </is>
      </c>
      <c r="F62" s="152" t="inlineStr">
        <is>
          <t>Tiffany &amp; Co is a monobrand jeweler with a 180-year history. It is vertically integrated, with 65%-75% (by value) of polished diamonds used in its jewellery produced from rough diamonds purchased by the company. Tiffany is present in over 20 countries globally, with over 300 own stores. Its biggest market is its home market, the U.S.; however, Europe and Asia-Pacific have shown the strongest growth levels in recent years. Engagement jewellery contributes over 25% of sales, the remainder being designer jewellery and other collections.</t>
        </is>
      </c>
      <c r="G62" s="153" t="inlineStr">
        <is>
          <t>Consumer Products and Services (B2C)</t>
        </is>
      </c>
      <c r="H62" s="154" t="inlineStr">
        <is>
          <t>Apparel and Accessories</t>
        </is>
      </c>
      <c r="I62" s="155" t="inlineStr">
        <is>
          <t>Accessories</t>
        </is>
      </c>
      <c r="J62" s="156" t="inlineStr">
        <is>
          <t>Accessories*, Luxury Goods, Specialty Retail</t>
        </is>
      </c>
      <c r="K62" s="157" t="inlineStr">
        <is>
          <t>Manufacturing</t>
        </is>
      </c>
      <c r="L62" s="158" t="inlineStr">
        <is>
          <t>engagement rings, fine jewelry, gemstone jewelry, jewelry sales, sterling silver jewelry, wedding band</t>
        </is>
      </c>
      <c r="M62" s="159" t="inlineStr">
        <is>
          <t>Corporation</t>
        </is>
      </c>
      <c r="N62" s="160" t="n">
        <v>827.0</v>
      </c>
      <c r="O62" s="161" t="inlineStr">
        <is>
          <t>Profitable</t>
        </is>
      </c>
      <c r="P62" s="162" t="inlineStr">
        <is>
          <t>Publicly Held</t>
        </is>
      </c>
      <c r="Q62" s="163" t="inlineStr">
        <is>
          <t>Private Equity, Publicly Listed</t>
        </is>
      </c>
      <c r="R62" s="164" t="inlineStr">
        <is>
          <t>www.tiffany.com</t>
        </is>
      </c>
      <c r="S62" s="165" t="n">
        <v>13100.0</v>
      </c>
      <c r="T62" s="166" t="inlineStr">
        <is>
          <t>1990: 2085, 1991: 2085, 1993: 2865, 1994: 3133, 1995: 3306, 1996: 3656, 1997: 3892, 1998: 4360, 1999: 4845, 2000: 5368, 2001: 5960, 2002: 5938, 2003: 6431, 2004: 6862, 2005: 7341, 2006: 8100, 2007: 8900, 2008: 8800, 2009: 9000, 2010: 8400, 2011: 9200, 2012: 9800, 2013: 9900, 2014: 10600, 2015: 12000, 2016: 12200, 2017: 11900, 2018: 13100</t>
        </is>
      </c>
      <c r="U62" s="167" t="inlineStr">
        <is>
          <t>NYS</t>
        </is>
      </c>
      <c r="V62" s="168" t="inlineStr">
        <is>
          <t>TIF</t>
        </is>
      </c>
      <c r="W62" s="169" t="n">
        <v>1837.0</v>
      </c>
      <c r="X62" s="170" t="inlineStr">
        <is>
          <t/>
        </is>
      </c>
      <c r="Y62" s="171" t="inlineStr">
        <is>
          <t/>
        </is>
      </c>
      <c r="Z62" s="172" t="inlineStr">
        <is>
          <t>News (New) , Filing (New) </t>
        </is>
      </c>
      <c r="AA62" s="173" t="n">
        <v>4442.1</v>
      </c>
      <c r="AB62" s="174" t="n">
        <v>2811.0</v>
      </c>
      <c r="AC62" s="175" t="n">
        <v>586.4</v>
      </c>
      <c r="AD62" s="176" t="n">
        <v>11123.84</v>
      </c>
      <c r="AE62" s="177" t="n">
        <v>1012.2</v>
      </c>
      <c r="AF62" s="178" t="inlineStr">
        <is>
          <t>FY 2019</t>
        </is>
      </c>
      <c r="AG62" s="179" t="n">
        <v>783.2</v>
      </c>
      <c r="AH62" s="180" t="n">
        <v>12581.01</v>
      </c>
      <c r="AI62" s="181" t="n">
        <v>141.5</v>
      </c>
      <c r="AJ62" s="182" t="inlineStr">
        <is>
          <t>74449-00P</t>
        </is>
      </c>
      <c r="AK62" s="183" t="inlineStr">
        <is>
          <t>Alessandro Bogliolo</t>
        </is>
      </c>
      <c r="AL62" s="184" t="inlineStr">
        <is>
          <t>Chief Executive Officer &amp; Board Member</t>
        </is>
      </c>
      <c r="AM62" s="185" t="inlineStr">
        <is>
          <t>alessandro.bogliolo@tiffany.com</t>
        </is>
      </c>
      <c r="AN62" s="186" t="inlineStr">
        <is>
          <t>+1 (212) 755-8000</t>
        </is>
      </c>
      <c r="AO62" s="187" t="inlineStr">
        <is>
          <t>New York, NY</t>
        </is>
      </c>
      <c r="AP62" s="188" t="inlineStr">
        <is>
          <t>727 Fifth Avenue</t>
        </is>
      </c>
      <c r="AQ62" s="189" t="inlineStr">
        <is>
          <t/>
        </is>
      </c>
      <c r="AR62" s="190" t="inlineStr">
        <is>
          <t>New York</t>
        </is>
      </c>
      <c r="AS62" s="191" t="inlineStr">
        <is>
          <t>New York</t>
        </is>
      </c>
      <c r="AT62" s="192" t="inlineStr">
        <is>
          <t>10022</t>
        </is>
      </c>
      <c r="AU62" s="193" t="inlineStr">
        <is>
          <t>United States</t>
        </is>
      </c>
      <c r="AV62" s="194" t="inlineStr">
        <is>
          <t>+1 (212) 755-8000</t>
        </is>
      </c>
      <c r="AW62" s="195" t="inlineStr">
        <is>
          <t>+1 (212) 605-4465</t>
        </is>
      </c>
      <c r="AX62" s="196" t="inlineStr">
        <is>
          <t/>
        </is>
      </c>
      <c r="AY62" s="197" t="inlineStr">
        <is>
          <t>Americas</t>
        </is>
      </c>
      <c r="AZ62" s="198" t="inlineStr">
        <is>
          <t>North America</t>
        </is>
      </c>
      <c r="BA62" s="199" t="inlineStr">
        <is>
          <t>Qatar Investment Authority sold 4,400,000 shares of the company's (NYSE: TIF) common stock at a price of $94.16 per share, raising $417 million on September 14, 2017.</t>
        </is>
      </c>
      <c r="BB62" s="200" t="inlineStr">
        <is>
          <t>JANA Partners, Qatar Investment Authority</t>
        </is>
      </c>
      <c r="BC62" s="201" t="n">
        <v>2.0</v>
      </c>
      <c r="BD62" s="202" t="inlineStr">
        <is>
          <t/>
        </is>
      </c>
      <c r="BE62" s="203" t="inlineStr">
        <is>
          <t>Blum Capital Partners</t>
        </is>
      </c>
      <c r="BF62" s="204" t="inlineStr">
        <is>
          <t/>
        </is>
      </c>
      <c r="BG62" s="205" t="inlineStr">
        <is>
          <t>JANA Partners(www.janapartners.com), Qatar Investment Authority(www.qia.qa)</t>
        </is>
      </c>
      <c r="BH62" s="206" t="inlineStr">
        <is>
          <t>Blum Capital Partners(www.blumcapital.com)</t>
        </is>
      </c>
      <c r="BI62" s="207" t="inlineStr">
        <is>
          <t/>
        </is>
      </c>
      <c r="BJ62" s="208" t="inlineStr">
        <is>
          <t>Columbia Capital Securities(Advisor: General), Cowan, Liebowitz &amp; Latman(Legal Advisor), FSG(Consulting), Stonebridge Associates(Advisor: General), Telsey Advisory Group(Advisor: General), The Audible Group(Consulting)</t>
        </is>
      </c>
      <c r="BK62" s="209" t="inlineStr">
        <is>
          <t/>
        </is>
      </c>
      <c r="BL62" s="210" t="n">
        <v>32141.0</v>
      </c>
      <c r="BM62" s="211" t="inlineStr">
        <is>
          <t/>
        </is>
      </c>
      <c r="BN62" s="212" t="inlineStr">
        <is>
          <t/>
        </is>
      </c>
      <c r="BO62" s="213" t="inlineStr">
        <is>
          <t/>
        </is>
      </c>
      <c r="BP62" s="214" t="inlineStr">
        <is>
          <t/>
        </is>
      </c>
      <c r="BQ62" s="215" t="inlineStr">
        <is>
          <t>IPO</t>
        </is>
      </c>
      <c r="BR62" s="216" t="inlineStr">
        <is>
          <t/>
        </is>
      </c>
      <c r="BS62" s="217" t="inlineStr">
        <is>
          <t/>
        </is>
      </c>
      <c r="BT62" s="218" t="inlineStr">
        <is>
          <t>Public Investment</t>
        </is>
      </c>
      <c r="BU62" s="219" t="inlineStr">
        <is>
          <t/>
        </is>
      </c>
      <c r="BV62" s="220" t="inlineStr">
        <is>
          <t/>
        </is>
      </c>
      <c r="BW62" s="221" t="inlineStr">
        <is>
          <t/>
        </is>
      </c>
      <c r="BX62" s="222" t="inlineStr">
        <is>
          <t>Completed</t>
        </is>
      </c>
      <c r="BY62" s="223" t="n">
        <v>42992.0</v>
      </c>
      <c r="BZ62" s="224" t="n">
        <v>417.0</v>
      </c>
      <c r="CA62" s="225" t="inlineStr">
        <is>
          <t>Actual</t>
        </is>
      </c>
      <c r="CB62" s="226" t="n">
        <v>11914.29</v>
      </c>
      <c r="CC62" s="227" t="inlineStr">
        <is>
          <t>Estimated</t>
        </is>
      </c>
      <c r="CD62" s="228" t="inlineStr">
        <is>
          <t>Secondary Transaction - Open Market</t>
        </is>
      </c>
      <c r="CE62" s="229" t="inlineStr">
        <is>
          <t/>
        </is>
      </c>
      <c r="CF62" s="230" t="inlineStr">
        <is>
          <t/>
        </is>
      </c>
      <c r="CG62" s="231" t="inlineStr">
        <is>
          <t>Private Equity</t>
        </is>
      </c>
      <c r="CH62" s="232" t="inlineStr">
        <is>
          <t/>
        </is>
      </c>
      <c r="CI62" s="233" t="inlineStr">
        <is>
          <t/>
        </is>
      </c>
      <c r="CJ62" s="234" t="inlineStr">
        <is>
          <t/>
        </is>
      </c>
      <c r="CK62" s="235" t="inlineStr">
        <is>
          <t>Completed</t>
        </is>
      </c>
      <c r="CL62" s="236" t="inlineStr">
        <is>
          <t/>
        </is>
      </c>
      <c r="CM62" s="237" t="inlineStr">
        <is>
          <t/>
        </is>
      </c>
      <c r="CN62" s="238" t="n">
        <v>1.62</v>
      </c>
      <c r="CO62" s="239" t="n">
        <v>99.0</v>
      </c>
      <c r="CP62" s="240" t="n">
        <v>0.0</v>
      </c>
      <c r="CQ62" s="241" t="n">
        <v>0.1</v>
      </c>
      <c r="CR62" s="242" t="n">
        <v>3.24</v>
      </c>
      <c r="CS62" s="243" t="n">
        <v>100.0</v>
      </c>
      <c r="CT62" s="244" t="n">
        <v>0.0</v>
      </c>
      <c r="CU62" s="245" t="n">
        <v>27.0</v>
      </c>
      <c r="CV62" s="246" t="n">
        <v>6.3</v>
      </c>
      <c r="CW62" s="247" t="n">
        <v>98.0</v>
      </c>
      <c r="CX62" s="248" t="n">
        <v>0.17</v>
      </c>
      <c r="CY62" s="249" t="n">
        <v>88.0</v>
      </c>
      <c r="CZ62" s="250" t="n">
        <v>0.0</v>
      </c>
      <c r="DA62" s="251" t="n">
        <v>28.0</v>
      </c>
      <c r="DB62" s="252" t="n">
        <v>2725.04</v>
      </c>
      <c r="DC62" s="253" t="n">
        <v>100.0</v>
      </c>
      <c r="DD62" s="254" t="n">
        <v>-1624.78</v>
      </c>
      <c r="DE62" s="255" t="n">
        <v>-37.35</v>
      </c>
      <c r="DF62" s="256" t="n">
        <v>827.91</v>
      </c>
      <c r="DG62" s="257" t="n">
        <v>100.0</v>
      </c>
      <c r="DH62" s="258" t="n">
        <v>4622.17</v>
      </c>
      <c r="DI62" s="259" t="n">
        <v>100.0</v>
      </c>
      <c r="DJ62" s="260" t="n">
        <v>1076.29</v>
      </c>
      <c r="DK62" s="261" t="n">
        <v>100.0</v>
      </c>
      <c r="DL62" s="262" t="n">
        <v>579.53</v>
      </c>
      <c r="DM62" s="263" t="n">
        <v>100.0</v>
      </c>
      <c r="DN62" s="264" t="n">
        <v>4622.17</v>
      </c>
      <c r="DO62" s="265" t="n">
        <v>100.0</v>
      </c>
      <c r="DP62" s="266" t="n">
        <v>764239.0</v>
      </c>
      <c r="DQ62" s="267" t="n">
        <v>28381.0</v>
      </c>
      <c r="DR62" s="268" t="n">
        <v>3.86</v>
      </c>
      <c r="DS62" s="269" t="n">
        <v>19663.0</v>
      </c>
      <c r="DT62" s="270" t="n">
        <v>101.0</v>
      </c>
      <c r="DU62" s="271" t="n">
        <v>0.52</v>
      </c>
      <c r="DV62" s="272" t="n">
        <v>1659852.0</v>
      </c>
      <c r="DW62" s="273" t="n">
        <v>-834.0</v>
      </c>
      <c r="DX62" s="274" t="n">
        <v>-0.05</v>
      </c>
      <c r="DY62" s="275" t="inlineStr">
        <is>
          <t>PitchBook Research</t>
        </is>
      </c>
      <c r="DZ62" s="276" t="n">
        <v>43549.0</v>
      </c>
      <c r="EA62" s="277" t="n">
        <v>11914.29</v>
      </c>
      <c r="EB62" s="278" t="n">
        <v>42992.0</v>
      </c>
      <c r="EC62" s="279" t="inlineStr">
        <is>
          <t>Secondary Transaction - Open Market</t>
        </is>
      </c>
      <c r="ED62" s="548">
        <f>HYPERLINK("https://my.pitchbook.com?c=41154-22", "View company online")</f>
      </c>
    </row>
    <row r="63">
      <c r="A63" s="13" t="inlineStr">
        <is>
          <t>57508-75</t>
        </is>
      </c>
      <c r="B63" s="14" t="inlineStr">
        <is>
          <t>GrandVision (AMS: GVNV)</t>
        </is>
      </c>
      <c r="C63" s="15" t="inlineStr">
        <is>
          <t>Pearle Europe</t>
        </is>
      </c>
      <c r="D63" s="16" t="inlineStr">
        <is>
          <t/>
        </is>
      </c>
      <c r="E63" s="17" t="inlineStr">
        <is>
          <t>57508-75</t>
        </is>
      </c>
      <c r="F63" s="18" t="inlineStr">
        <is>
          <t>GrandVision NV is an optical retailer present in various countries in Europe, the Americas, and Asia. The company provides expert optical services, prescription glasses, frames, lenses, contact lenses, and sunglasses through a portfolio of optical retail banners. The company's exclusive portfolio contains the following brands: Miki Ninn, The One, Play, LightFly, Activ, and Enzzo, among others, for frames; Heritage, Seen, Solaris, and Unofficial for sunglasses; and EyeExpert and iWear for contact lenses. The assortment covers the full consumer spectrum, from well-known international brands to more-affordable in-house brands.</t>
        </is>
      </c>
      <c r="G63" s="19" t="inlineStr">
        <is>
          <t>Business Products and Services (B2B)</t>
        </is>
      </c>
      <c r="H63" s="20" t="inlineStr">
        <is>
          <t>Commercial Services</t>
        </is>
      </c>
      <c r="I63" s="21" t="inlineStr">
        <is>
          <t>Other Commercial Services</t>
        </is>
      </c>
      <c r="J63" s="22" t="inlineStr">
        <is>
          <t>Accessories, Other Commercial Services*</t>
        </is>
      </c>
      <c r="K63" s="23" t="inlineStr">
        <is>
          <t/>
        </is>
      </c>
      <c r="L63" s="24" t="inlineStr">
        <is>
          <t>optical branding, optical stores chain, spectacle, spectacle and sunglass</t>
        </is>
      </c>
      <c r="M63" s="25" t="inlineStr">
        <is>
          <t>Corporation</t>
        </is>
      </c>
      <c r="N63" s="26" t="inlineStr">
        <is>
          <t/>
        </is>
      </c>
      <c r="O63" s="27" t="inlineStr">
        <is>
          <t>Profitable</t>
        </is>
      </c>
      <c r="P63" s="28" t="inlineStr">
        <is>
          <t>Publicly Held</t>
        </is>
      </c>
      <c r="Q63" s="29" t="inlineStr">
        <is>
          <t>Private Equity, Publicly Listed</t>
        </is>
      </c>
      <c r="R63" s="30" t="inlineStr">
        <is>
          <t>www.grandvision.com</t>
        </is>
      </c>
      <c r="S63" s="31" t="n">
        <v>37457.0</v>
      </c>
      <c r="T63" s="32" t="inlineStr">
        <is>
          <t>2011: 19800, 2013: 21600, 2014: 25776, 2015: 27510, 2016: 28766, 2017: 36518, 2018: 37457</t>
        </is>
      </c>
      <c r="U63" s="33" t="inlineStr">
        <is>
          <t>AMS</t>
        </is>
      </c>
      <c r="V63" s="34" t="inlineStr">
        <is>
          <t>GVNV</t>
        </is>
      </c>
      <c r="W63" s="35" t="n">
        <v>1996.0</v>
      </c>
      <c r="X63" s="36" t="inlineStr">
        <is>
          <t/>
        </is>
      </c>
      <c r="Y63" s="37" t="inlineStr">
        <is>
          <t/>
        </is>
      </c>
      <c r="Z63" s="38" t="inlineStr">
        <is>
          <t/>
        </is>
      </c>
      <c r="AA63" s="39" t="n">
        <v>4391.0</v>
      </c>
      <c r="AB63" s="40" t="n">
        <v>3206.75</v>
      </c>
      <c r="AC63" s="41" t="n">
        <v>255.22</v>
      </c>
      <c r="AD63" s="42" t="n">
        <v>6601.31</v>
      </c>
      <c r="AE63" s="43" t="n">
        <v>651.21</v>
      </c>
      <c r="AF63" s="44" t="inlineStr">
        <is>
          <t>FY 2018</t>
        </is>
      </c>
      <c r="AG63" s="45" t="n">
        <v>384.74</v>
      </c>
      <c r="AH63" s="46" t="n">
        <v>5489.83</v>
      </c>
      <c r="AI63" s="47" t="n">
        <v>846.44</v>
      </c>
      <c r="AJ63" s="48" t="inlineStr">
        <is>
          <t>52197-40P</t>
        </is>
      </c>
      <c r="AK63" s="49" t="inlineStr">
        <is>
          <t>Paulo de Castro</t>
        </is>
      </c>
      <c r="AL63" s="50" t="inlineStr">
        <is>
          <t>Chief Financial Officer</t>
        </is>
      </c>
      <c r="AM63" s="51" t="inlineStr">
        <is>
          <t>paulo.decastro@grandvision.com</t>
        </is>
      </c>
      <c r="AN63" s="52" t="inlineStr">
        <is>
          <t>+31 (0)88 887 0100</t>
        </is>
      </c>
      <c r="AO63" s="53" t="inlineStr">
        <is>
          <t>Schiphol, Netherlands</t>
        </is>
      </c>
      <c r="AP63" s="54" t="inlineStr">
        <is>
          <t>Evert van de Beekstraat 1-80</t>
        </is>
      </c>
      <c r="AQ63" s="55" t="inlineStr">
        <is>
          <t>Tower C, 6th floor</t>
        </is>
      </c>
      <c r="AR63" s="56" t="inlineStr">
        <is>
          <t>Schiphol</t>
        </is>
      </c>
      <c r="AS63" s="57" t="inlineStr">
        <is>
          <t/>
        </is>
      </c>
      <c r="AT63" s="58" t="inlineStr">
        <is>
          <t>1118 CL</t>
        </is>
      </c>
      <c r="AU63" s="59" t="inlineStr">
        <is>
          <t>Netherlands</t>
        </is>
      </c>
      <c r="AV63" s="60" t="inlineStr">
        <is>
          <t>+31 (0)88 887 0100</t>
        </is>
      </c>
      <c r="AW63" s="61" t="inlineStr">
        <is>
          <t/>
        </is>
      </c>
      <c r="AX63" s="62" t="inlineStr">
        <is>
          <t>info@grandvision.com</t>
        </is>
      </c>
      <c r="AY63" s="63" t="inlineStr">
        <is>
          <t>Europe</t>
        </is>
      </c>
      <c r="AZ63" s="64" t="inlineStr">
        <is>
          <t>Western Europe</t>
        </is>
      </c>
      <c r="BA63" s="65" t="inlineStr">
        <is>
          <t>The company completed its initial public offering on the Euronext Amsterdam stock exchange under the ticker symbol of GNVN on February 6, 2015. A total of 51,000,000 shares were sold at a price of EUR 20 per share. After the offering, there was a total of 254,443,840 outstanding shares priced at EUR 20 per share, valuing the company at EUR 5.088 billion. The company did not issue any shares and will not receive any proceeds from the offering. The total proceeds, before expenses, to the selling shareholders is EUR 1.02 billion. The underwriters were granted an option to purchase up to an additional 7,650,000 shares from the selling shareholders to over-allotments, if any. Kempen &amp; Co acted as a placement agent for GrandVision.</t>
        </is>
      </c>
      <c r="BB63" s="66" t="inlineStr">
        <is>
          <t>HAL Investments</t>
        </is>
      </c>
      <c r="BC63" s="67" t="n">
        <v>1.0</v>
      </c>
      <c r="BD63" s="68" t="inlineStr">
        <is>
          <t/>
        </is>
      </c>
      <c r="BE63" s="69" t="inlineStr">
        <is>
          <t>Luxottica Group, Pearle Vision</t>
        </is>
      </c>
      <c r="BF63" s="70" t="inlineStr">
        <is>
          <t/>
        </is>
      </c>
      <c r="BG63" s="71" t="inlineStr">
        <is>
          <t>HAL Investments(www.halinvestments.nl)</t>
        </is>
      </c>
      <c r="BH63" s="72" t="inlineStr">
        <is>
          <t>Luxottica Group(www.luxottica.com), Pearle Vision(www.pearlevision.com)</t>
        </is>
      </c>
      <c r="BI63" s="73" t="inlineStr">
        <is>
          <t/>
        </is>
      </c>
      <c r="BJ63" s="74" t="inlineStr">
        <is>
          <t>CFF Communications(Advisor: Communications), North Beta Capital(Advisor: General)</t>
        </is>
      </c>
      <c r="BK63" s="75" t="inlineStr">
        <is>
          <t>ABN AMRO Bank(Underwriter), Barclays(Underwriter), BNP Paribas(Underwriter), Davis Polk &amp; Wardwell(Legal Advisor), De Brauw Blackstone Westbroek(Legal Advisor), HSBC Holdings(Underwriter), J.P. Morgan(Underwriter), Kempen &amp; Co(Placement Agent), PwC(Accounting)</t>
        </is>
      </c>
      <c r="BL63" s="76" t="n">
        <v>35334.0</v>
      </c>
      <c r="BM63" s="77" t="inlineStr">
        <is>
          <t/>
        </is>
      </c>
      <c r="BN63" s="78" t="inlineStr">
        <is>
          <t/>
        </is>
      </c>
      <c r="BO63" s="79" t="inlineStr">
        <is>
          <t/>
        </is>
      </c>
      <c r="BP63" s="80" t="inlineStr">
        <is>
          <t/>
        </is>
      </c>
      <c r="BQ63" s="81" t="inlineStr">
        <is>
          <t>Buyout/LBO</t>
        </is>
      </c>
      <c r="BR63" s="82" t="inlineStr">
        <is>
          <t/>
        </is>
      </c>
      <c r="BS63" s="83" t="inlineStr">
        <is>
          <t/>
        </is>
      </c>
      <c r="BT63" s="84" t="inlineStr">
        <is>
          <t>Private Equity</t>
        </is>
      </c>
      <c r="BU63" s="85" t="inlineStr">
        <is>
          <t/>
        </is>
      </c>
      <c r="BV63" s="86" t="inlineStr">
        <is>
          <t/>
        </is>
      </c>
      <c r="BW63" s="87" t="inlineStr">
        <is>
          <t/>
        </is>
      </c>
      <c r="BX63" s="88" t="inlineStr">
        <is>
          <t>Completed</t>
        </is>
      </c>
      <c r="BY63" s="89" t="n">
        <v>42041.0</v>
      </c>
      <c r="BZ63" s="90" t="n">
        <v>1158.01</v>
      </c>
      <c r="CA63" s="91" t="inlineStr">
        <is>
          <t>Actual</t>
        </is>
      </c>
      <c r="CB63" s="92" t="n">
        <v>5777.43</v>
      </c>
      <c r="CC63" s="93" t="inlineStr">
        <is>
          <t>Estimated</t>
        </is>
      </c>
      <c r="CD63" s="94" t="inlineStr">
        <is>
          <t>IPO</t>
        </is>
      </c>
      <c r="CE63" s="95" t="inlineStr">
        <is>
          <t/>
        </is>
      </c>
      <c r="CF63" s="96" t="inlineStr">
        <is>
          <t/>
        </is>
      </c>
      <c r="CG63" s="97" t="inlineStr">
        <is>
          <t>Public Investment</t>
        </is>
      </c>
      <c r="CH63" s="98" t="inlineStr">
        <is>
          <t/>
        </is>
      </c>
      <c r="CI63" s="99" t="inlineStr">
        <is>
          <t/>
        </is>
      </c>
      <c r="CJ63" s="100" t="inlineStr">
        <is>
          <t/>
        </is>
      </c>
      <c r="CK63" s="101" t="inlineStr">
        <is>
          <t>Completed</t>
        </is>
      </c>
      <c r="CL63" s="102" t="inlineStr">
        <is>
          <t/>
        </is>
      </c>
      <c r="CM63" s="103" t="inlineStr">
        <is>
          <t/>
        </is>
      </c>
      <c r="CN63" s="104" t="n">
        <v>0.52</v>
      </c>
      <c r="CO63" s="105" t="n">
        <v>95.0</v>
      </c>
      <c r="CP63" s="106" t="n">
        <v>0.27</v>
      </c>
      <c r="CQ63" s="107" t="n">
        <v>107.15</v>
      </c>
      <c r="CR63" s="108" t="n">
        <v>0.74</v>
      </c>
      <c r="CS63" s="109" t="n">
        <v>96.0</v>
      </c>
      <c r="CT63" s="110" t="n">
        <v>0.29</v>
      </c>
      <c r="CU63" s="111" t="n">
        <v>89.0</v>
      </c>
      <c r="CV63" s="112" t="inlineStr">
        <is>
          <t/>
        </is>
      </c>
      <c r="CW63" s="113" t="inlineStr">
        <is>
          <t/>
        </is>
      </c>
      <c r="CX63" s="114" t="n">
        <v>0.74</v>
      </c>
      <c r="CY63" s="115" t="n">
        <v>96.0</v>
      </c>
      <c r="CZ63" s="116" t="n">
        <v>0.29</v>
      </c>
      <c r="DA63" s="117" t="n">
        <v>91.0</v>
      </c>
      <c r="DB63" s="118" t="n">
        <v>6.28</v>
      </c>
      <c r="DC63" s="119" t="n">
        <v>86.0</v>
      </c>
      <c r="DD63" s="120" t="n">
        <v>1.52</v>
      </c>
      <c r="DE63" s="121" t="n">
        <v>32.0</v>
      </c>
      <c r="DF63" s="122" t="n">
        <v>11.59</v>
      </c>
      <c r="DG63" s="123" t="n">
        <v>91.0</v>
      </c>
      <c r="DH63" s="124" t="n">
        <v>0.98</v>
      </c>
      <c r="DI63" s="125" t="n">
        <v>49.0</v>
      </c>
      <c r="DJ63" s="126" t="inlineStr">
        <is>
          <t/>
        </is>
      </c>
      <c r="DK63" s="127" t="inlineStr">
        <is>
          <t/>
        </is>
      </c>
      <c r="DL63" s="128" t="n">
        <v>11.59</v>
      </c>
      <c r="DM63" s="129" t="n">
        <v>90.0</v>
      </c>
      <c r="DN63" s="130" t="n">
        <v>0.98</v>
      </c>
      <c r="DO63" s="131" t="n">
        <v>50.0</v>
      </c>
      <c r="DP63" s="132" t="n">
        <v>149.0</v>
      </c>
      <c r="DQ63" s="133" t="n">
        <v>-27.0</v>
      </c>
      <c r="DR63" s="134" t="n">
        <v>-15.34</v>
      </c>
      <c r="DS63" s="135" t="n">
        <v>390.0</v>
      </c>
      <c r="DT63" s="136" t="n">
        <v>12.0</v>
      </c>
      <c r="DU63" s="137" t="n">
        <v>3.17</v>
      </c>
      <c r="DV63" s="138" t="n">
        <v>349.0</v>
      </c>
      <c r="DW63" s="139" t="n">
        <v>2.0</v>
      </c>
      <c r="DX63" s="140" t="n">
        <v>0.58</v>
      </c>
      <c r="DY63" s="141" t="inlineStr">
        <is>
          <t>PitchBook Research</t>
        </is>
      </c>
      <c r="DZ63" s="142" t="n">
        <v>43493.0</v>
      </c>
      <c r="EA63" s="143" t="n">
        <v>5777.43</v>
      </c>
      <c r="EB63" s="144" t="n">
        <v>42041.0</v>
      </c>
      <c r="EC63" s="145" t="inlineStr">
        <is>
          <t>IPO</t>
        </is>
      </c>
      <c r="ED63" s="547">
        <f>HYPERLINK("https://my.pitchbook.com?c=57508-75", "View company online")</f>
      </c>
    </row>
    <row r="64">
      <c r="A64" s="147" t="inlineStr">
        <is>
          <t>113040-37</t>
        </is>
      </c>
      <c r="B64" s="148" t="inlineStr">
        <is>
          <t>Mondetta</t>
        </is>
      </c>
      <c r="C64" s="149" t="inlineStr">
        <is>
          <t/>
        </is>
      </c>
      <c r="D64" s="150" t="inlineStr">
        <is>
          <t>Mondetta Clothing Company</t>
        </is>
      </c>
      <c r="E64" s="151" t="inlineStr">
        <is>
          <t>113040-37</t>
        </is>
      </c>
      <c r="F64" s="152" t="inlineStr">
        <is>
          <t>Designer and manufacturer of casual and sportswear apparel. The company utilizes contemporary styles and fabrics for the production of its apparel.</t>
        </is>
      </c>
      <c r="G64" s="153" t="inlineStr">
        <is>
          <t>Consumer Products and Services (B2C)</t>
        </is>
      </c>
      <c r="H64" s="154" t="inlineStr">
        <is>
          <t>Apparel and Accessories</t>
        </is>
      </c>
      <c r="I64" s="155" t="inlineStr">
        <is>
          <t>Clothing</t>
        </is>
      </c>
      <c r="J64" s="156" t="inlineStr">
        <is>
          <t>Clothing*</t>
        </is>
      </c>
      <c r="K64" s="157" t="inlineStr">
        <is>
          <t>Manufacturing</t>
        </is>
      </c>
      <c r="L64" s="158" t="inlineStr">
        <is>
          <t>casual apparel, sportswear</t>
        </is>
      </c>
      <c r="M64" s="159" t="inlineStr">
        <is>
          <t>Private Equity-Backed</t>
        </is>
      </c>
      <c r="N64" s="160" t="n">
        <v>0.8</v>
      </c>
      <c r="O64" s="161" t="inlineStr">
        <is>
          <t>Generating Revenue</t>
        </is>
      </c>
      <c r="P64" s="162" t="inlineStr">
        <is>
          <t>Privately Held (backing)</t>
        </is>
      </c>
      <c r="Q64" s="163" t="inlineStr">
        <is>
          <t>Private Equity, Venture Capital</t>
        </is>
      </c>
      <c r="R64" s="164" t="inlineStr">
        <is>
          <t>www.mondetta.com</t>
        </is>
      </c>
      <c r="S64" s="165" t="n">
        <v>51.0</v>
      </c>
      <c r="T64" s="166" t="inlineStr">
        <is>
          <t>2016: 51</t>
        </is>
      </c>
      <c r="U64" s="167" t="inlineStr">
        <is>
          <t/>
        </is>
      </c>
      <c r="V64" s="168" t="inlineStr">
        <is>
          <t/>
        </is>
      </c>
      <c r="W64" s="169" t="n">
        <v>1986.0</v>
      </c>
      <c r="X64" s="170" t="inlineStr">
        <is>
          <t/>
        </is>
      </c>
      <c r="Y64" s="171" t="inlineStr">
        <is>
          <t/>
        </is>
      </c>
      <c r="Z64" s="172" t="inlineStr">
        <is>
          <t/>
        </is>
      </c>
      <c r="AA64" s="173" t="n">
        <v>4075.61</v>
      </c>
      <c r="AB64" s="174" t="n">
        <v>149.92</v>
      </c>
      <c r="AC64" s="175" t="inlineStr">
        <is>
          <t/>
        </is>
      </c>
      <c r="AD64" s="176" t="inlineStr">
        <is>
          <t/>
        </is>
      </c>
      <c r="AE64" s="177" t="inlineStr">
        <is>
          <t/>
        </is>
      </c>
      <c r="AF64" s="178" t="inlineStr">
        <is>
          <t>FY 2010</t>
        </is>
      </c>
      <c r="AG64" s="179" t="inlineStr">
        <is>
          <t/>
        </is>
      </c>
      <c r="AH64" s="180" t="inlineStr">
        <is>
          <t/>
        </is>
      </c>
      <c r="AI64" s="181" t="inlineStr">
        <is>
          <t/>
        </is>
      </c>
      <c r="AJ64" s="182" t="inlineStr">
        <is>
          <t>100723-33P</t>
        </is>
      </c>
      <c r="AK64" s="183" t="inlineStr">
        <is>
          <t>Ash Modha</t>
        </is>
      </c>
      <c r="AL64" s="184" t="inlineStr">
        <is>
          <t>Chief Executive Officer, Co-Owner, Co-Founder &amp; President</t>
        </is>
      </c>
      <c r="AM64" s="185" t="inlineStr">
        <is>
          <t>ash@mondetta.com</t>
        </is>
      </c>
      <c r="AN64" s="186" t="inlineStr">
        <is>
          <t>+1 (888) 666-3388</t>
        </is>
      </c>
      <c r="AO64" s="187" t="inlineStr">
        <is>
          <t>Winnipeg, Canada</t>
        </is>
      </c>
      <c r="AP64" s="188" t="inlineStr">
        <is>
          <t>1109 Winnipeg Avenue</t>
        </is>
      </c>
      <c r="AQ64" s="189" t="inlineStr">
        <is>
          <t/>
        </is>
      </c>
      <c r="AR64" s="190" t="inlineStr">
        <is>
          <t>Winnipeg</t>
        </is>
      </c>
      <c r="AS64" s="191" t="inlineStr">
        <is>
          <t>Manitoba</t>
        </is>
      </c>
      <c r="AT64" s="192" t="inlineStr">
        <is>
          <t>R3E 0S2</t>
        </is>
      </c>
      <c r="AU64" s="193" t="inlineStr">
        <is>
          <t>Canada</t>
        </is>
      </c>
      <c r="AV64" s="194" t="inlineStr">
        <is>
          <t>+1 (888) 666-3388</t>
        </is>
      </c>
      <c r="AW64" s="195" t="inlineStr">
        <is>
          <t>+1 (204) 786-1840</t>
        </is>
      </c>
      <c r="AX64" s="196" t="inlineStr">
        <is>
          <t/>
        </is>
      </c>
      <c r="AY64" s="197" t="inlineStr">
        <is>
          <t>Americas</t>
        </is>
      </c>
      <c r="AZ64" s="198" t="inlineStr">
        <is>
          <t>North America</t>
        </is>
      </c>
      <c r="BA64" s="199" t="inlineStr">
        <is>
          <t>The company was acquired by Webster Capital and its management through an LBO on April 23, 2015, foran undisclosed sum.</t>
        </is>
      </c>
      <c r="BB64" s="200" t="inlineStr">
        <is>
          <t>Webster Equity Partners</t>
        </is>
      </c>
      <c r="BC64" s="201" t="n">
        <v>1.0</v>
      </c>
      <c r="BD64" s="202" t="inlineStr">
        <is>
          <t/>
        </is>
      </c>
      <c r="BE64" s="203" t="inlineStr">
        <is>
          <t>Crocus Investment</t>
        </is>
      </c>
      <c r="BF64" s="204" t="inlineStr">
        <is>
          <t/>
        </is>
      </c>
      <c r="BG64" s="205" t="inlineStr">
        <is>
          <t>Webster Equity Partners(www.websterequitypartners.com)</t>
        </is>
      </c>
      <c r="BH64" s="206" t="inlineStr">
        <is>
          <t>Crocus Investment(www.crocusfund.com)</t>
        </is>
      </c>
      <c r="BI64" s="207" t="inlineStr">
        <is>
          <t/>
        </is>
      </c>
      <c r="BJ64" s="208" t="inlineStr">
        <is>
          <t/>
        </is>
      </c>
      <c r="BK64" s="209" t="inlineStr">
        <is>
          <t>Aikins MacAulay &amp; Thorvaldson(Legal Advisor), KPMG Corporate Finance(Advisor: General), MLT Aikins(Legal Advisor)</t>
        </is>
      </c>
      <c r="BL64" s="210" t="inlineStr">
        <is>
          <t/>
        </is>
      </c>
      <c r="BM64" s="211" t="n">
        <v>0.8</v>
      </c>
      <c r="BN64" s="212" t="inlineStr">
        <is>
          <t>Actual</t>
        </is>
      </c>
      <c r="BO64" s="213" t="inlineStr">
        <is>
          <t/>
        </is>
      </c>
      <c r="BP64" s="214" t="inlineStr">
        <is>
          <t/>
        </is>
      </c>
      <c r="BQ64" s="215" t="inlineStr">
        <is>
          <t>Later Stage VC</t>
        </is>
      </c>
      <c r="BR64" s="216" t="inlineStr">
        <is>
          <t/>
        </is>
      </c>
      <c r="BS64" s="217" t="inlineStr">
        <is>
          <t/>
        </is>
      </c>
      <c r="BT64" s="218" t="inlineStr">
        <is>
          <t>Venture Capital</t>
        </is>
      </c>
      <c r="BU64" s="219" t="inlineStr">
        <is>
          <t/>
        </is>
      </c>
      <c r="BV64" s="220" t="inlineStr">
        <is>
          <t/>
        </is>
      </c>
      <c r="BW64" s="221" t="inlineStr">
        <is>
          <t/>
        </is>
      </c>
      <c r="BX64" s="222" t="inlineStr">
        <is>
          <t>Completed</t>
        </is>
      </c>
      <c r="BY64" s="223" t="n">
        <v>42117.0</v>
      </c>
      <c r="BZ64" s="224" t="inlineStr">
        <is>
          <t/>
        </is>
      </c>
      <c r="CA64" s="225" t="inlineStr">
        <is>
          <t/>
        </is>
      </c>
      <c r="CB64" s="226" t="inlineStr">
        <is>
          <t/>
        </is>
      </c>
      <c r="CC64" s="227" t="inlineStr">
        <is>
          <t/>
        </is>
      </c>
      <c r="CD64" s="228" t="inlineStr">
        <is>
          <t>Buyout/LBO</t>
        </is>
      </c>
      <c r="CE64" s="229" t="inlineStr">
        <is>
          <t>Management Buyout</t>
        </is>
      </c>
      <c r="CF64" s="230" t="inlineStr">
        <is>
          <t/>
        </is>
      </c>
      <c r="CG64" s="231" t="inlineStr">
        <is>
          <t>Private Equity</t>
        </is>
      </c>
      <c r="CH64" s="232" t="inlineStr">
        <is>
          <t/>
        </is>
      </c>
      <c r="CI64" s="233" t="inlineStr">
        <is>
          <t/>
        </is>
      </c>
      <c r="CJ64" s="234" t="inlineStr">
        <is>
          <t/>
        </is>
      </c>
      <c r="CK64" s="235" t="inlineStr">
        <is>
          <t>Completed</t>
        </is>
      </c>
      <c r="CL64" s="236" t="inlineStr">
        <is>
          <t/>
        </is>
      </c>
      <c r="CM64" s="237" t="inlineStr">
        <is>
          <t/>
        </is>
      </c>
      <c r="CN64" s="238" t="n">
        <v>-2.63</v>
      </c>
      <c r="CO64" s="239" t="n">
        <v>2.0</v>
      </c>
      <c r="CP64" s="240" t="n">
        <v>0.0</v>
      </c>
      <c r="CQ64" s="241" t="n">
        <v>0.0</v>
      </c>
      <c r="CR64" s="242" t="n">
        <v>-5.19</v>
      </c>
      <c r="CS64" s="243" t="n">
        <v>1.0</v>
      </c>
      <c r="CT64" s="244" t="n">
        <v>-0.08</v>
      </c>
      <c r="CU64" s="245" t="n">
        <v>9.0</v>
      </c>
      <c r="CV64" s="246" t="n">
        <v>-5.19</v>
      </c>
      <c r="CW64" s="247" t="n">
        <v>8.0</v>
      </c>
      <c r="CX64" s="248" t="inlineStr">
        <is>
          <t/>
        </is>
      </c>
      <c r="CY64" s="249" t="inlineStr">
        <is>
          <t/>
        </is>
      </c>
      <c r="CZ64" s="250" t="n">
        <v>-0.08</v>
      </c>
      <c r="DA64" s="251" t="n">
        <v>12.0</v>
      </c>
      <c r="DB64" s="252" t="n">
        <v>0.69</v>
      </c>
      <c r="DC64" s="253" t="n">
        <v>42.0</v>
      </c>
      <c r="DD64" s="254" t="n">
        <v>0.0</v>
      </c>
      <c r="DE64" s="255" t="n">
        <v>0.16</v>
      </c>
      <c r="DF64" s="256" t="n">
        <v>0.5</v>
      </c>
      <c r="DG64" s="257" t="n">
        <v>34.0</v>
      </c>
      <c r="DH64" s="258" t="n">
        <v>0.89</v>
      </c>
      <c r="DI64" s="259" t="n">
        <v>47.0</v>
      </c>
      <c r="DJ64" s="260" t="n">
        <v>0.5</v>
      </c>
      <c r="DK64" s="261" t="n">
        <v>34.0</v>
      </c>
      <c r="DL64" s="262" t="inlineStr">
        <is>
          <t/>
        </is>
      </c>
      <c r="DM64" s="263" t="inlineStr">
        <is>
          <t/>
        </is>
      </c>
      <c r="DN64" s="264" t="n">
        <v>0.89</v>
      </c>
      <c r="DO64" s="265" t="n">
        <v>48.0</v>
      </c>
      <c r="DP64" s="266" t="n">
        <v>370.0</v>
      </c>
      <c r="DQ64" s="267" t="n">
        <v>-152.0</v>
      </c>
      <c r="DR64" s="268" t="n">
        <v>-29.12</v>
      </c>
      <c r="DS64" s="269" t="inlineStr">
        <is>
          <t/>
        </is>
      </c>
      <c r="DT64" s="270" t="inlineStr">
        <is>
          <t/>
        </is>
      </c>
      <c r="DU64" s="271" t="inlineStr">
        <is>
          <t/>
        </is>
      </c>
      <c r="DV64" s="272" t="n">
        <v>320.0</v>
      </c>
      <c r="DW64" s="273" t="n">
        <v>-1.0</v>
      </c>
      <c r="DX64" s="274" t="n">
        <v>-0.31</v>
      </c>
      <c r="DY64" s="275" t="inlineStr">
        <is>
          <t>PitchBook Research</t>
        </is>
      </c>
      <c r="DZ64" s="276" t="n">
        <v>43360.0</v>
      </c>
      <c r="EA64" s="277" t="inlineStr">
        <is>
          <t/>
        </is>
      </c>
      <c r="EB64" s="278" t="inlineStr">
        <is>
          <t/>
        </is>
      </c>
      <c r="EC64" s="279" t="inlineStr">
        <is>
          <t/>
        </is>
      </c>
      <c r="ED64" s="548">
        <f>HYPERLINK("https://my.pitchbook.com?c=113040-37", "View company online")</f>
      </c>
    </row>
    <row r="65">
      <c r="A65" s="13" t="inlineStr">
        <is>
          <t>41067-64</t>
        </is>
      </c>
      <c r="B65" s="14" t="inlineStr">
        <is>
          <t>American Eagle Outfitters (NYS: AEO)</t>
        </is>
      </c>
      <c r="C65" s="15" t="inlineStr">
        <is>
          <t/>
        </is>
      </c>
      <c r="D65" s="16" t="inlineStr">
        <is>
          <t>AEO, American Eagle</t>
        </is>
      </c>
      <c r="E65" s="17" t="inlineStr">
        <is>
          <t>41067-64</t>
        </is>
      </c>
      <c r="F65" s="18" t="inlineStr">
        <is>
          <t>American Eagle Outfitters Inc is an apparel and accessory retailer with company stores throughout North America, China, Hong Kong, and the United Kingdom. The company leases all of its stores, and the vast majority of stores are in the United States. American Eagle also has an online business that ships worldwide. The company's primary brand, American Eagle Outfitters, sells casual apparel and accessories that target 15- to 25-year-old men and women. Its Aerie brand sells intimates and personal-care products for women. Women's items comprise the majority of the company's sales. American Eagle designs its own merchandise and sources its production from third-party manufacturers that are mostly located outside of North America.</t>
        </is>
      </c>
      <c r="G65" s="19" t="inlineStr">
        <is>
          <t>Consumer Products and Services (B2C)</t>
        </is>
      </c>
      <c r="H65" s="20" t="inlineStr">
        <is>
          <t>Retail</t>
        </is>
      </c>
      <c r="I65" s="21" t="inlineStr">
        <is>
          <t>Specialty Retail</t>
        </is>
      </c>
      <c r="J65" s="22" t="inlineStr">
        <is>
          <t>Accessories, Clothing, Specialty Retail*</t>
        </is>
      </c>
      <c r="K65" s="23" t="inlineStr">
        <is>
          <t>E-Commerce, Manufacturing, TMT</t>
        </is>
      </c>
      <c r="L65" s="24" t="inlineStr">
        <is>
          <t>accessories, apparel, clothing, denim, jeans, merchandise, merchandise retail, merchandise retailer, outerwear, retail, retailer, sweaters, t-shirt</t>
        </is>
      </c>
      <c r="M65" s="25" t="inlineStr">
        <is>
          <t>Corporation</t>
        </is>
      </c>
      <c r="N65" s="26" t="inlineStr">
        <is>
          <t/>
        </is>
      </c>
      <c r="O65" s="27" t="inlineStr">
        <is>
          <t>Profitable</t>
        </is>
      </c>
      <c r="P65" s="28" t="inlineStr">
        <is>
          <t>Publicly Held</t>
        </is>
      </c>
      <c r="Q65" s="29" t="inlineStr">
        <is>
          <t>Private Equity, Publicly Listed</t>
        </is>
      </c>
      <c r="R65" s="30" t="inlineStr">
        <is>
          <t>www.ae.com</t>
        </is>
      </c>
      <c r="S65" s="31" t="n">
        <v>45000.0</v>
      </c>
      <c r="T65" s="32" t="inlineStr">
        <is>
          <t>1993: 2742, 1994: 2742, 1995: 2742, 1996: 6122, 1997: 5441, 1998: 1480, 1999: 7576, 2000: 8149, 2001: 9799, 2002: 10892, 2003: 11800, 2004: 13900, 2005: 20600, 2006: 23000, 2007: 27600, 2008: 38700, 2009: 37500, 2010: 39400, 2011: 39900, 2012: 39600, 2013: 44000, 2014: 40000, 2015: 38000, 2016: 37800, 2017: 38700, 2018: 40700, 2019: 45000</t>
        </is>
      </c>
      <c r="U65" s="33" t="inlineStr">
        <is>
          <t>NYS</t>
        </is>
      </c>
      <c r="V65" s="34" t="inlineStr">
        <is>
          <t>AEO</t>
        </is>
      </c>
      <c r="W65" s="35" t="n">
        <v>1977.0</v>
      </c>
      <c r="X65" s="36" t="inlineStr">
        <is>
          <t/>
        </is>
      </c>
      <c r="Y65" s="37" t="inlineStr">
        <is>
          <t/>
        </is>
      </c>
      <c r="Z65" s="38" t="inlineStr">
        <is>
          <t>News (New) </t>
        </is>
      </c>
      <c r="AA65" s="39" t="n">
        <v>4035.72</v>
      </c>
      <c r="AB65" s="40" t="n">
        <v>1487.64</v>
      </c>
      <c r="AC65" s="41" t="n">
        <v>261.9</v>
      </c>
      <c r="AD65" s="42" t="n">
        <v>3366.52</v>
      </c>
      <c r="AE65" s="43" t="n">
        <v>515.6</v>
      </c>
      <c r="AF65" s="44" t="inlineStr">
        <is>
          <t>FY 2019</t>
        </is>
      </c>
      <c r="AG65" s="45" t="n">
        <v>345.1</v>
      </c>
      <c r="AH65" s="46" t="n">
        <v>3451.69</v>
      </c>
      <c r="AI65" s="47" t="n">
        <v>-425.46</v>
      </c>
      <c r="AJ65" s="48" t="inlineStr">
        <is>
          <t>90157-78P</t>
        </is>
      </c>
      <c r="AK65" s="49" t="inlineStr">
        <is>
          <t>Jay Schottenstein</t>
        </is>
      </c>
      <c r="AL65" s="50" t="inlineStr">
        <is>
          <t>Executive Chairman &amp; Chief Executive Officer</t>
        </is>
      </c>
      <c r="AM65" s="51" t="inlineStr">
        <is>
          <t>jay.schottenstein@americansignaturefurniture.com</t>
        </is>
      </c>
      <c r="AN65" s="52" t="inlineStr">
        <is>
          <t>+1 (516) 829-2400</t>
        </is>
      </c>
      <c r="AO65" s="53" t="inlineStr">
        <is>
          <t>Pittsburgh, PA</t>
        </is>
      </c>
      <c r="AP65" s="54" t="inlineStr">
        <is>
          <t>77 Hot Metal Street</t>
        </is>
      </c>
      <c r="AQ65" s="55" t="inlineStr">
        <is>
          <t/>
        </is>
      </c>
      <c r="AR65" s="56" t="inlineStr">
        <is>
          <t>Pittsburgh</t>
        </is>
      </c>
      <c r="AS65" s="57" t="inlineStr">
        <is>
          <t>Pennsylvania</t>
        </is>
      </c>
      <c r="AT65" s="58" t="inlineStr">
        <is>
          <t>15203</t>
        </is>
      </c>
      <c r="AU65" s="59" t="inlineStr">
        <is>
          <t>United States</t>
        </is>
      </c>
      <c r="AV65" s="60" t="inlineStr">
        <is>
          <t>+1 (412) 432-3300</t>
        </is>
      </c>
      <c r="AW65" s="61" t="inlineStr">
        <is>
          <t/>
        </is>
      </c>
      <c r="AX65" s="62" t="inlineStr">
        <is>
          <t/>
        </is>
      </c>
      <c r="AY65" s="63" t="inlineStr">
        <is>
          <t>Americas</t>
        </is>
      </c>
      <c r="AZ65" s="64" t="inlineStr">
        <is>
          <t>North America</t>
        </is>
      </c>
      <c r="BA65" s="65" t="inlineStr">
        <is>
          <t>Terbell Partners sold its stake in the company (NYSE: AEO) on an undisclosed date. The company will not get any proceeds from the offering.</t>
        </is>
      </c>
      <c r="BB65" s="66" t="inlineStr">
        <is>
          <t>SB Capital Group</t>
        </is>
      </c>
      <c r="BC65" s="67" t="n">
        <v>1.0</v>
      </c>
      <c r="BD65" s="68" t="inlineStr">
        <is>
          <t/>
        </is>
      </c>
      <c r="BE65" s="69" t="inlineStr">
        <is>
          <t>Terbell Partners</t>
        </is>
      </c>
      <c r="BF65" s="70" t="inlineStr">
        <is>
          <t>The Blackstone Group</t>
        </is>
      </c>
      <c r="BG65" s="71" t="inlineStr">
        <is>
          <t>SB Capital Group(www.sbcapitalgroup.com)</t>
        </is>
      </c>
      <c r="BH65" s="72" t="inlineStr">
        <is>
          <t>Terbell Partners(www.terbellpartners.com)</t>
        </is>
      </c>
      <c r="BI65" s="73" t="inlineStr">
        <is>
          <t>The Blackstone Group(www.blackstone.com)</t>
        </is>
      </c>
      <c r="BJ65" s="74" t="inlineStr">
        <is>
          <t>Odeon Capital Group(Advisor: General), Telsey Advisory Group(Advisor: General), The Brownestone Group(Consulting), Vaco(Consulting)</t>
        </is>
      </c>
      <c r="BK65" s="75" t="inlineStr">
        <is>
          <t/>
        </is>
      </c>
      <c r="BL65" s="76" t="n">
        <v>34394.0</v>
      </c>
      <c r="BM65" s="77" t="inlineStr">
        <is>
          <t/>
        </is>
      </c>
      <c r="BN65" s="78" t="inlineStr">
        <is>
          <t/>
        </is>
      </c>
      <c r="BO65" s="79" t="inlineStr">
        <is>
          <t/>
        </is>
      </c>
      <c r="BP65" s="80" t="inlineStr">
        <is>
          <t/>
        </is>
      </c>
      <c r="BQ65" s="81" t="inlineStr">
        <is>
          <t>IPO</t>
        </is>
      </c>
      <c r="BR65" s="82" t="inlineStr">
        <is>
          <t/>
        </is>
      </c>
      <c r="BS65" s="83" t="inlineStr">
        <is>
          <t/>
        </is>
      </c>
      <c r="BT65" s="84" t="inlineStr">
        <is>
          <t>Public Investment</t>
        </is>
      </c>
      <c r="BU65" s="85" t="inlineStr">
        <is>
          <t/>
        </is>
      </c>
      <c r="BV65" s="86" t="inlineStr">
        <is>
          <t/>
        </is>
      </c>
      <c r="BW65" s="87" t="inlineStr">
        <is>
          <t/>
        </is>
      </c>
      <c r="BX65" s="88" t="inlineStr">
        <is>
          <t>Completed</t>
        </is>
      </c>
      <c r="BY65" s="89" t="inlineStr">
        <is>
          <t/>
        </is>
      </c>
      <c r="BZ65" s="90" t="inlineStr">
        <is>
          <t/>
        </is>
      </c>
      <c r="CA65" s="91" t="inlineStr">
        <is>
          <t/>
        </is>
      </c>
      <c r="CB65" s="92" t="inlineStr">
        <is>
          <t/>
        </is>
      </c>
      <c r="CC65" s="93" t="inlineStr">
        <is>
          <t/>
        </is>
      </c>
      <c r="CD65" s="94" t="inlineStr">
        <is>
          <t>Secondary Transaction - Open Market</t>
        </is>
      </c>
      <c r="CE65" s="95" t="inlineStr">
        <is>
          <t/>
        </is>
      </c>
      <c r="CF65" s="96" t="inlineStr">
        <is>
          <t/>
        </is>
      </c>
      <c r="CG65" s="97" t="inlineStr">
        <is>
          <t>Private Equity</t>
        </is>
      </c>
      <c r="CH65" s="98" t="inlineStr">
        <is>
          <t/>
        </is>
      </c>
      <c r="CI65" s="99" t="inlineStr">
        <is>
          <t/>
        </is>
      </c>
      <c r="CJ65" s="100" t="inlineStr">
        <is>
          <t/>
        </is>
      </c>
      <c r="CK65" s="101" t="inlineStr">
        <is>
          <t>Completed</t>
        </is>
      </c>
      <c r="CL65" s="102" t="inlineStr">
        <is>
          <t/>
        </is>
      </c>
      <c r="CM65" s="103" t="inlineStr">
        <is>
          <t/>
        </is>
      </c>
      <c r="CN65" s="104" t="n">
        <v>0.38</v>
      </c>
      <c r="CO65" s="105" t="n">
        <v>93.0</v>
      </c>
      <c r="CP65" s="106" t="n">
        <v>0.0</v>
      </c>
      <c r="CQ65" s="107" t="n">
        <v>0.65</v>
      </c>
      <c r="CR65" s="108" t="n">
        <v>0.96</v>
      </c>
      <c r="CS65" s="109" t="n">
        <v>97.0</v>
      </c>
      <c r="CT65" s="110" t="n">
        <v>-0.05</v>
      </c>
      <c r="CU65" s="111" t="n">
        <v>15.0</v>
      </c>
      <c r="CV65" s="112" t="n">
        <v>1.79</v>
      </c>
      <c r="CW65" s="113" t="n">
        <v>90.0</v>
      </c>
      <c r="CX65" s="114" t="n">
        <v>0.13</v>
      </c>
      <c r="CY65" s="115" t="n">
        <v>87.0</v>
      </c>
      <c r="CZ65" s="116" t="n">
        <v>-0.1</v>
      </c>
      <c r="DA65" s="117" t="n">
        <v>9.0</v>
      </c>
      <c r="DB65" s="118" t="n">
        <v>3057.66</v>
      </c>
      <c r="DC65" s="119" t="n">
        <v>100.0</v>
      </c>
      <c r="DD65" s="120" t="n">
        <v>29.69</v>
      </c>
      <c r="DE65" s="121" t="n">
        <v>0.98</v>
      </c>
      <c r="DF65" s="122" t="n">
        <v>1811.82</v>
      </c>
      <c r="DG65" s="123" t="n">
        <v>100.0</v>
      </c>
      <c r="DH65" s="124" t="n">
        <v>7360.23</v>
      </c>
      <c r="DI65" s="125" t="n">
        <v>100.0</v>
      </c>
      <c r="DJ65" s="126" t="n">
        <v>3057.69</v>
      </c>
      <c r="DK65" s="127" t="n">
        <v>100.0</v>
      </c>
      <c r="DL65" s="128" t="n">
        <v>565.94</v>
      </c>
      <c r="DM65" s="129" t="n">
        <v>100.0</v>
      </c>
      <c r="DN65" s="130" t="n">
        <v>1789.53</v>
      </c>
      <c r="DO65" s="131" t="n">
        <v>100.0</v>
      </c>
      <c r="DP65" s="132" t="n">
        <v>2190444.0</v>
      </c>
      <c r="DQ65" s="133" t="n">
        <v>-92771.0</v>
      </c>
      <c r="DR65" s="134" t="n">
        <v>-4.06</v>
      </c>
      <c r="DS65" s="135" t="n">
        <v>19182.0</v>
      </c>
      <c r="DT65" s="136" t="n">
        <v>134.0</v>
      </c>
      <c r="DU65" s="137" t="n">
        <v>0.7</v>
      </c>
      <c r="DV65" s="138" t="n">
        <v>642823.0</v>
      </c>
      <c r="DW65" s="139" t="n">
        <v>-1029.0</v>
      </c>
      <c r="DX65" s="140" t="n">
        <v>-0.16</v>
      </c>
      <c r="DY65" s="141" t="inlineStr">
        <is>
          <t>PitchBook Research</t>
        </is>
      </c>
      <c r="DZ65" s="142" t="n">
        <v>43517.0</v>
      </c>
      <c r="EA65" s="143" t="inlineStr">
        <is>
          <t/>
        </is>
      </c>
      <c r="EB65" s="144" t="inlineStr">
        <is>
          <t/>
        </is>
      </c>
      <c r="EC65" s="145" t="inlineStr">
        <is>
          <t/>
        </is>
      </c>
      <c r="ED65" s="547">
        <f>HYPERLINK("https://my.pitchbook.com?c=41067-64", "View company online")</f>
      </c>
    </row>
    <row r="66">
      <c r="A66" s="147" t="inlineStr">
        <is>
          <t>87423-49</t>
        </is>
      </c>
      <c r="B66" s="148" t="inlineStr">
        <is>
          <t>Forever 21</t>
        </is>
      </c>
      <c r="C66" s="149" t="inlineStr">
        <is>
          <t>Fashion 21</t>
        </is>
      </c>
      <c r="D66" s="150" t="inlineStr">
        <is>
          <t/>
        </is>
      </c>
      <c r="E66" s="151" t="inlineStr">
        <is>
          <t>87423-49</t>
        </is>
      </c>
      <c r="F66" s="152" t="inlineStr">
        <is>
          <t>Operator of apparel stores for women and men. The company offers dresses, tops, sweaters and knits, jackets and coats, denim, leggings, pants, shorts, skirts, rompers and jumpsuits. It also offers socks, hats, scarves, accessories, shoes and beauty products.</t>
        </is>
      </c>
      <c r="G66" s="153" t="inlineStr">
        <is>
          <t>Consumer Products and Services (B2C)</t>
        </is>
      </c>
      <c r="H66" s="154" t="inlineStr">
        <is>
          <t>Apparel and Accessories</t>
        </is>
      </c>
      <c r="I66" s="155" t="inlineStr">
        <is>
          <t>Accessories</t>
        </is>
      </c>
      <c r="J66" s="156" t="inlineStr">
        <is>
          <t>Accessories*, Clothing, Department Stores</t>
        </is>
      </c>
      <c r="K66" s="157" t="inlineStr">
        <is>
          <t/>
        </is>
      </c>
      <c r="L66" s="158" t="inlineStr">
        <is>
          <t/>
        </is>
      </c>
      <c r="M66" s="159" t="inlineStr">
        <is>
          <t>Private Debt Financed</t>
        </is>
      </c>
      <c r="N66" s="160" t="n">
        <v>150.0</v>
      </c>
      <c r="O66" s="161" t="inlineStr">
        <is>
          <t>Generating Revenue</t>
        </is>
      </c>
      <c r="P66" s="162" t="inlineStr">
        <is>
          <t>Privately Held (backing)</t>
        </is>
      </c>
      <c r="Q66" s="163" t="inlineStr">
        <is>
          <t>Debt Financed, Private Equity</t>
        </is>
      </c>
      <c r="R66" s="164" t="inlineStr">
        <is>
          <t>www.forever21.com</t>
        </is>
      </c>
      <c r="S66" s="165" t="n">
        <v>30000.0</v>
      </c>
      <c r="T66" s="166" t="inlineStr">
        <is>
          <t>2015: 9014, 2016: 30000</t>
        </is>
      </c>
      <c r="U66" s="167" t="inlineStr">
        <is>
          <t/>
        </is>
      </c>
      <c r="V66" s="168" t="inlineStr">
        <is>
          <t/>
        </is>
      </c>
      <c r="W66" s="169" t="n">
        <v>1984.0</v>
      </c>
      <c r="X66" s="170" t="inlineStr">
        <is>
          <t/>
        </is>
      </c>
      <c r="Y66" s="171" t="inlineStr">
        <is>
          <t/>
        </is>
      </c>
      <c r="Z66" s="172" t="inlineStr">
        <is>
          <t/>
        </is>
      </c>
      <c r="AA66" s="173" t="n">
        <v>4000.0</v>
      </c>
      <c r="AB66" s="174" t="inlineStr">
        <is>
          <t/>
        </is>
      </c>
      <c r="AC66" s="175" t="inlineStr">
        <is>
          <t/>
        </is>
      </c>
      <c r="AD66" s="176" t="inlineStr">
        <is>
          <t/>
        </is>
      </c>
      <c r="AE66" s="177" t="inlineStr">
        <is>
          <t/>
        </is>
      </c>
      <c r="AF66" s="178" t="inlineStr">
        <is>
          <t>FY 2016</t>
        </is>
      </c>
      <c r="AG66" s="179" t="inlineStr">
        <is>
          <t/>
        </is>
      </c>
      <c r="AH66" s="180" t="inlineStr">
        <is>
          <t/>
        </is>
      </c>
      <c r="AI66" s="181" t="inlineStr">
        <is>
          <t/>
        </is>
      </c>
      <c r="AJ66" s="182" t="inlineStr">
        <is>
          <t>46880-83P</t>
        </is>
      </c>
      <c r="AK66" s="183" t="inlineStr">
        <is>
          <t>Michael Kramer</t>
        </is>
      </c>
      <c r="AL66" s="184" t="inlineStr">
        <is>
          <t>Chief Financial Officer</t>
        </is>
      </c>
      <c r="AM66" s="185" t="inlineStr">
        <is>
          <t>michael.kramer@forever21.com</t>
        </is>
      </c>
      <c r="AN66" s="186" t="inlineStr">
        <is>
          <t>+1 (213) 741-8257</t>
        </is>
      </c>
      <c r="AO66" s="187" t="inlineStr">
        <is>
          <t>Los Angeles, CA</t>
        </is>
      </c>
      <c r="AP66" s="188" t="inlineStr">
        <is>
          <t>3880 North Mission Road</t>
        </is>
      </c>
      <c r="AQ66" s="189" t="inlineStr">
        <is>
          <t/>
        </is>
      </c>
      <c r="AR66" s="190" t="inlineStr">
        <is>
          <t>Los Angeles</t>
        </is>
      </c>
      <c r="AS66" s="191" t="inlineStr">
        <is>
          <t>California</t>
        </is>
      </c>
      <c r="AT66" s="192" t="inlineStr">
        <is>
          <t>90031</t>
        </is>
      </c>
      <c r="AU66" s="193" t="inlineStr">
        <is>
          <t>United States</t>
        </is>
      </c>
      <c r="AV66" s="194" t="inlineStr">
        <is>
          <t>+1 (213) 741-8257</t>
        </is>
      </c>
      <c r="AW66" s="195" t="inlineStr">
        <is>
          <t>+1 (213) 741-8995</t>
        </is>
      </c>
      <c r="AX66" s="196" t="inlineStr">
        <is>
          <t>customerservice@forever21.com</t>
        </is>
      </c>
      <c r="AY66" s="197" t="inlineStr">
        <is>
          <t>Americas</t>
        </is>
      </c>
      <c r="AZ66" s="198" t="inlineStr">
        <is>
          <t>North America</t>
        </is>
      </c>
      <c r="BA66" s="199" t="inlineStr">
        <is>
          <t>The company raised $150 million of debt financing in the form of a loan from Wells Fargo &amp; Company and TPG Capital on August 31, 2015. Later, the company had to shut down two major stores in Los Angeles to pay back the debt worth $150 million to Wells Fargo and TPG Capital on May 17, 2016.</t>
        </is>
      </c>
      <c r="BB66" s="200" t="inlineStr">
        <is>
          <t/>
        </is>
      </c>
      <c r="BC66" s="201" t="inlineStr">
        <is>
          <t/>
        </is>
      </c>
      <c r="BD66" s="202" t="inlineStr">
        <is>
          <t/>
        </is>
      </c>
      <c r="BE66" s="203" t="inlineStr">
        <is>
          <t/>
        </is>
      </c>
      <c r="BF66" s="204" t="inlineStr">
        <is>
          <t/>
        </is>
      </c>
      <c r="BG66" s="205" t="inlineStr">
        <is>
          <t/>
        </is>
      </c>
      <c r="BH66" s="206" t="inlineStr">
        <is>
          <t/>
        </is>
      </c>
      <c r="BI66" s="207" t="inlineStr">
        <is>
          <t/>
        </is>
      </c>
      <c r="BJ66" s="208" t="inlineStr">
        <is>
          <t>RCS Real Estate Advisors(Advisor: General), Robert K. Futterman &amp; Associates(Consulting)</t>
        </is>
      </c>
      <c r="BK66" s="209" t="inlineStr">
        <is>
          <t>TPG Capital(Debt Financing), Wells Fargo(Debt Financing)</t>
        </is>
      </c>
      <c r="BL66" s="210" t="n">
        <v>42247.0</v>
      </c>
      <c r="BM66" s="211" t="n">
        <v>150.0</v>
      </c>
      <c r="BN66" s="212" t="inlineStr">
        <is>
          <t>Actual</t>
        </is>
      </c>
      <c r="BO66" s="213" t="inlineStr">
        <is>
          <t/>
        </is>
      </c>
      <c r="BP66" s="214" t="inlineStr">
        <is>
          <t/>
        </is>
      </c>
      <c r="BQ66" s="215" t="inlineStr">
        <is>
          <t>Debt - General</t>
        </is>
      </c>
      <c r="BR66" s="216" t="inlineStr">
        <is>
          <t/>
        </is>
      </c>
      <c r="BS66" s="217" t="inlineStr">
        <is>
          <t/>
        </is>
      </c>
      <c r="BT66" s="218" t="inlineStr">
        <is>
          <t>Debt</t>
        </is>
      </c>
      <c r="BU66" s="219" t="inlineStr">
        <is>
          <t>Loan</t>
        </is>
      </c>
      <c r="BV66" s="220" t="inlineStr">
        <is>
          <t/>
        </is>
      </c>
      <c r="BW66" s="221" t="inlineStr">
        <is>
          <t/>
        </is>
      </c>
      <c r="BX66" s="222" t="inlineStr">
        <is>
          <t>Completed</t>
        </is>
      </c>
      <c r="BY66" s="223" t="n">
        <v>42247.0</v>
      </c>
      <c r="BZ66" s="224" t="n">
        <v>150.0</v>
      </c>
      <c r="CA66" s="225" t="inlineStr">
        <is>
          <t>Actual</t>
        </is>
      </c>
      <c r="CB66" s="226" t="inlineStr">
        <is>
          <t/>
        </is>
      </c>
      <c r="CC66" s="227" t="inlineStr">
        <is>
          <t/>
        </is>
      </c>
      <c r="CD66" s="228" t="inlineStr">
        <is>
          <t>Debt - General</t>
        </is>
      </c>
      <c r="CE66" s="229" t="inlineStr">
        <is>
          <t/>
        </is>
      </c>
      <c r="CF66" s="230" t="inlineStr">
        <is>
          <t/>
        </is>
      </c>
      <c r="CG66" s="231" t="inlineStr">
        <is>
          <t>Debt</t>
        </is>
      </c>
      <c r="CH66" s="232" t="inlineStr">
        <is>
          <t>Loan</t>
        </is>
      </c>
      <c r="CI66" s="233" t="inlineStr">
        <is>
          <t/>
        </is>
      </c>
      <c r="CJ66" s="234" t="inlineStr">
        <is>
          <t/>
        </is>
      </c>
      <c r="CK66" s="235" t="inlineStr">
        <is>
          <t>Completed</t>
        </is>
      </c>
      <c r="CL66" s="236" t="n">
        <v>42247.0</v>
      </c>
      <c r="CM66" s="237" t="n">
        <v>150.0</v>
      </c>
      <c r="CN66" s="238" t="inlineStr">
        <is>
          <t/>
        </is>
      </c>
      <c r="CO66" s="239" t="inlineStr">
        <is>
          <t/>
        </is>
      </c>
      <c r="CP66" s="240" t="inlineStr">
        <is>
          <t/>
        </is>
      </c>
      <c r="CQ66" s="241" t="inlineStr">
        <is>
          <t/>
        </is>
      </c>
      <c r="CR66" s="242" t="inlineStr">
        <is>
          <t/>
        </is>
      </c>
      <c r="CS66" s="243" t="inlineStr">
        <is>
          <t/>
        </is>
      </c>
      <c r="CT66" s="244" t="inlineStr">
        <is>
          <t/>
        </is>
      </c>
      <c r="CU66" s="245" t="inlineStr">
        <is>
          <t/>
        </is>
      </c>
      <c r="CV66" s="246" t="inlineStr">
        <is>
          <t/>
        </is>
      </c>
      <c r="CW66" s="247" t="inlineStr">
        <is>
          <t/>
        </is>
      </c>
      <c r="CX66" s="248" t="inlineStr">
        <is>
          <t/>
        </is>
      </c>
      <c r="CY66" s="249" t="inlineStr">
        <is>
          <t/>
        </is>
      </c>
      <c r="CZ66" s="250" t="inlineStr">
        <is>
          <t/>
        </is>
      </c>
      <c r="DA66" s="251" t="inlineStr">
        <is>
          <t/>
        </is>
      </c>
      <c r="DB66" s="252" t="inlineStr">
        <is>
          <t/>
        </is>
      </c>
      <c r="DC66" s="253" t="inlineStr">
        <is>
          <t/>
        </is>
      </c>
      <c r="DD66" s="254" t="inlineStr">
        <is>
          <t/>
        </is>
      </c>
      <c r="DE66" s="255" t="inlineStr">
        <is>
          <t/>
        </is>
      </c>
      <c r="DF66" s="256" t="inlineStr">
        <is>
          <t/>
        </is>
      </c>
      <c r="DG66" s="257" t="inlineStr">
        <is>
          <t/>
        </is>
      </c>
      <c r="DH66" s="258" t="inlineStr">
        <is>
          <t/>
        </is>
      </c>
      <c r="DI66" s="259" t="inlineStr">
        <is>
          <t/>
        </is>
      </c>
      <c r="DJ66" s="260" t="inlineStr">
        <is>
          <t/>
        </is>
      </c>
      <c r="DK66" s="261" t="inlineStr">
        <is>
          <t/>
        </is>
      </c>
      <c r="DL66" s="262" t="inlineStr">
        <is>
          <t/>
        </is>
      </c>
      <c r="DM66" s="263" t="inlineStr">
        <is>
          <t/>
        </is>
      </c>
      <c r="DN66" s="264" t="inlineStr">
        <is>
          <t/>
        </is>
      </c>
      <c r="DO66" s="265" t="inlineStr">
        <is>
          <t/>
        </is>
      </c>
      <c r="DP66" s="266" t="inlineStr">
        <is>
          <t/>
        </is>
      </c>
      <c r="DQ66" s="267" t="inlineStr">
        <is>
          <t/>
        </is>
      </c>
      <c r="DR66" s="268" t="inlineStr">
        <is>
          <t/>
        </is>
      </c>
      <c r="DS66" s="269" t="inlineStr">
        <is>
          <t/>
        </is>
      </c>
      <c r="DT66" s="270" t="inlineStr">
        <is>
          <t/>
        </is>
      </c>
      <c r="DU66" s="271" t="inlineStr">
        <is>
          <t/>
        </is>
      </c>
      <c r="DV66" s="272" t="inlineStr">
        <is>
          <t/>
        </is>
      </c>
      <c r="DW66" s="273" t="inlineStr">
        <is>
          <t/>
        </is>
      </c>
      <c r="DX66" s="274" t="inlineStr">
        <is>
          <t/>
        </is>
      </c>
      <c r="DY66" s="275" t="inlineStr">
        <is>
          <t>PitchBook Research</t>
        </is>
      </c>
      <c r="DZ66" s="276" t="n">
        <v>43374.0</v>
      </c>
      <c r="EA66" s="277" t="inlineStr">
        <is>
          <t/>
        </is>
      </c>
      <c r="EB66" s="278" t="inlineStr">
        <is>
          <t/>
        </is>
      </c>
      <c r="EC66" s="279" t="inlineStr">
        <is>
          <t/>
        </is>
      </c>
      <c r="ED66" s="548">
        <f>HYPERLINK("https://my.pitchbook.com?c=87423-49", "View company online")</f>
      </c>
    </row>
    <row r="67">
      <c r="A67" s="13" t="inlineStr">
        <is>
          <t>10078-39</t>
        </is>
      </c>
      <c r="B67" s="14" t="inlineStr">
        <is>
          <t>Global Brands Group Holdings (HKG: 00787)</t>
        </is>
      </c>
      <c r="C67" s="15" t="inlineStr">
        <is>
          <t/>
        </is>
      </c>
      <c r="D67" s="16" t="inlineStr">
        <is>
          <t>Global Brands</t>
        </is>
      </c>
      <c r="E67" s="17" t="inlineStr">
        <is>
          <t>10078-39</t>
        </is>
      </c>
      <c r="F67" s="18" t="inlineStr">
        <is>
          <t>Global Brands Group Holdings Ltd designs and develops fashion apparel and footwear products for men, women, and children. The company's operation comprises of a portfolio of licensed brands in which the group licenses the intellectual property from the brand owners or the licensors for use in selected product categories and geographies and controlled brands. Its portfolio includes Calvin Klein, Under Armour, Juicy Couture, Frye, Cole Haan, Quiksilver, and Spyder. It has its operations in North America, Europe/Middle East, and Asia.</t>
        </is>
      </c>
      <c r="G67" s="19" t="inlineStr">
        <is>
          <t>Business Products and Services (B2B)</t>
        </is>
      </c>
      <c r="H67" s="20" t="inlineStr">
        <is>
          <t>Commercial Services</t>
        </is>
      </c>
      <c r="I67" s="21" t="inlineStr">
        <is>
          <t>Consulting Services (B2B)</t>
        </is>
      </c>
      <c r="J67" s="22" t="inlineStr">
        <is>
          <t>Consulting Services (B2B)*, Media and Information Services (B2B), Other Apparel</t>
        </is>
      </c>
      <c r="K67" s="23" t="inlineStr">
        <is>
          <t>Industrials</t>
        </is>
      </c>
      <c r="L67" s="24" t="inlineStr">
        <is>
          <t>branding service, lifestyle product, retail development marketing</t>
        </is>
      </c>
      <c r="M67" s="25" t="inlineStr">
        <is>
          <t>Formerly PE-Backed</t>
        </is>
      </c>
      <c r="N67" s="26" t="n">
        <v>1941.7</v>
      </c>
      <c r="O67" s="27" t="inlineStr">
        <is>
          <t>Generating Revenue/Not Profitable</t>
        </is>
      </c>
      <c r="P67" s="28" t="inlineStr">
        <is>
          <t>Publicly Held</t>
        </is>
      </c>
      <c r="Q67" s="29" t="inlineStr">
        <is>
          <t>Private Equity, Publicly Listed</t>
        </is>
      </c>
      <c r="R67" s="30" t="inlineStr">
        <is>
          <t>www.globalbrandsgroup.com</t>
        </is>
      </c>
      <c r="S67" s="31" t="n">
        <v>2832.0</v>
      </c>
      <c r="T67" s="32" t="inlineStr">
        <is>
          <t>2014: 2996, 2015: 3575, 2016: 4243, 2017: 6390, 2018: 6997</t>
        </is>
      </c>
      <c r="U67" s="33" t="inlineStr">
        <is>
          <t>HKG</t>
        </is>
      </c>
      <c r="V67" s="34" t="inlineStr">
        <is>
          <t>00787</t>
        </is>
      </c>
      <c r="W67" s="35" t="n">
        <v>2005.0</v>
      </c>
      <c r="X67" s="36" t="inlineStr">
        <is>
          <t>Li &amp; Fung</t>
        </is>
      </c>
      <c r="Y67" s="37" t="inlineStr">
        <is>
          <t/>
        </is>
      </c>
      <c r="Z67" s="38" t="inlineStr">
        <is>
          <t/>
        </is>
      </c>
      <c r="AA67" s="39" t="n">
        <v>3993.5</v>
      </c>
      <c r="AB67" s="40" t="n">
        <v>1211.61</v>
      </c>
      <c r="AC67" s="41" t="n">
        <v>-1212.86</v>
      </c>
      <c r="AD67" s="42" t="n">
        <v>1511.62</v>
      </c>
      <c r="AE67" s="43" t="n">
        <v>-857.84</v>
      </c>
      <c r="AF67" s="44" t="inlineStr">
        <is>
          <t>TTM 2Q2019</t>
        </is>
      </c>
      <c r="AG67" s="45" t="n">
        <v>-1194.96</v>
      </c>
      <c r="AH67" s="46" t="n">
        <v>120.97</v>
      </c>
      <c r="AI67" s="47" t="n">
        <v>1210.6</v>
      </c>
      <c r="AJ67" s="48" t="inlineStr">
        <is>
          <t>103217-95P</t>
        </is>
      </c>
      <c r="AK67" s="49" t="inlineStr">
        <is>
          <t>Ronald Ventricelli</t>
        </is>
      </c>
      <c r="AL67" s="50" t="inlineStr">
        <is>
          <t>Chief Financial Officer</t>
        </is>
      </c>
      <c r="AM67" s="51" t="inlineStr">
        <is>
          <t/>
        </is>
      </c>
      <c r="AN67" s="52" t="inlineStr">
        <is>
          <t>+852 2300 2787</t>
        </is>
      </c>
      <c r="AO67" s="53" t="inlineStr">
        <is>
          <t>Kowloon, Hong Kong</t>
        </is>
      </c>
      <c r="AP67" s="54" t="inlineStr">
        <is>
          <t>LiFung Tower</t>
        </is>
      </c>
      <c r="AQ67" s="55" t="inlineStr">
        <is>
          <t>888 Cheung Sha Wan Road</t>
        </is>
      </c>
      <c r="AR67" s="56" t="inlineStr">
        <is>
          <t>Kowloon</t>
        </is>
      </c>
      <c r="AS67" s="57" t="inlineStr">
        <is>
          <t/>
        </is>
      </c>
      <c r="AT67" s="58" t="inlineStr">
        <is>
          <t/>
        </is>
      </c>
      <c r="AU67" s="59" t="inlineStr">
        <is>
          <t>Hong Kong</t>
        </is>
      </c>
      <c r="AV67" s="60" t="inlineStr">
        <is>
          <t>+852 2300 2787</t>
        </is>
      </c>
      <c r="AW67" s="61" t="inlineStr">
        <is>
          <t/>
        </is>
      </c>
      <c r="AX67" s="62" t="inlineStr">
        <is>
          <t>business@globalbrandsgroup.com</t>
        </is>
      </c>
      <c r="AY67" s="63" t="inlineStr">
        <is>
          <t>Asia</t>
        </is>
      </c>
      <c r="AZ67" s="64" t="inlineStr">
        <is>
          <t>East Asia</t>
        </is>
      </c>
      <c r="BA67" s="65" t="inlineStr">
        <is>
          <t>The company held an initial public offering on the Hong Kong Stock exchange under the ticker symbol 00787 on July 9, 2014.</t>
        </is>
      </c>
      <c r="BB67" s="66" t="inlineStr">
        <is>
          <t>Li &amp; Fung</t>
        </is>
      </c>
      <c r="BC67" s="67" t="n">
        <v>1.0</v>
      </c>
      <c r="BD67" s="68" t="inlineStr">
        <is>
          <t/>
        </is>
      </c>
      <c r="BE67" s="69" t="inlineStr">
        <is>
          <t/>
        </is>
      </c>
      <c r="BF67" s="70" t="inlineStr">
        <is>
          <t/>
        </is>
      </c>
      <c r="BG67" s="71" t="inlineStr">
        <is>
          <t>Li &amp; Fung(www.lifung.com)</t>
        </is>
      </c>
      <c r="BH67" s="72" t="inlineStr">
        <is>
          <t/>
        </is>
      </c>
      <c r="BI67" s="73" t="inlineStr">
        <is>
          <t/>
        </is>
      </c>
      <c r="BJ67" s="74" t="inlineStr">
        <is>
          <t>Somerley(Advisor: General)</t>
        </is>
      </c>
      <c r="BK67" s="75" t="inlineStr">
        <is>
          <t/>
        </is>
      </c>
      <c r="BL67" s="76" t="n">
        <v>41830.0</v>
      </c>
      <c r="BM67" s="77" t="n">
        <v>1941.7</v>
      </c>
      <c r="BN67" s="78" t="inlineStr">
        <is>
          <t>Actual</t>
        </is>
      </c>
      <c r="BO67" s="79" t="inlineStr">
        <is>
          <t/>
        </is>
      </c>
      <c r="BP67" s="80" t="inlineStr">
        <is>
          <t/>
        </is>
      </c>
      <c r="BQ67" s="81" t="inlineStr">
        <is>
          <t>IPO</t>
        </is>
      </c>
      <c r="BR67" s="82" t="inlineStr">
        <is>
          <t>Spin-Off</t>
        </is>
      </c>
      <c r="BS67" s="83" t="inlineStr">
        <is>
          <t/>
        </is>
      </c>
      <c r="BT67" s="84" t="inlineStr">
        <is>
          <t>Public Investment</t>
        </is>
      </c>
      <c r="BU67" s="85" t="inlineStr">
        <is>
          <t/>
        </is>
      </c>
      <c r="BV67" s="86" t="inlineStr">
        <is>
          <t/>
        </is>
      </c>
      <c r="BW67" s="87" t="inlineStr">
        <is>
          <t/>
        </is>
      </c>
      <c r="BX67" s="88" t="inlineStr">
        <is>
          <t>Completed</t>
        </is>
      </c>
      <c r="BY67" s="89" t="n">
        <v>41830.0</v>
      </c>
      <c r="BZ67" s="90" t="n">
        <v>1941.7</v>
      </c>
      <c r="CA67" s="91" t="inlineStr">
        <is>
          <t>Actual</t>
        </is>
      </c>
      <c r="CB67" s="92" t="inlineStr">
        <is>
          <t/>
        </is>
      </c>
      <c r="CC67" s="93" t="inlineStr">
        <is>
          <t/>
        </is>
      </c>
      <c r="CD67" s="94" t="inlineStr">
        <is>
          <t>IPO</t>
        </is>
      </c>
      <c r="CE67" s="95" t="inlineStr">
        <is>
          <t>Spin-Off</t>
        </is>
      </c>
      <c r="CF67" s="96" t="inlineStr">
        <is>
          <t/>
        </is>
      </c>
      <c r="CG67" s="97" t="inlineStr">
        <is>
          <t>Public Investment</t>
        </is>
      </c>
      <c r="CH67" s="98" t="inlineStr">
        <is>
          <t/>
        </is>
      </c>
      <c r="CI67" s="99" t="inlineStr">
        <is>
          <t/>
        </is>
      </c>
      <c r="CJ67" s="100" t="inlineStr">
        <is>
          <t/>
        </is>
      </c>
      <c r="CK67" s="101" t="inlineStr">
        <is>
          <t>Completed</t>
        </is>
      </c>
      <c r="CL67" s="102" t="inlineStr">
        <is>
          <t/>
        </is>
      </c>
      <c r="CM67" s="103" t="inlineStr">
        <is>
          <t/>
        </is>
      </c>
      <c r="CN67" s="104" t="n">
        <v>-4.4</v>
      </c>
      <c r="CO67" s="105" t="n">
        <v>1.0</v>
      </c>
      <c r="CP67" s="106" t="n">
        <v>0.03</v>
      </c>
      <c r="CQ67" s="107" t="n">
        <v>0.72</v>
      </c>
      <c r="CR67" s="108" t="n">
        <v>-4.47</v>
      </c>
      <c r="CS67" s="109" t="n">
        <v>1.0</v>
      </c>
      <c r="CT67" s="110" t="inlineStr">
        <is>
          <t/>
        </is>
      </c>
      <c r="CU67" s="111" t="inlineStr">
        <is>
          <t/>
        </is>
      </c>
      <c r="CV67" s="112" t="n">
        <v>-9.43</v>
      </c>
      <c r="CW67" s="113" t="n">
        <v>2.0</v>
      </c>
      <c r="CX67" s="114" t="n">
        <v>0.49</v>
      </c>
      <c r="CY67" s="115" t="n">
        <v>94.0</v>
      </c>
      <c r="CZ67" s="116" t="inlineStr">
        <is>
          <t/>
        </is>
      </c>
      <c r="DA67" s="117" t="inlineStr">
        <is>
          <t/>
        </is>
      </c>
      <c r="DB67" s="118" t="n">
        <v>9.45</v>
      </c>
      <c r="DC67" s="119" t="n">
        <v>89.0</v>
      </c>
      <c r="DD67" s="120" t="n">
        <v>0.93</v>
      </c>
      <c r="DE67" s="121" t="n">
        <v>10.88</v>
      </c>
      <c r="DF67" s="122" t="n">
        <v>8.41</v>
      </c>
      <c r="DG67" s="123" t="n">
        <v>89.0</v>
      </c>
      <c r="DH67" s="124" t="inlineStr">
        <is>
          <t/>
        </is>
      </c>
      <c r="DI67" s="125" t="inlineStr">
        <is>
          <t/>
        </is>
      </c>
      <c r="DJ67" s="126" t="n">
        <v>2.06</v>
      </c>
      <c r="DK67" s="127" t="n">
        <v>65.0</v>
      </c>
      <c r="DL67" s="128" t="n">
        <v>14.76</v>
      </c>
      <c r="DM67" s="129" t="n">
        <v>91.0</v>
      </c>
      <c r="DN67" s="130" t="inlineStr">
        <is>
          <t/>
        </is>
      </c>
      <c r="DO67" s="131" t="inlineStr">
        <is>
          <t/>
        </is>
      </c>
      <c r="DP67" s="132" t="n">
        <v>1491.0</v>
      </c>
      <c r="DQ67" s="133" t="n">
        <v>-211.0</v>
      </c>
      <c r="DR67" s="134" t="n">
        <v>-12.4</v>
      </c>
      <c r="DS67" s="135" t="n">
        <v>501.0</v>
      </c>
      <c r="DT67" s="136" t="n">
        <v>0.0</v>
      </c>
      <c r="DU67" s="137" t="n">
        <v>0.0</v>
      </c>
      <c r="DV67" s="138" t="inlineStr">
        <is>
          <t/>
        </is>
      </c>
      <c r="DW67" s="139" t="inlineStr">
        <is>
          <t/>
        </is>
      </c>
      <c r="DX67" s="140" t="inlineStr">
        <is>
          <t/>
        </is>
      </c>
      <c r="DY67" s="141" t="inlineStr">
        <is>
          <t>PitchBook Research</t>
        </is>
      </c>
      <c r="DZ67" s="142" t="n">
        <v>43492.0</v>
      </c>
      <c r="EA67" s="143" t="inlineStr">
        <is>
          <t/>
        </is>
      </c>
      <c r="EB67" s="144" t="inlineStr">
        <is>
          <t/>
        </is>
      </c>
      <c r="EC67" s="145" t="inlineStr">
        <is>
          <t/>
        </is>
      </c>
      <c r="ED67" s="547">
        <f>HYPERLINK("https://my.pitchbook.com?c=10078-39", "View company online")</f>
      </c>
    </row>
    <row r="68">
      <c r="A68" s="147" t="inlineStr">
        <is>
          <t>165473-47</t>
        </is>
      </c>
      <c r="B68" s="148" t="inlineStr">
        <is>
          <t>Dalian Dayang Trands Company (SHG: 600233)</t>
        </is>
      </c>
      <c r="C68" s="149" t="inlineStr">
        <is>
          <t>Dalian Xinghua Garment Company Limited</t>
        </is>
      </c>
      <c r="D68" s="150" t="inlineStr">
        <is>
          <t/>
        </is>
      </c>
      <c r="E68" s="151" t="inlineStr">
        <is>
          <t>165473-47</t>
        </is>
      </c>
      <c r="F68" s="152" t="inlineStr">
        <is>
          <t>YTO Express Group Co Ltd provides express delivery and logistics services. The company also provides cold transport services, value-added services, aviation, and e-commerce services.</t>
        </is>
      </c>
      <c r="G68" s="153" t="inlineStr">
        <is>
          <t>Consumer Products and Services (B2C)</t>
        </is>
      </c>
      <c r="H68" s="154" t="inlineStr">
        <is>
          <t>Apparel and Accessories</t>
        </is>
      </c>
      <c r="I68" s="155" t="inlineStr">
        <is>
          <t>Clothing</t>
        </is>
      </c>
      <c r="J68" s="156" t="inlineStr">
        <is>
          <t>Clothing*</t>
        </is>
      </c>
      <c r="K68" s="157" t="inlineStr">
        <is>
          <t>Manufacturing</t>
        </is>
      </c>
      <c r="L68" s="158" t="inlineStr">
        <is>
          <t>accessories, apparel, coats, corporate wear, formal suits, men's suits, shirts</t>
        </is>
      </c>
      <c r="M68" s="159" t="inlineStr">
        <is>
          <t>Corporate Backed or Acquired</t>
        </is>
      </c>
      <c r="N68" s="160" t="inlineStr">
        <is>
          <t/>
        </is>
      </c>
      <c r="O68" s="161" t="inlineStr">
        <is>
          <t>Profitable</t>
        </is>
      </c>
      <c r="P68" s="162" t="inlineStr">
        <is>
          <t>Publicly Held</t>
        </is>
      </c>
      <c r="Q68" s="163" t="inlineStr">
        <is>
          <t>M&amp;A, Publicly Listed</t>
        </is>
      </c>
      <c r="R68" s="164" t="inlineStr">
        <is>
          <t>www.dayang.net</t>
        </is>
      </c>
      <c r="S68" s="165" t="n">
        <v>23608.0</v>
      </c>
      <c r="T68" s="166" t="inlineStr">
        <is>
          <t>1999: 3043, 2000: 3152, 2001: 4866, 2002: 4517, 2003: 5075, 2004: 6149, 2005: 6443, 2006: 7014, 2007: 6896, 2008: 6792, 2009: 6425, 2010: 6244, 2011: 6292, 2012: 5424, 2013: 5500, 2014: 5111, 2015: 4839, 2016: 22731, 2017: 23608</t>
        </is>
      </c>
      <c r="U68" s="167" t="inlineStr">
        <is>
          <t>SHG</t>
        </is>
      </c>
      <c r="V68" s="168" t="inlineStr">
        <is>
          <t>600233</t>
        </is>
      </c>
      <c r="W68" s="169" t="n">
        <v>1979.0</v>
      </c>
      <c r="X68" s="170" t="inlineStr">
        <is>
          <t>YTO Express</t>
        </is>
      </c>
      <c r="Y68" s="171" t="inlineStr">
        <is>
          <t/>
        </is>
      </c>
      <c r="Z68" s="172" t="inlineStr">
        <is>
          <t/>
        </is>
      </c>
      <c r="AA68" s="173" t="n">
        <v>3935.65</v>
      </c>
      <c r="AB68" s="174" t="n">
        <v>477.54</v>
      </c>
      <c r="AC68" s="175" t="n">
        <v>250.58</v>
      </c>
      <c r="AD68" s="176" t="n">
        <v>5274.78</v>
      </c>
      <c r="AE68" s="177" t="n">
        <v>377.03</v>
      </c>
      <c r="AF68" s="178" t="inlineStr">
        <is>
          <t>TTM 3Q2018</t>
        </is>
      </c>
      <c r="AG68" s="179" t="n">
        <v>335.68</v>
      </c>
      <c r="AH68" s="180" t="n">
        <v>5509.01</v>
      </c>
      <c r="AI68" s="181" t="n">
        <v>-105.97</v>
      </c>
      <c r="AJ68" s="182" t="inlineStr">
        <is>
          <t>193474-27P</t>
        </is>
      </c>
      <c r="AK68" s="183" t="inlineStr">
        <is>
          <t>Li Guilian</t>
        </is>
      </c>
      <c r="AL68" s="184" t="inlineStr">
        <is>
          <t>Founder &amp; Chairman</t>
        </is>
      </c>
      <c r="AM68" s="185" t="inlineStr">
        <is>
          <t/>
        </is>
      </c>
      <c r="AN68" s="186" t="inlineStr">
        <is>
          <t>+86 (0)411 8755 5168</t>
        </is>
      </c>
      <c r="AO68" s="187" t="inlineStr">
        <is>
          <t>Dalian, China</t>
        </is>
      </c>
      <c r="AP68" s="188" t="inlineStr">
        <is>
          <t>No. 23 Harbin Road</t>
        </is>
      </c>
      <c r="AQ68" s="189" t="inlineStr">
        <is>
          <t>Economic and Technological Development Zone</t>
        </is>
      </c>
      <c r="AR68" s="190" t="inlineStr">
        <is>
          <t>Dalian</t>
        </is>
      </c>
      <c r="AS68" s="191" t="inlineStr">
        <is>
          <t>Liaoning</t>
        </is>
      </c>
      <c r="AT68" s="192" t="inlineStr">
        <is>
          <t>116600</t>
        </is>
      </c>
      <c r="AU68" s="193" t="inlineStr">
        <is>
          <t>China</t>
        </is>
      </c>
      <c r="AV68" s="194" t="inlineStr">
        <is>
          <t>+86 (0)411 8755 5168</t>
        </is>
      </c>
      <c r="AW68" s="195" t="inlineStr">
        <is>
          <t/>
        </is>
      </c>
      <c r="AX68" s="196" t="inlineStr">
        <is>
          <t>dayang@dayang.net</t>
        </is>
      </c>
      <c r="AY68" s="197" t="inlineStr">
        <is>
          <t>Asia</t>
        </is>
      </c>
      <c r="AZ68" s="198" t="inlineStr">
        <is>
          <t>East Asia</t>
        </is>
      </c>
      <c r="BA68" s="199" t="inlineStr">
        <is>
          <t>The company was acquired by YTO Express through a reverse merger, resulting in the combined entity trading on the Shanghai Stock Exchange under the ticker symbol 600233 on October 18, 2016.</t>
        </is>
      </c>
      <c r="BB68" s="200" t="inlineStr">
        <is>
          <t/>
        </is>
      </c>
      <c r="BC68" s="201" t="inlineStr">
        <is>
          <t/>
        </is>
      </c>
      <c r="BD68" s="202" t="inlineStr">
        <is>
          <t>YTO Express</t>
        </is>
      </c>
      <c r="BE68" s="203" t="inlineStr">
        <is>
          <t/>
        </is>
      </c>
      <c r="BF68" s="204" t="inlineStr">
        <is>
          <t/>
        </is>
      </c>
      <c r="BG68" s="205" t="inlineStr">
        <is>
          <t/>
        </is>
      </c>
      <c r="BH68" s="206" t="inlineStr">
        <is>
          <t/>
        </is>
      </c>
      <c r="BI68" s="207" t="inlineStr">
        <is>
          <t/>
        </is>
      </c>
      <c r="BJ68" s="208" t="inlineStr">
        <is>
          <t/>
        </is>
      </c>
      <c r="BK68" s="209" t="inlineStr">
        <is>
          <t/>
        </is>
      </c>
      <c r="BL68" s="210" t="n">
        <v>36678.0</v>
      </c>
      <c r="BM68" s="211" t="inlineStr">
        <is>
          <t/>
        </is>
      </c>
      <c r="BN68" s="212" t="inlineStr">
        <is>
          <t/>
        </is>
      </c>
      <c r="BO68" s="213" t="inlineStr">
        <is>
          <t/>
        </is>
      </c>
      <c r="BP68" s="214" t="inlineStr">
        <is>
          <t/>
        </is>
      </c>
      <c r="BQ68" s="215" t="inlineStr">
        <is>
          <t>IPO</t>
        </is>
      </c>
      <c r="BR68" s="216" t="inlineStr">
        <is>
          <t/>
        </is>
      </c>
      <c r="BS68" s="217" t="inlineStr">
        <is>
          <t/>
        </is>
      </c>
      <c r="BT68" s="218" t="inlineStr">
        <is>
          <t>Public Investment</t>
        </is>
      </c>
      <c r="BU68" s="219" t="inlineStr">
        <is>
          <t/>
        </is>
      </c>
      <c r="BV68" s="220" t="inlineStr">
        <is>
          <t/>
        </is>
      </c>
      <c r="BW68" s="221" t="inlineStr">
        <is>
          <t/>
        </is>
      </c>
      <c r="BX68" s="222" t="inlineStr">
        <is>
          <t>Completed</t>
        </is>
      </c>
      <c r="BY68" s="223" t="n">
        <v>42661.0</v>
      </c>
      <c r="BZ68" s="224" t="n">
        <v>260.27</v>
      </c>
      <c r="CA68" s="225" t="inlineStr">
        <is>
          <t>Actual</t>
        </is>
      </c>
      <c r="CB68" s="226" t="n">
        <v>260.27</v>
      </c>
      <c r="CC68" s="227" t="inlineStr">
        <is>
          <t>Actual</t>
        </is>
      </c>
      <c r="CD68" s="228" t="inlineStr">
        <is>
          <t>Merger/Acquisition</t>
        </is>
      </c>
      <c r="CE68" s="229" t="inlineStr">
        <is>
          <t/>
        </is>
      </c>
      <c r="CF68" s="230" t="inlineStr">
        <is>
          <t/>
        </is>
      </c>
      <c r="CG68" s="231" t="inlineStr">
        <is>
          <t>Corporate</t>
        </is>
      </c>
      <c r="CH68" s="232" t="inlineStr">
        <is>
          <t/>
        </is>
      </c>
      <c r="CI68" s="233" t="inlineStr">
        <is>
          <t/>
        </is>
      </c>
      <c r="CJ68" s="234" t="inlineStr">
        <is>
          <t/>
        </is>
      </c>
      <c r="CK68" s="235" t="inlineStr">
        <is>
          <t>Completed</t>
        </is>
      </c>
      <c r="CL68" s="236" t="inlineStr">
        <is>
          <t/>
        </is>
      </c>
      <c r="CM68" s="237" t="inlineStr">
        <is>
          <t/>
        </is>
      </c>
      <c r="CN68" s="238" t="n">
        <v>0.0</v>
      </c>
      <c r="CO68" s="239" t="n">
        <v>18.0</v>
      </c>
      <c r="CP68" s="240" t="n">
        <v>0.0</v>
      </c>
      <c r="CQ68" s="241" t="n">
        <v>0.0</v>
      </c>
      <c r="CR68" s="242" t="n">
        <v>0.0</v>
      </c>
      <c r="CS68" s="243" t="n">
        <v>14.0</v>
      </c>
      <c r="CT68" s="244" t="inlineStr">
        <is>
          <t/>
        </is>
      </c>
      <c r="CU68" s="245" t="inlineStr">
        <is>
          <t/>
        </is>
      </c>
      <c r="CV68" s="246" t="n">
        <v>0.0</v>
      </c>
      <c r="CW68" s="247" t="n">
        <v>33.0</v>
      </c>
      <c r="CX68" s="248" t="n">
        <v>0.0</v>
      </c>
      <c r="CY68" s="249" t="n">
        <v>11.0</v>
      </c>
      <c r="CZ68" s="250" t="inlineStr">
        <is>
          <t/>
        </is>
      </c>
      <c r="DA68" s="251" t="inlineStr">
        <is>
          <t/>
        </is>
      </c>
      <c r="DB68" s="252" t="n">
        <v>0.72</v>
      </c>
      <c r="DC68" s="253" t="n">
        <v>43.0</v>
      </c>
      <c r="DD68" s="254" t="n">
        <v>0.17</v>
      </c>
      <c r="DE68" s="255" t="n">
        <v>29.63</v>
      </c>
      <c r="DF68" s="256" t="n">
        <v>0.72</v>
      </c>
      <c r="DG68" s="257" t="n">
        <v>43.0</v>
      </c>
      <c r="DH68" s="258" t="inlineStr">
        <is>
          <t/>
        </is>
      </c>
      <c r="DI68" s="259" t="inlineStr">
        <is>
          <t/>
        </is>
      </c>
      <c r="DJ68" s="260" t="n">
        <v>0.09</v>
      </c>
      <c r="DK68" s="261" t="n">
        <v>2.0</v>
      </c>
      <c r="DL68" s="262" t="n">
        <v>1.35</v>
      </c>
      <c r="DM68" s="263" t="n">
        <v>57.0</v>
      </c>
      <c r="DN68" s="264" t="inlineStr">
        <is>
          <t/>
        </is>
      </c>
      <c r="DO68" s="265" t="inlineStr">
        <is>
          <t/>
        </is>
      </c>
      <c r="DP68" s="266" t="n">
        <v>67.0</v>
      </c>
      <c r="DQ68" s="267" t="n">
        <v>1.0</v>
      </c>
      <c r="DR68" s="268" t="n">
        <v>1.52</v>
      </c>
      <c r="DS68" s="269" t="n">
        <v>46.0</v>
      </c>
      <c r="DT68" s="270" t="n">
        <v>0.0</v>
      </c>
      <c r="DU68" s="271" t="n">
        <v>0.0</v>
      </c>
      <c r="DV68" s="272" t="inlineStr">
        <is>
          <t/>
        </is>
      </c>
      <c r="DW68" s="273" t="inlineStr">
        <is>
          <t/>
        </is>
      </c>
      <c r="DX68" s="274" t="inlineStr">
        <is>
          <t/>
        </is>
      </c>
      <c r="DY68" s="275" t="inlineStr">
        <is>
          <t>PitchBook Research</t>
        </is>
      </c>
      <c r="DZ68" s="276" t="n">
        <v>43491.0</v>
      </c>
      <c r="EA68" s="277" t="n">
        <v>260.27</v>
      </c>
      <c r="EB68" s="278" t="n">
        <v>42661.0</v>
      </c>
      <c r="EC68" s="279" t="inlineStr">
        <is>
          <t>Merger/Acquisition</t>
        </is>
      </c>
      <c r="ED68" s="548">
        <f>HYPERLINK("https://my.pitchbook.com?c=165473-47", "View company online")</f>
      </c>
    </row>
    <row r="69">
      <c r="A69" s="13" t="inlineStr">
        <is>
          <t>11965-60</t>
        </is>
      </c>
      <c r="B69" s="14" t="inlineStr">
        <is>
          <t>Calvin Klein</t>
        </is>
      </c>
      <c r="C69" s="15" t="inlineStr">
        <is>
          <t/>
        </is>
      </c>
      <c r="D69" s="16" t="inlineStr">
        <is>
          <t/>
        </is>
      </c>
      <c r="E69" s="17" t="inlineStr">
        <is>
          <t>11965-60</t>
        </is>
      </c>
      <c r="F69" s="18" t="inlineStr">
        <is>
          <t>Manufacturer, distributor of designer labeled apparel. The company also licenses more than 40 retail stores worldwide, as well as its name for jeans, underwear and fragrances.</t>
        </is>
      </c>
      <c r="G69" s="19" t="inlineStr">
        <is>
          <t>Consumer Products and Services (B2C)</t>
        </is>
      </c>
      <c r="H69" s="20" t="inlineStr">
        <is>
          <t>Apparel and Accessories</t>
        </is>
      </c>
      <c r="I69" s="21" t="inlineStr">
        <is>
          <t>Clothing</t>
        </is>
      </c>
      <c r="J69" s="22" t="inlineStr">
        <is>
          <t>Accessories, Clothing*, Specialty Retail</t>
        </is>
      </c>
      <c r="K69" s="23" t="inlineStr">
        <is>
          <t>Manufacturing</t>
        </is>
      </c>
      <c r="L69" s="24" t="inlineStr">
        <is>
          <t/>
        </is>
      </c>
      <c r="M69" s="25" t="inlineStr">
        <is>
          <t>Formerly PE-Backed</t>
        </is>
      </c>
      <c r="N69" s="26" t="inlineStr">
        <is>
          <t/>
        </is>
      </c>
      <c r="O69" s="27" t="inlineStr">
        <is>
          <t>Profitable</t>
        </is>
      </c>
      <c r="P69" s="28" t="inlineStr">
        <is>
          <t>Acquired/Merged</t>
        </is>
      </c>
      <c r="Q69" s="29" t="inlineStr">
        <is>
          <t>M&amp;A, Private Equity</t>
        </is>
      </c>
      <c r="R69" s="30" t="inlineStr">
        <is>
          <t>www.calvinklein.com</t>
        </is>
      </c>
      <c r="S69" s="31" t="n">
        <v>10000.0</v>
      </c>
      <c r="T69" s="32" t="inlineStr">
        <is>
          <t>2017: 10000</t>
        </is>
      </c>
      <c r="U69" s="33" t="inlineStr">
        <is>
          <t/>
        </is>
      </c>
      <c r="V69" s="34" t="inlineStr">
        <is>
          <t/>
        </is>
      </c>
      <c r="W69" s="35" t="n">
        <v>1967.0</v>
      </c>
      <c r="X69" s="36" t="inlineStr">
        <is>
          <t/>
        </is>
      </c>
      <c r="Y69" s="37" t="inlineStr">
        <is>
          <t/>
        </is>
      </c>
      <c r="Z69" s="38" t="inlineStr">
        <is>
          <t/>
        </is>
      </c>
      <c r="AA69" s="39" t="n">
        <v>3908.0</v>
      </c>
      <c r="AB69" s="40" t="inlineStr">
        <is>
          <t/>
        </is>
      </c>
      <c r="AC69" s="41" t="inlineStr">
        <is>
          <t/>
        </is>
      </c>
      <c r="AD69" s="42" t="inlineStr">
        <is>
          <t/>
        </is>
      </c>
      <c r="AE69" s="43" t="inlineStr">
        <is>
          <t/>
        </is>
      </c>
      <c r="AF69" s="44" t="inlineStr">
        <is>
          <t>FY 2018</t>
        </is>
      </c>
      <c r="AG69" s="45" t="inlineStr">
        <is>
          <t/>
        </is>
      </c>
      <c r="AH69" s="46" t="inlineStr">
        <is>
          <t/>
        </is>
      </c>
      <c r="AI69" s="47" t="inlineStr">
        <is>
          <t/>
        </is>
      </c>
      <c r="AJ69" s="48" t="inlineStr">
        <is>
          <t>133447-78P</t>
        </is>
      </c>
      <c r="AK69" s="49" t="inlineStr">
        <is>
          <t>Steve Shiffman</t>
        </is>
      </c>
      <c r="AL69" s="50" t="inlineStr">
        <is>
          <t>Chief Executive Officer</t>
        </is>
      </c>
      <c r="AM69" s="51" t="inlineStr">
        <is>
          <t>steve_shiffman@calvinklein.com</t>
        </is>
      </c>
      <c r="AN69" s="52" t="inlineStr">
        <is>
          <t>+1 (212) 719-2600</t>
        </is>
      </c>
      <c r="AO69" s="53" t="inlineStr">
        <is>
          <t>New york, NY</t>
        </is>
      </c>
      <c r="AP69" s="54" t="inlineStr">
        <is>
          <t>205 West 39th Street</t>
        </is>
      </c>
      <c r="AQ69" s="55" t="inlineStr">
        <is>
          <t>Fourth Floor</t>
        </is>
      </c>
      <c r="AR69" s="56" t="inlineStr">
        <is>
          <t>New york</t>
        </is>
      </c>
      <c r="AS69" s="57" t="inlineStr">
        <is>
          <t>New York</t>
        </is>
      </c>
      <c r="AT69" s="58" t="inlineStr">
        <is>
          <t>10018</t>
        </is>
      </c>
      <c r="AU69" s="59" t="inlineStr">
        <is>
          <t>United States</t>
        </is>
      </c>
      <c r="AV69" s="60" t="inlineStr">
        <is>
          <t>+1 (212) 719-2600</t>
        </is>
      </c>
      <c r="AW69" s="61" t="inlineStr">
        <is>
          <t>+1 (212) 730-4818</t>
        </is>
      </c>
      <c r="AX69" s="62" t="inlineStr">
        <is>
          <t/>
        </is>
      </c>
      <c r="AY69" s="63" t="inlineStr">
        <is>
          <t>Americas</t>
        </is>
      </c>
      <c r="AZ69" s="64" t="inlineStr">
        <is>
          <t>North America</t>
        </is>
      </c>
      <c r="BA69" s="65" t="inlineStr">
        <is>
          <t>The company was acquired by Phillis Van Heusen, via its financial sponsor Apax Partners, through a $700,000,000 LBO on February 12, 2003.</t>
        </is>
      </c>
      <c r="BB69" s="66" t="inlineStr">
        <is>
          <t/>
        </is>
      </c>
      <c r="BC69" s="67" t="inlineStr">
        <is>
          <t/>
        </is>
      </c>
      <c r="BD69" s="68" t="inlineStr">
        <is>
          <t>PVH, Unilever</t>
        </is>
      </c>
      <c r="BE69" s="69" t="inlineStr">
        <is>
          <t/>
        </is>
      </c>
      <c r="BF69" s="70" t="inlineStr">
        <is>
          <t>Apax Partners</t>
        </is>
      </c>
      <c r="BG69" s="71" t="inlineStr">
        <is>
          <t/>
        </is>
      </c>
      <c r="BH69" s="72" t="inlineStr">
        <is>
          <t/>
        </is>
      </c>
      <c r="BI69" s="73" t="inlineStr">
        <is>
          <t>Apax Partners(www.apax.com)</t>
        </is>
      </c>
      <c r="BJ69" s="74" t="inlineStr">
        <is>
          <t>BlackArch Partners(Advisor: General), Fish &amp; Richardson(Legal Advisor), Olshan Frome Wolosky(Legal Advisor), The Brownestone Group(Consulting)</t>
        </is>
      </c>
      <c r="BK69" s="75" t="inlineStr">
        <is>
          <t>Paul, Weiss, Rifkind, Wharton &amp; Garrison(Legal Advisor)</t>
        </is>
      </c>
      <c r="BL69" s="76" t="n">
        <v>32509.0</v>
      </c>
      <c r="BM69" s="77" t="inlineStr">
        <is>
          <t/>
        </is>
      </c>
      <c r="BN69" s="78" t="inlineStr">
        <is>
          <t/>
        </is>
      </c>
      <c r="BO69" s="79" t="inlineStr">
        <is>
          <t/>
        </is>
      </c>
      <c r="BP69" s="80" t="inlineStr">
        <is>
          <t/>
        </is>
      </c>
      <c r="BQ69" s="81" t="inlineStr">
        <is>
          <t>Merger/Acquisition</t>
        </is>
      </c>
      <c r="BR69" s="82" t="inlineStr">
        <is>
          <t/>
        </is>
      </c>
      <c r="BS69" s="83" t="inlineStr">
        <is>
          <t/>
        </is>
      </c>
      <c r="BT69" s="84" t="inlineStr">
        <is>
          <t>Corporate</t>
        </is>
      </c>
      <c r="BU69" s="85" t="inlineStr">
        <is>
          <t/>
        </is>
      </c>
      <c r="BV69" s="86" t="inlineStr">
        <is>
          <t/>
        </is>
      </c>
      <c r="BW69" s="87" t="inlineStr">
        <is>
          <t/>
        </is>
      </c>
      <c r="BX69" s="88" t="inlineStr">
        <is>
          <t>Completed</t>
        </is>
      </c>
      <c r="BY69" s="89" t="n">
        <v>37664.0</v>
      </c>
      <c r="BZ69" s="90" t="n">
        <v>430.0</v>
      </c>
      <c r="CA69" s="91" t="inlineStr">
        <is>
          <t>Actual</t>
        </is>
      </c>
      <c r="CB69" s="92" t="n">
        <v>430.0</v>
      </c>
      <c r="CC69" s="93" t="inlineStr">
        <is>
          <t>Actual</t>
        </is>
      </c>
      <c r="CD69" s="94" t="inlineStr">
        <is>
          <t>Buyout/LBO</t>
        </is>
      </c>
      <c r="CE69" s="95" t="inlineStr">
        <is>
          <t>Add-on</t>
        </is>
      </c>
      <c r="CF69" s="96" t="inlineStr">
        <is>
          <t/>
        </is>
      </c>
      <c r="CG69" s="97" t="inlineStr">
        <is>
          <t>Private Equity</t>
        </is>
      </c>
      <c r="CH69" s="98" t="inlineStr">
        <is>
          <t>Secured Debt</t>
        </is>
      </c>
      <c r="CI69" s="99" t="inlineStr">
        <is>
          <t/>
        </is>
      </c>
      <c r="CJ69" s="100" t="inlineStr">
        <is>
          <t/>
        </is>
      </c>
      <c r="CK69" s="101" t="inlineStr">
        <is>
          <t>Completed</t>
        </is>
      </c>
      <c r="CL69" s="102" t="inlineStr">
        <is>
          <t/>
        </is>
      </c>
      <c r="CM69" s="103" t="inlineStr">
        <is>
          <t/>
        </is>
      </c>
      <c r="CN69" s="104" t="inlineStr">
        <is>
          <t/>
        </is>
      </c>
      <c r="CO69" s="105" t="inlineStr">
        <is>
          <t/>
        </is>
      </c>
      <c r="CP69" s="106" t="inlineStr">
        <is>
          <t/>
        </is>
      </c>
      <c r="CQ69" s="107" t="inlineStr">
        <is>
          <t/>
        </is>
      </c>
      <c r="CR69" s="108" t="inlineStr">
        <is>
          <t/>
        </is>
      </c>
      <c r="CS69" s="109" t="inlineStr">
        <is>
          <t/>
        </is>
      </c>
      <c r="CT69" s="110" t="inlineStr">
        <is>
          <t/>
        </is>
      </c>
      <c r="CU69" s="111" t="inlineStr">
        <is>
          <t/>
        </is>
      </c>
      <c r="CV69" s="112" t="inlineStr">
        <is>
          <t/>
        </is>
      </c>
      <c r="CW69" s="113" t="inlineStr">
        <is>
          <t/>
        </is>
      </c>
      <c r="CX69" s="114" t="inlineStr">
        <is>
          <t/>
        </is>
      </c>
      <c r="CY69" s="115" t="inlineStr">
        <is>
          <t/>
        </is>
      </c>
      <c r="CZ69" s="116" t="inlineStr">
        <is>
          <t/>
        </is>
      </c>
      <c r="DA69" s="117" t="inlineStr">
        <is>
          <t/>
        </is>
      </c>
      <c r="DB69" s="118" t="inlineStr">
        <is>
          <t/>
        </is>
      </c>
      <c r="DC69" s="119" t="inlineStr">
        <is>
          <t/>
        </is>
      </c>
      <c r="DD69" s="120" t="inlineStr">
        <is>
          <t/>
        </is>
      </c>
      <c r="DE69" s="121" t="inlineStr">
        <is>
          <t/>
        </is>
      </c>
      <c r="DF69" s="122" t="inlineStr">
        <is>
          <t/>
        </is>
      </c>
      <c r="DG69" s="123" t="inlineStr">
        <is>
          <t/>
        </is>
      </c>
      <c r="DH69" s="124" t="inlineStr">
        <is>
          <t/>
        </is>
      </c>
      <c r="DI69" s="125" t="inlineStr">
        <is>
          <t/>
        </is>
      </c>
      <c r="DJ69" s="126" t="inlineStr">
        <is>
          <t/>
        </is>
      </c>
      <c r="DK69" s="127" t="inlineStr">
        <is>
          <t/>
        </is>
      </c>
      <c r="DL69" s="128" t="inlineStr">
        <is>
          <t/>
        </is>
      </c>
      <c r="DM69" s="129" t="inlineStr">
        <is>
          <t/>
        </is>
      </c>
      <c r="DN69" s="130" t="inlineStr">
        <is>
          <t/>
        </is>
      </c>
      <c r="DO69" s="131" t="inlineStr">
        <is>
          <t/>
        </is>
      </c>
      <c r="DP69" s="132" t="inlineStr">
        <is>
          <t/>
        </is>
      </c>
      <c r="DQ69" s="133" t="inlineStr">
        <is>
          <t/>
        </is>
      </c>
      <c r="DR69" s="134" t="inlineStr">
        <is>
          <t/>
        </is>
      </c>
      <c r="DS69" s="135" t="inlineStr">
        <is>
          <t/>
        </is>
      </c>
      <c r="DT69" s="136" t="inlineStr">
        <is>
          <t/>
        </is>
      </c>
      <c r="DU69" s="137" t="inlineStr">
        <is>
          <t/>
        </is>
      </c>
      <c r="DV69" s="138" t="inlineStr">
        <is>
          <t/>
        </is>
      </c>
      <c r="DW69" s="139" t="inlineStr">
        <is>
          <t/>
        </is>
      </c>
      <c r="DX69" s="140" t="inlineStr">
        <is>
          <t/>
        </is>
      </c>
      <c r="DY69" s="141" t="inlineStr">
        <is>
          <t>PitchBook Research</t>
        </is>
      </c>
      <c r="DZ69" s="142" t="n">
        <v>43351.0</v>
      </c>
      <c r="EA69" s="143" t="n">
        <v>430.0</v>
      </c>
      <c r="EB69" s="144" t="n">
        <v>37664.0</v>
      </c>
      <c r="EC69" s="145" t="inlineStr">
        <is>
          <t>Buyout/LBO</t>
        </is>
      </c>
      <c r="ED69" s="547">
        <f>HYPERLINK("https://my.pitchbook.com?c=11965-60", "View company online")</f>
      </c>
    </row>
    <row r="70">
      <c r="A70" s="147" t="inlineStr">
        <is>
          <t>10546-93</t>
        </is>
      </c>
      <c r="B70" s="148" t="inlineStr">
        <is>
          <t>Tommy Hilfiger Group</t>
        </is>
      </c>
      <c r="C70" s="149" t="inlineStr">
        <is>
          <t/>
        </is>
      </c>
      <c r="D70" s="150" t="inlineStr">
        <is>
          <t/>
        </is>
      </c>
      <c r="E70" s="151" t="inlineStr">
        <is>
          <t>10546-93</t>
        </is>
      </c>
      <c r="F70" s="152" t="inlineStr">
        <is>
          <t>Designer of sportswear, jeanswear and childrenswear. The company, through a range of strategic licensing agreements, offers various related apparel, accessories, footwear, fragrances and home furnishings. It distributes its products through department and specialty stores throughout the world.</t>
        </is>
      </c>
      <c r="G70" s="153" t="inlineStr">
        <is>
          <t>Consumer Products and Services (B2C)</t>
        </is>
      </c>
      <c r="H70" s="154" t="inlineStr">
        <is>
          <t>Apparel and Accessories</t>
        </is>
      </c>
      <c r="I70" s="155" t="inlineStr">
        <is>
          <t>Clothing</t>
        </is>
      </c>
      <c r="J70" s="156" t="inlineStr">
        <is>
          <t>Clothing*, Footwear, Home Furnishings</t>
        </is>
      </c>
      <c r="K70" s="157" t="inlineStr">
        <is>
          <t/>
        </is>
      </c>
      <c r="L70" s="158" t="inlineStr">
        <is>
          <t>activewear, childrenswear, jeanswear</t>
        </is>
      </c>
      <c r="M70" s="159" t="inlineStr">
        <is>
          <t>Formerly PE-Backed</t>
        </is>
      </c>
      <c r="N70" s="160" t="inlineStr">
        <is>
          <t/>
        </is>
      </c>
      <c r="O70" s="161" t="inlineStr">
        <is>
          <t>Generating Revenue</t>
        </is>
      </c>
      <c r="P70" s="162" t="inlineStr">
        <is>
          <t>Acquired/Merged (Operating Subsidiary)</t>
        </is>
      </c>
      <c r="Q70" s="163" t="inlineStr">
        <is>
          <t>Private Equity, Publicly Listed</t>
        </is>
      </c>
      <c r="R70" s="164" t="inlineStr">
        <is>
          <t>global.tommy.com</t>
        </is>
      </c>
      <c r="S70" s="165" t="n">
        <v>17000.0</v>
      </c>
      <c r="T70" s="166" t="inlineStr">
        <is>
          <t>1995: 794, 1997: 1130, 1998: 1160, 1999: 2300, 2000: 2600, 2001: 4100, 2002: 4900, 2003: 5400, 2004: 5400, 2005: 5800, 2018: 17000</t>
        </is>
      </c>
      <c r="U70" s="167" t="inlineStr">
        <is>
          <t/>
        </is>
      </c>
      <c r="V70" s="168" t="inlineStr">
        <is>
          <t/>
        </is>
      </c>
      <c r="W70" s="169" t="n">
        <v>1985.0</v>
      </c>
      <c r="X70" s="170" t="inlineStr">
        <is>
          <t>PVH</t>
        </is>
      </c>
      <c r="Y70" s="171" t="inlineStr">
        <is>
          <t/>
        </is>
      </c>
      <c r="Z70" s="172" t="inlineStr">
        <is>
          <t/>
        </is>
      </c>
      <c r="AA70" s="173" t="n">
        <v>3900.0</v>
      </c>
      <c r="AB70" s="174" t="inlineStr">
        <is>
          <t/>
        </is>
      </c>
      <c r="AC70" s="175" t="inlineStr">
        <is>
          <t/>
        </is>
      </c>
      <c r="AD70" s="176" t="inlineStr">
        <is>
          <t/>
        </is>
      </c>
      <c r="AE70" s="177" t="inlineStr">
        <is>
          <t/>
        </is>
      </c>
      <c r="AF70" s="178" t="inlineStr">
        <is>
          <t>FY 2017</t>
        </is>
      </c>
      <c r="AG70" s="179" t="inlineStr">
        <is>
          <t/>
        </is>
      </c>
      <c r="AH70" s="180" t="inlineStr">
        <is>
          <t/>
        </is>
      </c>
      <c r="AI70" s="181" t="inlineStr">
        <is>
          <t/>
        </is>
      </c>
      <c r="AJ70" s="182" t="inlineStr">
        <is>
          <t>32687-56P</t>
        </is>
      </c>
      <c r="AK70" s="183" t="inlineStr">
        <is>
          <t>Ludo Onnink</t>
        </is>
      </c>
      <c r="AL70" s="184" t="inlineStr">
        <is>
          <t>Chief Financial Officer, Chief Operating Officer &amp; Global Chief Brand Officer</t>
        </is>
      </c>
      <c r="AM70" s="185" t="inlineStr">
        <is>
          <t>ludo@denhamthejeanmaker.com</t>
        </is>
      </c>
      <c r="AN70" s="186" t="inlineStr">
        <is>
          <t>+31 (0)20 344 9134</t>
        </is>
      </c>
      <c r="AO70" s="187" t="inlineStr">
        <is>
          <t>Hong Kong, Hong Kong</t>
        </is>
      </c>
      <c r="AP70" s="188" t="inlineStr">
        <is>
          <t>9/F, Novel Industrial Building</t>
        </is>
      </c>
      <c r="AQ70" s="189" t="inlineStr">
        <is>
          <t>850-870 Lai Chi Kok Road, Cheung Sha Wan, Kowloon</t>
        </is>
      </c>
      <c r="AR70" s="190" t="inlineStr">
        <is>
          <t>Hong Kong</t>
        </is>
      </c>
      <c r="AS70" s="191" t="inlineStr">
        <is>
          <t>HK</t>
        </is>
      </c>
      <c r="AT70" s="192" t="inlineStr">
        <is>
          <t/>
        </is>
      </c>
      <c r="AU70" s="193" t="inlineStr">
        <is>
          <t>Hong Kong</t>
        </is>
      </c>
      <c r="AV70" s="194" t="inlineStr">
        <is>
          <t>+86 (0)22 7457 798</t>
        </is>
      </c>
      <c r="AW70" s="195" t="inlineStr">
        <is>
          <t>+86 (0)23 2213 68</t>
        </is>
      </c>
      <c r="AX70" s="196" t="inlineStr">
        <is>
          <t/>
        </is>
      </c>
      <c r="AY70" s="197" t="inlineStr">
        <is>
          <t>Asia</t>
        </is>
      </c>
      <c r="AZ70" s="198" t="inlineStr">
        <is>
          <t>East Asia</t>
        </is>
      </c>
      <c r="BA70" s="199" t="inlineStr">
        <is>
          <t>The company was acquired by Phillips-Van Heusen (NYSE: PVH), via its financial sponsors LNK Partners and MSD Capital, through a €2.2 billion LBO on May 6, 2010, putting the company valuation at EUR 2.3 million.</t>
        </is>
      </c>
      <c r="BB70" s="200" t="inlineStr">
        <is>
          <t/>
        </is>
      </c>
      <c r="BC70" s="201" t="inlineStr">
        <is>
          <t/>
        </is>
      </c>
      <c r="BD70" s="202" t="inlineStr">
        <is>
          <t>PVH</t>
        </is>
      </c>
      <c r="BE70" s="203" t="inlineStr">
        <is>
          <t>Accretive Capital Partners (Madison), Apax Partners, BNP Paribas Fortis Private Equity</t>
        </is>
      </c>
      <c r="BF70" s="204" t="inlineStr">
        <is>
          <t>LNK Partners, MSD Capital</t>
        </is>
      </c>
      <c r="BG70" s="205" t="inlineStr">
        <is>
          <t/>
        </is>
      </c>
      <c r="BH70" s="206" t="inlineStr">
        <is>
          <t>Accretive Capital Partners (Madison)(www.accretivecapital.com), Apax Partners(www.apax.com), BNP Paribas Fortis Private Equity(companies.bnpparibasfortis.be/en/campaign)</t>
        </is>
      </c>
      <c r="BI70" s="207" t="inlineStr">
        <is>
          <t>LNK Partners(www.lnkpartners.com), MSD Capital(www.msdcapital.com)</t>
        </is>
      </c>
      <c r="BJ70" s="208" t="inlineStr">
        <is>
          <t>Bech-Bruun(Legal Advisor), Bryan Cave Leighton Paisner (Russia)(Legal Advisor), Marvin Traub Associates(Consulting), Olshan Frome Wolosky(Legal Advisor), Tughans Solicitors(Legal Advisor)</t>
        </is>
      </c>
      <c r="BK70" s="209" t="inlineStr">
        <is>
          <t>Bank of America Merrill Lynch(Debt Financing), Barclays Investment Bank(Debt Financing), BNP Paribas Fortis(Debt Financing), Citigroup(Advisor: General), Credit Suisse(Advisor: General), Deutsche Bank(Debt Financing), EY(Auditor), J.P. Morgan(Advisor: General), Leonis Partners(Advisor: General), Morgan Stanley(Advisor: General), PwC(Accounting), RBC Capital Markets(Debt Financing), Simpson Thacher &amp; Bartlett(Legal Advisor), Stibbe(Legal Advisor), Wachtell, Lipton, Rosen &amp; Katz(Legal Advisor), Weil, Gotshal &amp; Manges(Legal Advisor)</t>
        </is>
      </c>
      <c r="BL70" s="210" t="inlineStr">
        <is>
          <t/>
        </is>
      </c>
      <c r="BM70" s="211" t="inlineStr">
        <is>
          <t/>
        </is>
      </c>
      <c r="BN70" s="212" t="inlineStr">
        <is>
          <t/>
        </is>
      </c>
      <c r="BO70" s="213" t="inlineStr">
        <is>
          <t/>
        </is>
      </c>
      <c r="BP70" s="214" t="inlineStr">
        <is>
          <t/>
        </is>
      </c>
      <c r="BQ70" s="215" t="inlineStr">
        <is>
          <t>IPO</t>
        </is>
      </c>
      <c r="BR70" s="216" t="inlineStr">
        <is>
          <t/>
        </is>
      </c>
      <c r="BS70" s="217" t="inlineStr">
        <is>
          <t/>
        </is>
      </c>
      <c r="BT70" s="218" t="inlineStr">
        <is>
          <t>Public Investment</t>
        </is>
      </c>
      <c r="BU70" s="219" t="inlineStr">
        <is>
          <t/>
        </is>
      </c>
      <c r="BV70" s="220" t="inlineStr">
        <is>
          <t/>
        </is>
      </c>
      <c r="BW70" s="221" t="inlineStr">
        <is>
          <t/>
        </is>
      </c>
      <c r="BX70" s="222" t="inlineStr">
        <is>
          <t>Completed</t>
        </is>
      </c>
      <c r="BY70" s="223" t="n">
        <v>40304.0</v>
      </c>
      <c r="BZ70" s="224" t="n">
        <v>2775.15</v>
      </c>
      <c r="CA70" s="225" t="inlineStr">
        <is>
          <t>Actual</t>
        </is>
      </c>
      <c r="CB70" s="226" t="n">
        <v>2901.29</v>
      </c>
      <c r="CC70" s="227" t="inlineStr">
        <is>
          <t>Actual</t>
        </is>
      </c>
      <c r="CD70" s="228" t="inlineStr">
        <is>
          <t>Buyout/LBO</t>
        </is>
      </c>
      <c r="CE70" s="229" t="inlineStr">
        <is>
          <t>Secondary Buyout</t>
        </is>
      </c>
      <c r="CF70" s="230" t="inlineStr">
        <is>
          <t>Add-on</t>
        </is>
      </c>
      <c r="CG70" s="231" t="inlineStr">
        <is>
          <t>Private Equity</t>
        </is>
      </c>
      <c r="CH70" s="232" t="inlineStr">
        <is>
          <t/>
        </is>
      </c>
      <c r="CI70" s="233" t="inlineStr">
        <is>
          <t/>
        </is>
      </c>
      <c r="CJ70" s="234" t="inlineStr">
        <is>
          <t/>
        </is>
      </c>
      <c r="CK70" s="235" t="inlineStr">
        <is>
          <t>Completed</t>
        </is>
      </c>
      <c r="CL70" s="236" t="n">
        <v>40304.0</v>
      </c>
      <c r="CM70" s="237" t="inlineStr">
        <is>
          <t/>
        </is>
      </c>
      <c r="CN70" s="238" t="inlineStr">
        <is>
          <t/>
        </is>
      </c>
      <c r="CO70" s="239" t="inlineStr">
        <is>
          <t/>
        </is>
      </c>
      <c r="CP70" s="240" t="inlineStr">
        <is>
          <t/>
        </is>
      </c>
      <c r="CQ70" s="241" t="inlineStr">
        <is>
          <t/>
        </is>
      </c>
      <c r="CR70" s="242" t="inlineStr">
        <is>
          <t/>
        </is>
      </c>
      <c r="CS70" s="243" t="inlineStr">
        <is>
          <t/>
        </is>
      </c>
      <c r="CT70" s="244" t="inlineStr">
        <is>
          <t/>
        </is>
      </c>
      <c r="CU70" s="245" t="inlineStr">
        <is>
          <t/>
        </is>
      </c>
      <c r="CV70" s="246" t="inlineStr">
        <is>
          <t/>
        </is>
      </c>
      <c r="CW70" s="247" t="inlineStr">
        <is>
          <t/>
        </is>
      </c>
      <c r="CX70" s="248" t="inlineStr">
        <is>
          <t/>
        </is>
      </c>
      <c r="CY70" s="249" t="inlineStr">
        <is>
          <t/>
        </is>
      </c>
      <c r="CZ70" s="250" t="inlineStr">
        <is>
          <t/>
        </is>
      </c>
      <c r="DA70" s="251" t="inlineStr">
        <is>
          <t/>
        </is>
      </c>
      <c r="DB70" s="252" t="inlineStr">
        <is>
          <t/>
        </is>
      </c>
      <c r="DC70" s="253" t="inlineStr">
        <is>
          <t/>
        </is>
      </c>
      <c r="DD70" s="254" t="inlineStr">
        <is>
          <t/>
        </is>
      </c>
      <c r="DE70" s="255" t="inlineStr">
        <is>
          <t/>
        </is>
      </c>
      <c r="DF70" s="256" t="inlineStr">
        <is>
          <t/>
        </is>
      </c>
      <c r="DG70" s="257" t="inlineStr">
        <is>
          <t/>
        </is>
      </c>
      <c r="DH70" s="258" t="inlineStr">
        <is>
          <t/>
        </is>
      </c>
      <c r="DI70" s="259" t="inlineStr">
        <is>
          <t/>
        </is>
      </c>
      <c r="DJ70" s="260" t="inlineStr">
        <is>
          <t/>
        </is>
      </c>
      <c r="DK70" s="261" t="inlineStr">
        <is>
          <t/>
        </is>
      </c>
      <c r="DL70" s="262" t="inlineStr">
        <is>
          <t/>
        </is>
      </c>
      <c r="DM70" s="263" t="inlineStr">
        <is>
          <t/>
        </is>
      </c>
      <c r="DN70" s="264" t="inlineStr">
        <is>
          <t/>
        </is>
      </c>
      <c r="DO70" s="265" t="inlineStr">
        <is>
          <t/>
        </is>
      </c>
      <c r="DP70" s="266" t="inlineStr">
        <is>
          <t/>
        </is>
      </c>
      <c r="DQ70" s="267" t="inlineStr">
        <is>
          <t/>
        </is>
      </c>
      <c r="DR70" s="268" t="inlineStr">
        <is>
          <t/>
        </is>
      </c>
      <c r="DS70" s="269" t="inlineStr">
        <is>
          <t/>
        </is>
      </c>
      <c r="DT70" s="270" t="inlineStr">
        <is>
          <t/>
        </is>
      </c>
      <c r="DU70" s="271" t="inlineStr">
        <is>
          <t/>
        </is>
      </c>
      <c r="DV70" s="272" t="inlineStr">
        <is>
          <t/>
        </is>
      </c>
      <c r="DW70" s="273" t="inlineStr">
        <is>
          <t/>
        </is>
      </c>
      <c r="DX70" s="274" t="inlineStr">
        <is>
          <t/>
        </is>
      </c>
      <c r="DY70" s="275" t="inlineStr">
        <is>
          <t>PitchBook Research</t>
        </is>
      </c>
      <c r="DZ70" s="276" t="n">
        <v>43511.0</v>
      </c>
      <c r="EA70" s="277" t="n">
        <v>2901.29</v>
      </c>
      <c r="EB70" s="278" t="n">
        <v>40304.0</v>
      </c>
      <c r="EC70" s="279" t="inlineStr">
        <is>
          <t>Buyout/LBO</t>
        </is>
      </c>
      <c r="ED70" s="548">
        <f>HYPERLINK("https://my.pitchbook.com?c=10546-93", "View company online")</f>
      </c>
    </row>
    <row r="71">
      <c r="A71" s="13" t="inlineStr">
        <is>
          <t>55660-69</t>
        </is>
      </c>
      <c r="B71" s="14" t="inlineStr">
        <is>
          <t>Mahindra Retail</t>
        </is>
      </c>
      <c r="C71" s="15" t="inlineStr">
        <is>
          <t/>
        </is>
      </c>
      <c r="D71" s="16" t="inlineStr">
        <is>
          <t>Mom &amp; Me</t>
        </is>
      </c>
      <c r="E71" s="17" t="inlineStr">
        <is>
          <t>55660-69</t>
        </is>
      </c>
      <c r="F71" s="18" t="inlineStr">
        <is>
          <t>Owner and operator of retail stores offering mother and child products. The company offers maternity wear, fashion wear, mother and baby wellness products, furniture and furnishing products and safety accessories. It also offers infant and kids apparel and accessories, strollers and car seats, toys and game products.</t>
        </is>
      </c>
      <c r="G71" s="19" t="inlineStr">
        <is>
          <t>Consumer Products and Services (B2C)</t>
        </is>
      </c>
      <c r="H71" s="20" t="inlineStr">
        <is>
          <t>Retail</t>
        </is>
      </c>
      <c r="I71" s="21" t="inlineStr">
        <is>
          <t>Specialty Retail</t>
        </is>
      </c>
      <c r="J71" s="22" t="inlineStr">
        <is>
          <t>Accessories, Other Consumer Durables, Specialty Retail*</t>
        </is>
      </c>
      <c r="K71" s="23" t="inlineStr">
        <is>
          <t/>
        </is>
      </c>
      <c r="L71" s="24" t="inlineStr">
        <is>
          <t>baby toys, maternity wear, mother and children product, retail stores, wellness product</t>
        </is>
      </c>
      <c r="M71" s="25" t="inlineStr">
        <is>
          <t>Private Equity-Backed</t>
        </is>
      </c>
      <c r="N71" s="26" t="n">
        <v>92.57</v>
      </c>
      <c r="O71" s="27" t="inlineStr">
        <is>
          <t>Profitable</t>
        </is>
      </c>
      <c r="P71" s="28" t="inlineStr">
        <is>
          <t>Privately Held (backing)</t>
        </is>
      </c>
      <c r="Q71" s="29" t="inlineStr">
        <is>
          <t>Private Equity, Venture Capital</t>
        </is>
      </c>
      <c r="R71" s="30" t="inlineStr">
        <is>
          <t>www.mahindraretail.com</t>
        </is>
      </c>
      <c r="S71" s="31" t="inlineStr">
        <is>
          <t/>
        </is>
      </c>
      <c r="T71" s="32" t="inlineStr">
        <is>
          <t/>
        </is>
      </c>
      <c r="U71" s="33" t="inlineStr">
        <is>
          <t/>
        </is>
      </c>
      <c r="V71" s="34" t="inlineStr">
        <is>
          <t/>
        </is>
      </c>
      <c r="W71" s="35" t="n">
        <v>2007.0</v>
      </c>
      <c r="X71" s="36" t="inlineStr">
        <is>
          <t/>
        </is>
      </c>
      <c r="Y71" s="37" t="inlineStr">
        <is>
          <t/>
        </is>
      </c>
      <c r="Z71" s="38" t="inlineStr">
        <is>
          <t>Competitor (New) FirstCry</t>
        </is>
      </c>
      <c r="AA71" s="39" t="n">
        <v>3899.04</v>
      </c>
      <c r="AB71" s="40" t="inlineStr">
        <is>
          <t/>
        </is>
      </c>
      <c r="AC71" s="41" t="inlineStr">
        <is>
          <t/>
        </is>
      </c>
      <c r="AD71" s="42" t="inlineStr">
        <is>
          <t/>
        </is>
      </c>
      <c r="AE71" s="43" t="inlineStr">
        <is>
          <t/>
        </is>
      </c>
      <c r="AF71" s="44" t="inlineStr">
        <is>
          <t>FY 2015</t>
        </is>
      </c>
      <c r="AG71" s="45" t="inlineStr">
        <is>
          <t/>
        </is>
      </c>
      <c r="AH71" s="46" t="inlineStr">
        <is>
          <t/>
        </is>
      </c>
      <c r="AI71" s="47" t="inlineStr">
        <is>
          <t/>
        </is>
      </c>
      <c r="AJ71" s="48" t="inlineStr">
        <is>
          <t>55363-06P</t>
        </is>
      </c>
      <c r="AK71" s="49" t="inlineStr">
        <is>
          <t>Zhooben Bhiwandiwala</t>
        </is>
      </c>
      <c r="AL71" s="50" t="inlineStr">
        <is>
          <t>Chairman &amp; Member, Audit Committee</t>
        </is>
      </c>
      <c r="AM71" s="51" t="inlineStr">
        <is>
          <t>zbhiwandiwala@mahindra.com</t>
        </is>
      </c>
      <c r="AN71" s="52" t="inlineStr">
        <is>
          <t/>
        </is>
      </c>
      <c r="AO71" s="53" t="inlineStr">
        <is>
          <t>Bengaluru, India</t>
        </is>
      </c>
      <c r="AP71" s="54" t="inlineStr">
        <is>
          <t>Number 1, Prim Park, Primrose Road</t>
        </is>
      </c>
      <c r="AQ71" s="55" t="inlineStr">
        <is>
          <t>Off MG Road</t>
        </is>
      </c>
      <c r="AR71" s="56" t="inlineStr">
        <is>
          <t>Bengaluru</t>
        </is>
      </c>
      <c r="AS71" s="57" t="inlineStr">
        <is>
          <t>Karnataka</t>
        </is>
      </c>
      <c r="AT71" s="58" t="inlineStr">
        <is>
          <t>560025</t>
        </is>
      </c>
      <c r="AU71" s="59" t="inlineStr">
        <is>
          <t>India</t>
        </is>
      </c>
      <c r="AV71" s="60" t="inlineStr">
        <is>
          <t>+91 (0)80 4266 5000</t>
        </is>
      </c>
      <c r="AW71" s="61" t="inlineStr">
        <is>
          <t/>
        </is>
      </c>
      <c r="AX71" s="62" t="inlineStr">
        <is>
          <t>happytohelp@mahindra-retail.com</t>
        </is>
      </c>
      <c r="AY71" s="63" t="inlineStr">
        <is>
          <t>Asia</t>
        </is>
      </c>
      <c r="AZ71" s="64" t="inlineStr">
        <is>
          <t>South Asia</t>
        </is>
      </c>
      <c r="BA71" s="65" t="inlineStr">
        <is>
          <t>The company received INR 2 billion of development capital from Mahindra Partners in 2011.</t>
        </is>
      </c>
      <c r="BB71" s="66" t="inlineStr">
        <is>
          <t>ICICI Venture, Mahindra Partners</t>
        </is>
      </c>
      <c r="BC71" s="67" t="n">
        <v>2.0</v>
      </c>
      <c r="BD71" s="68" t="inlineStr">
        <is>
          <t/>
        </is>
      </c>
      <c r="BE71" s="69" t="inlineStr">
        <is>
          <t/>
        </is>
      </c>
      <c r="BF71" s="70" t="inlineStr">
        <is>
          <t/>
        </is>
      </c>
      <c r="BG71" s="71" t="inlineStr">
        <is>
          <t>ICICI Venture(www.iciciventure.com), Mahindra Partners(www.mahindrapartners.com)</t>
        </is>
      </c>
      <c r="BH71" s="72" t="inlineStr">
        <is>
          <t/>
        </is>
      </c>
      <c r="BI71" s="73" t="inlineStr">
        <is>
          <t/>
        </is>
      </c>
      <c r="BJ71" s="74" t="inlineStr">
        <is>
          <t/>
        </is>
      </c>
      <c r="BK71" s="75" t="inlineStr">
        <is>
          <t/>
        </is>
      </c>
      <c r="BL71" s="76" t="n">
        <v>39448.0</v>
      </c>
      <c r="BM71" s="77" t="inlineStr">
        <is>
          <t/>
        </is>
      </c>
      <c r="BN71" s="78" t="inlineStr">
        <is>
          <t/>
        </is>
      </c>
      <c r="BO71" s="79" t="inlineStr">
        <is>
          <t/>
        </is>
      </c>
      <c r="BP71" s="80" t="inlineStr">
        <is>
          <t/>
        </is>
      </c>
      <c r="BQ71" s="81" t="inlineStr">
        <is>
          <t>PE Growth/Expansion</t>
        </is>
      </c>
      <c r="BR71" s="82" t="inlineStr">
        <is>
          <t/>
        </is>
      </c>
      <c r="BS71" s="83" t="inlineStr">
        <is>
          <t/>
        </is>
      </c>
      <c r="BT71" s="84" t="inlineStr">
        <is>
          <t>Private Equity</t>
        </is>
      </c>
      <c r="BU71" s="85" t="inlineStr">
        <is>
          <t/>
        </is>
      </c>
      <c r="BV71" s="86" t="inlineStr">
        <is>
          <t/>
        </is>
      </c>
      <c r="BW71" s="87" t="inlineStr">
        <is>
          <t/>
        </is>
      </c>
      <c r="BX71" s="88" t="inlineStr">
        <is>
          <t>Completed</t>
        </is>
      </c>
      <c r="BY71" s="89" t="n">
        <v>40544.0</v>
      </c>
      <c r="BZ71" s="90" t="n">
        <v>43.61</v>
      </c>
      <c r="CA71" s="91" t="inlineStr">
        <is>
          <t>Actual</t>
        </is>
      </c>
      <c r="CB71" s="92" t="inlineStr">
        <is>
          <t/>
        </is>
      </c>
      <c r="CC71" s="93" t="inlineStr">
        <is>
          <t/>
        </is>
      </c>
      <c r="CD71" s="94" t="inlineStr">
        <is>
          <t>PE Growth/Expansion</t>
        </is>
      </c>
      <c r="CE71" s="95" t="inlineStr">
        <is>
          <t/>
        </is>
      </c>
      <c r="CF71" s="96" t="inlineStr">
        <is>
          <t/>
        </is>
      </c>
      <c r="CG71" s="97" t="inlineStr">
        <is>
          <t>Private Equity</t>
        </is>
      </c>
      <c r="CH71" s="98" t="inlineStr">
        <is>
          <t/>
        </is>
      </c>
      <c r="CI71" s="99" t="inlineStr">
        <is>
          <t/>
        </is>
      </c>
      <c r="CJ71" s="100" t="inlineStr">
        <is>
          <t/>
        </is>
      </c>
      <c r="CK71" s="101" t="inlineStr">
        <is>
          <t>Completed</t>
        </is>
      </c>
      <c r="CL71" s="102" t="inlineStr">
        <is>
          <t/>
        </is>
      </c>
      <c r="CM71" s="103" t="inlineStr">
        <is>
          <t/>
        </is>
      </c>
      <c r="CN71" s="104" t="n">
        <v>0.0</v>
      </c>
      <c r="CO71" s="105" t="n">
        <v>18.0</v>
      </c>
      <c r="CP71" s="106" t="n">
        <v>0.0</v>
      </c>
      <c r="CQ71" s="107" t="n">
        <v>0.0</v>
      </c>
      <c r="CR71" s="108" t="n">
        <v>0.0</v>
      </c>
      <c r="CS71" s="109" t="n">
        <v>14.0</v>
      </c>
      <c r="CT71" s="110" t="inlineStr">
        <is>
          <t/>
        </is>
      </c>
      <c r="CU71" s="111" t="inlineStr">
        <is>
          <t/>
        </is>
      </c>
      <c r="CV71" s="112" t="inlineStr">
        <is>
          <t/>
        </is>
      </c>
      <c r="CW71" s="113" t="inlineStr">
        <is>
          <t/>
        </is>
      </c>
      <c r="CX71" s="114" t="n">
        <v>0.0</v>
      </c>
      <c r="CY71" s="115" t="n">
        <v>11.0</v>
      </c>
      <c r="CZ71" s="116" t="inlineStr">
        <is>
          <t/>
        </is>
      </c>
      <c r="DA71" s="117" t="inlineStr">
        <is>
          <t/>
        </is>
      </c>
      <c r="DB71" s="118" t="n">
        <v>0.76</v>
      </c>
      <c r="DC71" s="119" t="n">
        <v>44.0</v>
      </c>
      <c r="DD71" s="120" t="n">
        <v>0.19</v>
      </c>
      <c r="DE71" s="121" t="n">
        <v>32.35</v>
      </c>
      <c r="DF71" s="122" t="n">
        <v>0.76</v>
      </c>
      <c r="DG71" s="123" t="n">
        <v>44.0</v>
      </c>
      <c r="DH71" s="124" t="inlineStr">
        <is>
          <t/>
        </is>
      </c>
      <c r="DI71" s="125" t="inlineStr">
        <is>
          <t/>
        </is>
      </c>
      <c r="DJ71" s="126" t="inlineStr">
        <is>
          <t/>
        </is>
      </c>
      <c r="DK71" s="127" t="inlineStr">
        <is>
          <t/>
        </is>
      </c>
      <c r="DL71" s="128" t="n">
        <v>0.76</v>
      </c>
      <c r="DM71" s="129" t="n">
        <v>44.0</v>
      </c>
      <c r="DN71" s="130" t="inlineStr">
        <is>
          <t/>
        </is>
      </c>
      <c r="DO71" s="131" t="inlineStr">
        <is>
          <t/>
        </is>
      </c>
      <c r="DP71" s="132" t="inlineStr">
        <is>
          <t/>
        </is>
      </c>
      <c r="DQ71" s="133" t="inlineStr">
        <is>
          <t/>
        </is>
      </c>
      <c r="DR71" s="134" t="inlineStr">
        <is>
          <t/>
        </is>
      </c>
      <c r="DS71" s="135" t="n">
        <v>26.0</v>
      </c>
      <c r="DT71" s="136" t="n">
        <v>1.0</v>
      </c>
      <c r="DU71" s="137" t="n">
        <v>4.0</v>
      </c>
      <c r="DV71" s="138" t="inlineStr">
        <is>
          <t/>
        </is>
      </c>
      <c r="DW71" s="139" t="inlineStr">
        <is>
          <t/>
        </is>
      </c>
      <c r="DX71" s="140" t="inlineStr">
        <is>
          <t/>
        </is>
      </c>
      <c r="DY71" s="141" t="inlineStr">
        <is>
          <t>PitchBook Research</t>
        </is>
      </c>
      <c r="DZ71" s="142" t="n">
        <v>43351.0</v>
      </c>
      <c r="EA71" s="143" t="inlineStr">
        <is>
          <t/>
        </is>
      </c>
      <c r="EB71" s="144" t="inlineStr">
        <is>
          <t/>
        </is>
      </c>
      <c r="EC71" s="145" t="inlineStr">
        <is>
          <t/>
        </is>
      </c>
      <c r="ED71" s="547">
        <f>HYPERLINK("https://my.pitchbook.com?c=55660-69", "View company online")</f>
      </c>
    </row>
    <row r="72">
      <c r="A72" s="147" t="inlineStr">
        <is>
          <t>40815-91</t>
        </is>
      </c>
      <c r="B72" s="148" t="inlineStr">
        <is>
          <t>Prada (HKG: 01913)</t>
        </is>
      </c>
      <c r="C72" s="149" t="inlineStr">
        <is>
          <t>Fratelli Prada</t>
        </is>
      </c>
      <c r="D72" s="150" t="inlineStr">
        <is>
          <t/>
        </is>
      </c>
      <c r="E72" s="151" t="inlineStr">
        <is>
          <t>40815-91</t>
        </is>
      </c>
      <c r="F72" s="152" t="inlineStr">
        <is>
          <t>Prada is a family-owned holding comprising the 100-year-old Prada brand, a younger and more fashion-oriented Miu Miu, and two classic shoe brands: Church's and Car Shoe. The company generates more than EUR 3 billion in sales, with over 80% from the Prada brand. Leather goods make up 56% of revenue, ready-to-wear around 20%, footwear around 20%, and licensing (mainly eyewear and fragrances) 2%. Regionally, Europe is the biggest region with 39% of sales, followed by Asia-Pacific (32%), 15% in the Americas, and 11% in Japan.</t>
        </is>
      </c>
      <c r="G72" s="153" t="inlineStr">
        <is>
          <t>Consumer Products and Services (B2C)</t>
        </is>
      </c>
      <c r="H72" s="154" t="inlineStr">
        <is>
          <t>Apparel and Accessories</t>
        </is>
      </c>
      <c r="I72" s="155" t="inlineStr">
        <is>
          <t>Clothing</t>
        </is>
      </c>
      <c r="J72" s="156" t="inlineStr">
        <is>
          <t>Clothing*, Luxury Goods, Other Apparel</t>
        </is>
      </c>
      <c r="K72" s="157" t="inlineStr">
        <is>
          <t>Manufacturing</t>
        </is>
      </c>
      <c r="L72" s="158" t="inlineStr">
        <is>
          <t>luxury goods, retail franchise</t>
        </is>
      </c>
      <c r="M72" s="159" t="inlineStr">
        <is>
          <t>Corporation</t>
        </is>
      </c>
      <c r="N72" s="160" t="n">
        <v>298.45</v>
      </c>
      <c r="O72" s="161" t="inlineStr">
        <is>
          <t>Profitable</t>
        </is>
      </c>
      <c r="P72" s="162" t="inlineStr">
        <is>
          <t>Publicly Held</t>
        </is>
      </c>
      <c r="Q72" s="163" t="inlineStr">
        <is>
          <t>M&amp;A, Private Equity, Publicly Listed</t>
        </is>
      </c>
      <c r="R72" s="164" t="inlineStr">
        <is>
          <t>www.pradagroup.com</t>
        </is>
      </c>
      <c r="S72" s="165" t="n">
        <v>13197.0</v>
      </c>
      <c r="T72" s="166" t="inlineStr">
        <is>
          <t>2011: 7740, 2012: 8067, 2016: 12414, 2017: 12326, 2018: 13197</t>
        </is>
      </c>
      <c r="U72" s="167" t="inlineStr">
        <is>
          <t>HKG</t>
        </is>
      </c>
      <c r="V72" s="168" t="inlineStr">
        <is>
          <t>01913</t>
        </is>
      </c>
      <c r="W72" s="169" t="n">
        <v>1913.0</v>
      </c>
      <c r="X72" s="170" t="inlineStr">
        <is>
          <t/>
        </is>
      </c>
      <c r="Y72" s="171" t="inlineStr">
        <is>
          <t/>
        </is>
      </c>
      <c r="Z72" s="172" t="inlineStr">
        <is>
          <t/>
        </is>
      </c>
      <c r="AA72" s="173" t="n">
        <v>3707.94</v>
      </c>
      <c r="AB72" s="174" t="n">
        <v>2670.01</v>
      </c>
      <c r="AC72" s="175" t="n">
        <v>242.44</v>
      </c>
      <c r="AD72" s="176" t="inlineStr">
        <is>
          <t/>
        </is>
      </c>
      <c r="AE72" s="177" t="n">
        <v>382.91</v>
      </c>
      <c r="AF72" s="178" t="inlineStr">
        <is>
          <t>FY 2018</t>
        </is>
      </c>
      <c r="AG72" s="179" t="n">
        <v>382.91</v>
      </c>
      <c r="AH72" s="180" t="n">
        <v>7645.77</v>
      </c>
      <c r="AI72" s="181" t="n">
        <v>-204.0</v>
      </c>
      <c r="AJ72" s="182" t="inlineStr">
        <is>
          <t>141070-60P</t>
        </is>
      </c>
      <c r="AK72" s="183" t="inlineStr">
        <is>
          <t>Alessandra Cozzani</t>
        </is>
      </c>
      <c r="AL72" s="184" t="inlineStr">
        <is>
          <t>Chief Financial Officer &amp; Executive Director</t>
        </is>
      </c>
      <c r="AM72" s="185" t="inlineStr">
        <is>
          <t>alessandra.cozzani@pradagroup.com</t>
        </is>
      </c>
      <c r="AN72" s="186" t="inlineStr">
        <is>
          <t>+39 02 5502 81</t>
        </is>
      </c>
      <c r="AO72" s="187" t="inlineStr">
        <is>
          <t>Milan, Italy</t>
        </is>
      </c>
      <c r="AP72" s="188" t="inlineStr">
        <is>
          <t>Via A. Fogazzaro</t>
        </is>
      </c>
      <c r="AQ72" s="189" t="inlineStr">
        <is>
          <t>28</t>
        </is>
      </c>
      <c r="AR72" s="190" t="inlineStr">
        <is>
          <t>Milan</t>
        </is>
      </c>
      <c r="AS72" s="191" t="inlineStr">
        <is>
          <t/>
        </is>
      </c>
      <c r="AT72" s="192" t="inlineStr">
        <is>
          <t>20135</t>
        </is>
      </c>
      <c r="AU72" s="193" t="inlineStr">
        <is>
          <t>Italy</t>
        </is>
      </c>
      <c r="AV72" s="194" t="inlineStr">
        <is>
          <t>+39 02 5502 81</t>
        </is>
      </c>
      <c r="AW72" s="195" t="inlineStr">
        <is>
          <t>+39 02 5502 8859</t>
        </is>
      </c>
      <c r="AX72" s="196" t="inlineStr">
        <is>
          <t/>
        </is>
      </c>
      <c r="AY72" s="197" t="inlineStr">
        <is>
          <t>Europe</t>
        </is>
      </c>
      <c r="AZ72" s="198" t="inlineStr">
        <is>
          <t>Southern Europe</t>
        </is>
      </c>
      <c r="BA72" s="199" t="inlineStr">
        <is>
          <t>The company raised HKD 16.71 billion in its initial public offering on the Hong Kong stock exchange under the ticker symbol of 1913 on June 24, 2011. A total of 423,276,000 shares were sold at HKD 39.5 per share. After the offering, there was a total of 2,558,824,000 outstanding shares (excluding the over-allotment option) priced at HKD 39.5 per share, valuing the company at HKD 101.07 billion. The company intends to use the net proceeds for the expansion of its DOS network and the floor space expansion, renovation or relocation of its existing DOS, for the repayment of bank loans and for working capital and other general corporate purposes.</t>
        </is>
      </c>
      <c r="BB72" s="200" t="inlineStr">
        <is>
          <t/>
        </is>
      </c>
      <c r="BC72" s="201" t="inlineStr">
        <is>
          <t/>
        </is>
      </c>
      <c r="BD72" s="202" t="inlineStr">
        <is>
          <t/>
        </is>
      </c>
      <c r="BE72" s="203" t="inlineStr">
        <is>
          <t>Intesa Sanpaolo</t>
        </is>
      </c>
      <c r="BF72" s="204" t="inlineStr">
        <is>
          <t>Clessidra, Investindustrial</t>
        </is>
      </c>
      <c r="BG72" s="205" t="inlineStr">
        <is>
          <t/>
        </is>
      </c>
      <c r="BH72" s="206" t="inlineStr">
        <is>
          <t>Intesa Sanpaolo(www.group.intesasanpaolo.com)</t>
        </is>
      </c>
      <c r="BI72" s="207" t="inlineStr">
        <is>
          <t>Clessidra(www.clessidrasgr.it), Investindustrial(www.investindustrial.com)</t>
        </is>
      </c>
      <c r="BJ72" s="208" t="inlineStr">
        <is>
          <t>Asters(Legal Advisor), Brand X Research(Consulting), CLSA(Advisor: General), Mishcon de Reya(Legal Advisor), Renell Wertpapierhandelsbank(Advisor: General), Somerley(Advisor: General)</t>
        </is>
      </c>
      <c r="BK72" s="209" t="inlineStr">
        <is>
          <t>Banca IMI(Underwriter), Bonelli Erede Pappalardo Studio Legale(Legal Advisor), CLSA(Advisor: General), Davis Polk &amp; Wardwell(Legal Advisor), Deloitte(Accounting), Elixir Advisors(Underwriter), Jun He Law Offices(Legal Advisor), Slaughter and May(Legal Advisor), The Goldman Sachs Group(Underwriter), Ukrsotsbank(Underwriter)</t>
        </is>
      </c>
      <c r="BL72" s="210" t="n">
        <v>37043.0</v>
      </c>
      <c r="BM72" s="211" t="inlineStr">
        <is>
          <t/>
        </is>
      </c>
      <c r="BN72" s="212" t="inlineStr">
        <is>
          <t/>
        </is>
      </c>
      <c r="BO72" s="213" t="inlineStr">
        <is>
          <t/>
        </is>
      </c>
      <c r="BP72" s="214" t="inlineStr">
        <is>
          <t/>
        </is>
      </c>
      <c r="BQ72" s="215" t="inlineStr">
        <is>
          <t>IPO</t>
        </is>
      </c>
      <c r="BR72" s="216" t="inlineStr">
        <is>
          <t/>
        </is>
      </c>
      <c r="BS72" s="217" t="inlineStr">
        <is>
          <t/>
        </is>
      </c>
      <c r="BT72" s="218" t="inlineStr">
        <is>
          <t>Public Investment</t>
        </is>
      </c>
      <c r="BU72" s="219" t="inlineStr">
        <is>
          <t/>
        </is>
      </c>
      <c r="BV72" s="220" t="inlineStr">
        <is>
          <t/>
        </is>
      </c>
      <c r="BW72" s="221" t="inlineStr">
        <is>
          <t/>
        </is>
      </c>
      <c r="BX72" s="222" t="inlineStr">
        <is>
          <t>Failed/Cancelled</t>
        </is>
      </c>
      <c r="BY72" s="223" t="n">
        <v>40718.0</v>
      </c>
      <c r="BZ72" s="224" t="n">
        <v>2147.56</v>
      </c>
      <c r="CA72" s="225" t="inlineStr">
        <is>
          <t>Actual</t>
        </is>
      </c>
      <c r="CB72" s="226" t="n">
        <v>12982.63</v>
      </c>
      <c r="CC72" s="227" t="inlineStr">
        <is>
          <t>Estimated</t>
        </is>
      </c>
      <c r="CD72" s="228" t="inlineStr">
        <is>
          <t>IPO</t>
        </is>
      </c>
      <c r="CE72" s="229" t="inlineStr">
        <is>
          <t/>
        </is>
      </c>
      <c r="CF72" s="230" t="inlineStr">
        <is>
          <t/>
        </is>
      </c>
      <c r="CG72" s="231" t="inlineStr">
        <is>
          <t>Public Investment</t>
        </is>
      </c>
      <c r="CH72" s="232" t="inlineStr">
        <is>
          <t/>
        </is>
      </c>
      <c r="CI72" s="233" t="inlineStr">
        <is>
          <t/>
        </is>
      </c>
      <c r="CJ72" s="234" t="inlineStr">
        <is>
          <t/>
        </is>
      </c>
      <c r="CK72" s="235" t="inlineStr">
        <is>
          <t>Completed</t>
        </is>
      </c>
      <c r="CL72" s="236" t="inlineStr">
        <is>
          <t/>
        </is>
      </c>
      <c r="CM72" s="237" t="inlineStr">
        <is>
          <t/>
        </is>
      </c>
      <c r="CN72" s="238" t="n">
        <v>-0.02</v>
      </c>
      <c r="CO72" s="239" t="n">
        <v>16.0</v>
      </c>
      <c r="CP72" s="240" t="n">
        <v>-0.02</v>
      </c>
      <c r="CQ72" s="241" t="n">
        <v>-1471.65</v>
      </c>
      <c r="CR72" s="242" t="n">
        <v>-0.1</v>
      </c>
      <c r="CS72" s="243" t="n">
        <v>13.0</v>
      </c>
      <c r="CT72" s="244" t="n">
        <v>0.07</v>
      </c>
      <c r="CU72" s="245" t="n">
        <v>68.0</v>
      </c>
      <c r="CV72" s="246" t="n">
        <v>0.08</v>
      </c>
      <c r="CW72" s="247" t="n">
        <v>82.0</v>
      </c>
      <c r="CX72" s="248" t="n">
        <v>-0.28</v>
      </c>
      <c r="CY72" s="249" t="n">
        <v>8.0</v>
      </c>
      <c r="CZ72" s="250" t="n">
        <v>0.11</v>
      </c>
      <c r="DA72" s="251" t="n">
        <v>78.0</v>
      </c>
      <c r="DB72" s="252" t="n">
        <v>2553.01</v>
      </c>
      <c r="DC72" s="253" t="n">
        <v>100.0</v>
      </c>
      <c r="DD72" s="254" t="n">
        <v>10.72</v>
      </c>
      <c r="DE72" s="255" t="n">
        <v>0.42</v>
      </c>
      <c r="DF72" s="256" t="n">
        <v>19.14</v>
      </c>
      <c r="DG72" s="257" t="n">
        <v>94.0</v>
      </c>
      <c r="DH72" s="258" t="n">
        <v>5086.88</v>
      </c>
      <c r="DI72" s="259" t="n">
        <v>100.0</v>
      </c>
      <c r="DJ72" s="260" t="n">
        <v>2.26</v>
      </c>
      <c r="DK72" s="261" t="n">
        <v>67.0</v>
      </c>
      <c r="DL72" s="262" t="n">
        <v>36.03</v>
      </c>
      <c r="DM72" s="263" t="n">
        <v>97.0</v>
      </c>
      <c r="DN72" s="264" t="n">
        <v>2816.24</v>
      </c>
      <c r="DO72" s="265" t="n">
        <v>100.0</v>
      </c>
      <c r="DP72" s="266" t="n">
        <v>1611.0</v>
      </c>
      <c r="DQ72" s="267" t="n">
        <v>-19.0</v>
      </c>
      <c r="DR72" s="268" t="n">
        <v>-1.17</v>
      </c>
      <c r="DS72" s="269" t="n">
        <v>1224.0</v>
      </c>
      <c r="DT72" s="270" t="n">
        <v>2.0</v>
      </c>
      <c r="DU72" s="271" t="n">
        <v>0.16</v>
      </c>
      <c r="DV72" s="272" t="n">
        <v>1010739.0</v>
      </c>
      <c r="DW72" s="273" t="n">
        <v>693.0</v>
      </c>
      <c r="DX72" s="274" t="n">
        <v>0.07</v>
      </c>
      <c r="DY72" s="275" t="inlineStr">
        <is>
          <t>PitchBook Research</t>
        </is>
      </c>
      <c r="DZ72" s="276" t="n">
        <v>43525.0</v>
      </c>
      <c r="EA72" s="277" t="n">
        <v>12982.63</v>
      </c>
      <c r="EB72" s="278" t="n">
        <v>40718.0</v>
      </c>
      <c r="EC72" s="279" t="inlineStr">
        <is>
          <t>IPO</t>
        </is>
      </c>
      <c r="ED72" s="548">
        <f>HYPERLINK("https://my.pitchbook.com?c=40815-91", "View company online")</f>
      </c>
    </row>
    <row r="73">
      <c r="A73" s="13" t="inlineStr">
        <is>
          <t>61787-26</t>
        </is>
      </c>
      <c r="B73" s="14" t="inlineStr">
        <is>
          <t>ANTA Sports Products (HKG: 02020)</t>
        </is>
      </c>
      <c r="C73" s="15" t="inlineStr">
        <is>
          <t/>
        </is>
      </c>
      <c r="D73" s="16" t="inlineStr">
        <is>
          <t>ANTA</t>
        </is>
      </c>
      <c r="E73" s="17" t="inlineStr">
        <is>
          <t>61787-26</t>
        </is>
      </c>
      <c r="F73" s="18" t="inlineStr">
        <is>
          <t>Anta Sports is the largest Chinese sportswear company, engaging in the design, manufacturing, and marketing of sportswear. Brands under Anta's management include the Anta core brand, Fila, Descente, Sprandi, Kolon, and KingKow. As of the end of 2017, the company had 10,983 stores in China, of which 9,467 were Anta stores and 1,086 were Fila stores.</t>
        </is>
      </c>
      <c r="G73" s="19" t="inlineStr">
        <is>
          <t>Consumer Products and Services (B2C)</t>
        </is>
      </c>
      <c r="H73" s="20" t="inlineStr">
        <is>
          <t>Consumer Durables</t>
        </is>
      </c>
      <c r="I73" s="21" t="inlineStr">
        <is>
          <t>Recreational Goods</t>
        </is>
      </c>
      <c r="J73" s="22" t="inlineStr">
        <is>
          <t>Accessories, Recreational Goods*</t>
        </is>
      </c>
      <c r="K73" s="23" t="inlineStr">
        <is>
          <t>Manufacturing</t>
        </is>
      </c>
      <c r="L73" s="24" t="inlineStr">
        <is>
          <t>athletic apparel, sporting goods, sports footwear, sports product</t>
        </is>
      </c>
      <c r="M73" s="25" t="inlineStr">
        <is>
          <t>Corporate Backed or Acquired</t>
        </is>
      </c>
      <c r="N73" s="26" t="n">
        <v>405.15</v>
      </c>
      <c r="O73" s="27" t="inlineStr">
        <is>
          <t>Profitable</t>
        </is>
      </c>
      <c r="P73" s="28" t="inlineStr">
        <is>
          <t>Publicly Held</t>
        </is>
      </c>
      <c r="Q73" s="29" t="inlineStr">
        <is>
          <t>M&amp;A, Private Equity, Publicly Listed</t>
        </is>
      </c>
      <c r="R73" s="30" t="inlineStr">
        <is>
          <t>www.anta.com</t>
        </is>
      </c>
      <c r="S73" s="31" t="n">
        <v>25000.0</v>
      </c>
      <c r="T73" s="32" t="inlineStr">
        <is>
          <t>2007: 10280, 2008: 10435, 2009: 13300, 2010: 12500, 2011: 13500, 2012: 11900, 2013: 12700, 2014: 14300, 2015: 16700, 2016: 17800, 2017: 18800, 2018: 25000</t>
        </is>
      </c>
      <c r="U73" s="33" t="inlineStr">
        <is>
          <t>HKG</t>
        </is>
      </c>
      <c r="V73" s="34" t="inlineStr">
        <is>
          <t>02020</t>
        </is>
      </c>
      <c r="W73" s="35" t="n">
        <v>1994.0</v>
      </c>
      <c r="X73" s="36" t="inlineStr">
        <is>
          <t/>
        </is>
      </c>
      <c r="Y73" s="37" t="inlineStr">
        <is>
          <t/>
        </is>
      </c>
      <c r="Z73" s="38" t="inlineStr">
        <is>
          <t/>
        </is>
      </c>
      <c r="AA73" s="39" t="n">
        <v>3643.09</v>
      </c>
      <c r="AB73" s="40" t="n">
        <v>1917.87</v>
      </c>
      <c r="AC73" s="41" t="n">
        <v>620.21</v>
      </c>
      <c r="AD73" s="42" t="n">
        <v>11637.16</v>
      </c>
      <c r="AE73" s="43" t="n">
        <v>897.07</v>
      </c>
      <c r="AF73" s="44" t="inlineStr">
        <is>
          <t>FY 2018</t>
        </is>
      </c>
      <c r="AG73" s="45" t="n">
        <v>845.34</v>
      </c>
      <c r="AH73" s="46" t="n">
        <v>17704.22</v>
      </c>
      <c r="AI73" s="47" t="n">
        <v>-1276.04</v>
      </c>
      <c r="AJ73" s="48" t="inlineStr">
        <is>
          <t>97628-95P</t>
        </is>
      </c>
      <c r="AK73" s="49" t="inlineStr">
        <is>
          <t>Ding Shijia</t>
        </is>
      </c>
      <c r="AL73" s="50" t="inlineStr">
        <is>
          <t>Deputy Chairman &amp; Executive Director</t>
        </is>
      </c>
      <c r="AM73" s="51" t="inlineStr">
        <is>
          <t>ding.shijia@anta.com</t>
        </is>
      </c>
      <c r="AN73" s="52" t="inlineStr">
        <is>
          <t/>
        </is>
      </c>
      <c r="AO73" s="53" t="inlineStr">
        <is>
          <t>Xiamen, China</t>
        </is>
      </c>
      <c r="AP73" s="54" t="inlineStr">
        <is>
          <t>No.99 Jiayi Road</t>
        </is>
      </c>
      <c r="AQ73" s="55" t="inlineStr">
        <is>
          <t>Guanyinshan</t>
        </is>
      </c>
      <c r="AR73" s="56" t="inlineStr">
        <is>
          <t>Xiamen</t>
        </is>
      </c>
      <c r="AS73" s="57" t="inlineStr">
        <is>
          <t>Fujiang</t>
        </is>
      </c>
      <c r="AT73" s="58" t="inlineStr">
        <is>
          <t>361008</t>
        </is>
      </c>
      <c r="AU73" s="59" t="inlineStr">
        <is>
          <t>China</t>
        </is>
      </c>
      <c r="AV73" s="60" t="inlineStr">
        <is>
          <t/>
        </is>
      </c>
      <c r="AW73" s="61" t="inlineStr">
        <is>
          <t/>
        </is>
      </c>
      <c r="AX73" s="62" t="inlineStr">
        <is>
          <t/>
        </is>
      </c>
      <c r="AY73" s="63" t="inlineStr">
        <is>
          <t>Asia</t>
        </is>
      </c>
      <c r="AZ73" s="64" t="inlineStr">
        <is>
          <t>East Asia</t>
        </is>
      </c>
      <c r="BA73" s="65" t="inlineStr">
        <is>
          <t>Anda Holdings International, Anda Investments Capital and other undisclosed investors acquired a 7% stake in the company (HKG: 02020) for HKD 3.79 billion on March 22, 2017.</t>
        </is>
      </c>
      <c r="BB73" s="66" t="inlineStr">
        <is>
          <t>Anda Holdings International, Anda Investments Capital</t>
        </is>
      </c>
      <c r="BC73" s="67" t="n">
        <v>2.0</v>
      </c>
      <c r="BD73" s="68" t="inlineStr">
        <is>
          <t/>
        </is>
      </c>
      <c r="BE73" s="69" t="inlineStr">
        <is>
          <t/>
        </is>
      </c>
      <c r="BF73" s="70" t="inlineStr">
        <is>
          <t/>
        </is>
      </c>
      <c r="BG73" s="71" t="inlineStr">
        <is>
          <t>Anda Holdings International(www.andahold.com)</t>
        </is>
      </c>
      <c r="BH73" s="72" t="inlineStr">
        <is>
          <t/>
        </is>
      </c>
      <c r="BI73" s="73" t="inlineStr">
        <is>
          <t/>
        </is>
      </c>
      <c r="BJ73" s="74" t="inlineStr">
        <is>
          <t>Hejun Group(Consulting)</t>
        </is>
      </c>
      <c r="BK73" s="75" t="inlineStr">
        <is>
          <t>Commerce &amp; Finance Law Offices(Legal Advisor), Conyers Dill &amp; Pearman(Legal Advisor), Coudert Brothers(Legal Advisor), KPMG(Accounting), Morgan Stanley(Placement Agent), Norton Rose Fulbright(Legal Advisor)</t>
        </is>
      </c>
      <c r="BL73" s="76" t="n">
        <v>39273.0</v>
      </c>
      <c r="BM73" s="77" t="n">
        <v>405.15</v>
      </c>
      <c r="BN73" s="78" t="inlineStr">
        <is>
          <t>Actual</t>
        </is>
      </c>
      <c r="BO73" s="79" t="n">
        <v>1620.58</v>
      </c>
      <c r="BP73" s="80" t="inlineStr">
        <is>
          <t>Estimated</t>
        </is>
      </c>
      <c r="BQ73" s="81" t="inlineStr">
        <is>
          <t>IPO</t>
        </is>
      </c>
      <c r="BR73" s="82" t="inlineStr">
        <is>
          <t/>
        </is>
      </c>
      <c r="BS73" s="83" t="inlineStr">
        <is>
          <t/>
        </is>
      </c>
      <c r="BT73" s="84" t="inlineStr">
        <is>
          <t>Public Investment</t>
        </is>
      </c>
      <c r="BU73" s="85" t="inlineStr">
        <is>
          <t/>
        </is>
      </c>
      <c r="BV73" s="86" t="inlineStr">
        <is>
          <t/>
        </is>
      </c>
      <c r="BW73" s="87" t="inlineStr">
        <is>
          <t/>
        </is>
      </c>
      <c r="BX73" s="88" t="inlineStr">
        <is>
          <t>Completed</t>
        </is>
      </c>
      <c r="BY73" s="89" t="n">
        <v>42816.0</v>
      </c>
      <c r="BZ73" s="90" t="n">
        <v>488.07</v>
      </c>
      <c r="CA73" s="91" t="inlineStr">
        <is>
          <t>Actual</t>
        </is>
      </c>
      <c r="CB73" s="92" t="n">
        <v>6972.48</v>
      </c>
      <c r="CC73" s="93" t="inlineStr">
        <is>
          <t>Estimated</t>
        </is>
      </c>
      <c r="CD73" s="94" t="inlineStr">
        <is>
          <t>Secondary Transaction - Open Market</t>
        </is>
      </c>
      <c r="CE73" s="95" t="inlineStr">
        <is>
          <t/>
        </is>
      </c>
      <c r="CF73" s="96" t="inlineStr">
        <is>
          <t/>
        </is>
      </c>
      <c r="CG73" s="97" t="inlineStr">
        <is>
          <t>Corporate</t>
        </is>
      </c>
      <c r="CH73" s="98" t="inlineStr">
        <is>
          <t/>
        </is>
      </c>
      <c r="CI73" s="99" t="inlineStr">
        <is>
          <t/>
        </is>
      </c>
      <c r="CJ73" s="100" t="inlineStr">
        <is>
          <t/>
        </is>
      </c>
      <c r="CK73" s="101" t="inlineStr">
        <is>
          <t>Completed</t>
        </is>
      </c>
      <c r="CL73" s="102" t="inlineStr">
        <is>
          <t/>
        </is>
      </c>
      <c r="CM73" s="103" t="inlineStr">
        <is>
          <t/>
        </is>
      </c>
      <c r="CN73" s="104" t="n">
        <v>0.1</v>
      </c>
      <c r="CO73" s="105" t="n">
        <v>85.0</v>
      </c>
      <c r="CP73" s="106" t="n">
        <v>0.06</v>
      </c>
      <c r="CQ73" s="107" t="n">
        <v>151.55</v>
      </c>
      <c r="CR73" s="108" t="n">
        <v>0.26</v>
      </c>
      <c r="CS73" s="109" t="n">
        <v>91.0</v>
      </c>
      <c r="CT73" s="110" t="n">
        <v>-0.05</v>
      </c>
      <c r="CU73" s="111" t="n">
        <v>15.0</v>
      </c>
      <c r="CV73" s="112" t="inlineStr">
        <is>
          <t/>
        </is>
      </c>
      <c r="CW73" s="113" t="inlineStr">
        <is>
          <t/>
        </is>
      </c>
      <c r="CX73" s="114" t="n">
        <v>0.26</v>
      </c>
      <c r="CY73" s="115" t="n">
        <v>90.0</v>
      </c>
      <c r="CZ73" s="116" t="n">
        <v>-0.16</v>
      </c>
      <c r="DA73" s="117" t="n">
        <v>4.0</v>
      </c>
      <c r="DB73" s="118" t="n">
        <v>5.86</v>
      </c>
      <c r="DC73" s="119" t="n">
        <v>85.0</v>
      </c>
      <c r="DD73" s="120" t="n">
        <v>0.73</v>
      </c>
      <c r="DE73" s="121" t="n">
        <v>14.3</v>
      </c>
      <c r="DF73" s="122" t="n">
        <v>5.85</v>
      </c>
      <c r="DG73" s="123" t="n">
        <v>85.0</v>
      </c>
      <c r="DH73" s="124" t="n">
        <v>5.88</v>
      </c>
      <c r="DI73" s="125" t="n">
        <v>80.0</v>
      </c>
      <c r="DJ73" s="126" t="inlineStr">
        <is>
          <t/>
        </is>
      </c>
      <c r="DK73" s="127" t="inlineStr">
        <is>
          <t/>
        </is>
      </c>
      <c r="DL73" s="128" t="n">
        <v>5.85</v>
      </c>
      <c r="DM73" s="129" t="n">
        <v>84.0</v>
      </c>
      <c r="DN73" s="130" t="n">
        <v>5.0</v>
      </c>
      <c r="DO73" s="131" t="n">
        <v>79.0</v>
      </c>
      <c r="DP73" s="132" t="inlineStr">
        <is>
          <t/>
        </is>
      </c>
      <c r="DQ73" s="133" t="inlineStr">
        <is>
          <t/>
        </is>
      </c>
      <c r="DR73" s="134" t="inlineStr">
        <is>
          <t/>
        </is>
      </c>
      <c r="DS73" s="135" t="n">
        <v>198.0</v>
      </c>
      <c r="DT73" s="136" t="n">
        <v>1.0</v>
      </c>
      <c r="DU73" s="137" t="n">
        <v>0.51</v>
      </c>
      <c r="DV73" s="138" t="n">
        <v>1796.0</v>
      </c>
      <c r="DW73" s="139" t="n">
        <v>-4.0</v>
      </c>
      <c r="DX73" s="140" t="n">
        <v>-0.22</v>
      </c>
      <c r="DY73" s="141" t="inlineStr">
        <is>
          <t>PitchBook Research</t>
        </is>
      </c>
      <c r="DZ73" s="142" t="n">
        <v>43515.0</v>
      </c>
      <c r="EA73" s="143" t="n">
        <v>6972.48</v>
      </c>
      <c r="EB73" s="144" t="n">
        <v>42816.0</v>
      </c>
      <c r="EC73" s="145" t="inlineStr">
        <is>
          <t>Secondary Transaction - Open Market</t>
        </is>
      </c>
      <c r="ED73" s="547">
        <f>HYPERLINK("https://my.pitchbook.com?c=61787-26", "View company online")</f>
      </c>
    </row>
    <row r="74">
      <c r="A74" s="147" t="inlineStr">
        <is>
          <t>51029-65</t>
        </is>
      </c>
      <c r="B74" s="148" t="inlineStr">
        <is>
          <t>Burberry Group (LON: BRBY)</t>
        </is>
      </c>
      <c r="C74" s="149" t="inlineStr">
        <is>
          <t/>
        </is>
      </c>
      <c r="D74" s="150" t="inlineStr">
        <is>
          <t>Burberry</t>
        </is>
      </c>
      <c r="E74" s="151" t="inlineStr">
        <is>
          <t>51029-65</t>
        </is>
      </c>
      <c r="F74" s="152" t="inlineStr">
        <is>
          <t>Burberry is an over 160-year-old British luxury monobrand company best known for its outerwear and signature plaid. It has a global presence with 36% of revenue generated in Europe, 40% in Asia, and 24% in North America. The Chinese are Burberry's most important customers, accounting for more than 30% of sales both at home and abroad. Burberry's product breakdown is approximately 50/50 between new assortment and replenishment items. Apparel contributes slightly over 50% of sales, with slightly less than 30% contributed from the core outerwear area.</t>
        </is>
      </c>
      <c r="G74" s="153" t="inlineStr">
        <is>
          <t>Consumer Products and Services (B2C)</t>
        </is>
      </c>
      <c r="H74" s="154" t="inlineStr">
        <is>
          <t>Apparel and Accessories</t>
        </is>
      </c>
      <c r="I74" s="155" t="inlineStr">
        <is>
          <t>Accessories</t>
        </is>
      </c>
      <c r="J74" s="156" t="inlineStr">
        <is>
          <t>Accessories*, Luxury Goods</t>
        </is>
      </c>
      <c r="K74" s="157" t="inlineStr">
        <is>
          <t>Manufacturing</t>
        </is>
      </c>
      <c r="L74" s="158" t="inlineStr">
        <is>
          <t>apparel seller, branding clothing, luxury clothing</t>
        </is>
      </c>
      <c r="M74" s="159" t="inlineStr">
        <is>
          <t>Corporate Backed or Acquired</t>
        </is>
      </c>
      <c r="N74" s="160" t="n">
        <v>714.89</v>
      </c>
      <c r="O74" s="161" t="inlineStr">
        <is>
          <t>Profitable</t>
        </is>
      </c>
      <c r="P74" s="162" t="inlineStr">
        <is>
          <t>Publicly Held</t>
        </is>
      </c>
      <c r="Q74" s="163" t="inlineStr">
        <is>
          <t>M&amp;A, Publicly Listed</t>
        </is>
      </c>
      <c r="R74" s="164" t="inlineStr">
        <is>
          <t>www.burberryplc.com</t>
        </is>
      </c>
      <c r="S74" s="165" t="n">
        <v>10122.0</v>
      </c>
      <c r="T74" s="166" t="inlineStr">
        <is>
          <t>2000: 2268, 2001: 2848, 2002: 3072, 2003: 3638, 2004: 3860, 2005: 4122, 2006: 4643, 2007: 5210, 2008: 5653, 2009: 6206, 2010: 5606, 2011: 6679, 2012: 7985, 2013: 8861, 2014: 9698, 2015: 10851, 2016: 10178, 2017: 9826, 2018: 10122</t>
        </is>
      </c>
      <c r="U74" s="167" t="inlineStr">
        <is>
          <t>LON</t>
        </is>
      </c>
      <c r="V74" s="168" t="inlineStr">
        <is>
          <t>BRBY</t>
        </is>
      </c>
      <c r="W74" s="169" t="n">
        <v>1856.0</v>
      </c>
      <c r="X74" s="170" t="inlineStr">
        <is>
          <t/>
        </is>
      </c>
      <c r="Y74" s="171" t="inlineStr">
        <is>
          <t/>
        </is>
      </c>
      <c r="Z74" s="172" t="inlineStr">
        <is>
          <t>News (New) </t>
        </is>
      </c>
      <c r="AA74" s="173" t="n">
        <v>3615.17</v>
      </c>
      <c r="AB74" s="174" t="n">
        <v>2484.81</v>
      </c>
      <c r="AC74" s="175" t="n">
        <v>446.96</v>
      </c>
      <c r="AD74" s="176" t="n">
        <v>9593.46</v>
      </c>
      <c r="AE74" s="177" t="n">
        <v>860.31</v>
      </c>
      <c r="AF74" s="178" t="inlineStr">
        <is>
          <t>TTM 2Q2019</t>
        </is>
      </c>
      <c r="AG74" s="179" t="n">
        <v>608.67</v>
      </c>
      <c r="AH74" s="180" t="n">
        <v>9934.04</v>
      </c>
      <c r="AI74" s="181" t="n">
        <v>-843.11</v>
      </c>
      <c r="AJ74" s="182" t="inlineStr">
        <is>
          <t>43362-73P</t>
        </is>
      </c>
      <c r="AK74" s="183" t="inlineStr">
        <is>
          <t>Julie Brown</t>
        </is>
      </c>
      <c r="AL74" s="184" t="inlineStr">
        <is>
          <t>Board Member, Chief Operating and Financial Officer</t>
        </is>
      </c>
      <c r="AM74" s="185" t="inlineStr">
        <is>
          <t/>
        </is>
      </c>
      <c r="AN74" s="186" t="inlineStr">
        <is>
          <t>+44 (0)20 7806 1328</t>
        </is>
      </c>
      <c r="AO74" s="187" t="inlineStr">
        <is>
          <t>London, United Kingdom</t>
        </is>
      </c>
      <c r="AP74" s="188" t="inlineStr">
        <is>
          <t>Horseferry House</t>
        </is>
      </c>
      <c r="AQ74" s="189" t="inlineStr">
        <is>
          <t>Horseferry Road, Westminster</t>
        </is>
      </c>
      <c r="AR74" s="190" t="inlineStr">
        <is>
          <t>London</t>
        </is>
      </c>
      <c r="AS74" s="191" t="inlineStr">
        <is>
          <t>England</t>
        </is>
      </c>
      <c r="AT74" s="192" t="inlineStr">
        <is>
          <t>SW1P 2AW</t>
        </is>
      </c>
      <c r="AU74" s="193" t="inlineStr">
        <is>
          <t>United Kingdom</t>
        </is>
      </c>
      <c r="AV74" s="194" t="inlineStr">
        <is>
          <t>+44 (0)20 7806 1328</t>
        </is>
      </c>
      <c r="AW74" s="195" t="inlineStr">
        <is>
          <t/>
        </is>
      </c>
      <c r="AX74" s="196" t="inlineStr">
        <is>
          <t/>
        </is>
      </c>
      <c r="AY74" s="197" t="inlineStr">
        <is>
          <t>Europe</t>
        </is>
      </c>
      <c r="AZ74" s="198" t="inlineStr">
        <is>
          <t>Western Europe</t>
        </is>
      </c>
      <c r="BA74" s="199" t="inlineStr">
        <is>
          <t>The company repurchased 3,000,000,000 amount of shares worth GBP 150 million on September 19, 2018.</t>
        </is>
      </c>
      <c r="BB74" s="200" t="inlineStr">
        <is>
          <t/>
        </is>
      </c>
      <c r="BC74" s="201" t="inlineStr">
        <is>
          <t/>
        </is>
      </c>
      <c r="BD74" s="202" t="inlineStr">
        <is>
          <t/>
        </is>
      </c>
      <c r="BE74" s="203" t="inlineStr">
        <is>
          <t>Great Universal Stores, Groupe Bruxelles Lambert</t>
        </is>
      </c>
      <c r="BF74" s="204" t="inlineStr">
        <is>
          <t>Tapestry (New York)</t>
        </is>
      </c>
      <c r="BG74" s="205" t="inlineStr">
        <is>
          <t/>
        </is>
      </c>
      <c r="BH74" s="206" t="inlineStr">
        <is>
          <t>Great Universal Stores(www.gusplc.com), Groupe Bruxelles Lambert(www.gbl.be)</t>
        </is>
      </c>
      <c r="BI74" s="207" t="inlineStr">
        <is>
          <t>Tapestry (New York)(www.tapestry.com)</t>
        </is>
      </c>
      <c r="BJ74" s="208" t="inlineStr">
        <is>
          <t>ARISE Investment Consulting(Advisor: General), Bukhash Brothers(Consulting), La Fosse Associates(Consulting), Sullivan &amp; Stanley(Consulting), Telsey Advisory Group(Advisor: General)</t>
        </is>
      </c>
      <c r="BK74" s="209" t="inlineStr">
        <is>
          <t>Bank of America Merrill Lynch(Advisor: General), Finsbury(Advisor: Communications), Merrill Lynch International(Advisor: General), Morgan Stanley(Advisor: General), UBS(Underwriter)</t>
        </is>
      </c>
      <c r="BL74" s="210" t="n">
        <v>20090.0</v>
      </c>
      <c r="BM74" s="211" t="inlineStr">
        <is>
          <t/>
        </is>
      </c>
      <c r="BN74" s="212" t="inlineStr">
        <is>
          <t/>
        </is>
      </c>
      <c r="BO74" s="213" t="inlineStr">
        <is>
          <t/>
        </is>
      </c>
      <c r="BP74" s="214" t="inlineStr">
        <is>
          <t/>
        </is>
      </c>
      <c r="BQ74" s="215" t="inlineStr">
        <is>
          <t>Merger/Acquisition</t>
        </is>
      </c>
      <c r="BR74" s="216" t="inlineStr">
        <is>
          <t/>
        </is>
      </c>
      <c r="BS74" s="217" t="inlineStr">
        <is>
          <t/>
        </is>
      </c>
      <c r="BT74" s="218" t="inlineStr">
        <is>
          <t>Corporate</t>
        </is>
      </c>
      <c r="BU74" s="219" t="inlineStr">
        <is>
          <t/>
        </is>
      </c>
      <c r="BV74" s="220" t="inlineStr">
        <is>
          <t/>
        </is>
      </c>
      <c r="BW74" s="221" t="inlineStr">
        <is>
          <t/>
        </is>
      </c>
      <c r="BX74" s="222" t="inlineStr">
        <is>
          <t>Completed</t>
        </is>
      </c>
      <c r="BY74" s="223" t="n">
        <v>43362.0</v>
      </c>
      <c r="BZ74" s="224" t="n">
        <v>195.56</v>
      </c>
      <c r="CA74" s="225" t="inlineStr">
        <is>
          <t>Actual</t>
        </is>
      </c>
      <c r="CB74" s="226" t="inlineStr">
        <is>
          <t/>
        </is>
      </c>
      <c r="CC74" s="227" t="inlineStr">
        <is>
          <t/>
        </is>
      </c>
      <c r="CD74" s="228" t="inlineStr">
        <is>
          <t>Share Repurchase</t>
        </is>
      </c>
      <c r="CE74" s="229" t="inlineStr">
        <is>
          <t/>
        </is>
      </c>
      <c r="CF74" s="230" t="inlineStr">
        <is>
          <t/>
        </is>
      </c>
      <c r="CG74" s="231" t="inlineStr">
        <is>
          <t>Other</t>
        </is>
      </c>
      <c r="CH74" s="232" t="inlineStr">
        <is>
          <t/>
        </is>
      </c>
      <c r="CI74" s="233" t="inlineStr">
        <is>
          <t/>
        </is>
      </c>
      <c r="CJ74" s="234" t="inlineStr">
        <is>
          <t/>
        </is>
      </c>
      <c r="CK74" s="235" t="inlineStr">
        <is>
          <t>Completed</t>
        </is>
      </c>
      <c r="CL74" s="236" t="inlineStr">
        <is>
          <t/>
        </is>
      </c>
      <c r="CM74" s="237" t="inlineStr">
        <is>
          <t/>
        </is>
      </c>
      <c r="CN74" s="238" t="n">
        <v>-0.72</v>
      </c>
      <c r="CO74" s="239" t="n">
        <v>6.0</v>
      </c>
      <c r="CP74" s="240" t="n">
        <v>0.01</v>
      </c>
      <c r="CQ74" s="241" t="n">
        <v>1.43</v>
      </c>
      <c r="CR74" s="242" t="n">
        <v>-1.42</v>
      </c>
      <c r="CS74" s="243" t="n">
        <v>5.0</v>
      </c>
      <c r="CT74" s="244" t="n">
        <v>-0.03</v>
      </c>
      <c r="CU74" s="245" t="n">
        <v>20.0</v>
      </c>
      <c r="CV74" s="246" t="n">
        <v>-2.66</v>
      </c>
      <c r="CW74" s="247" t="n">
        <v>17.0</v>
      </c>
      <c r="CX74" s="248" t="n">
        <v>-0.18</v>
      </c>
      <c r="CY74" s="249" t="n">
        <v>9.0</v>
      </c>
      <c r="CZ74" s="250" t="n">
        <v>-0.03</v>
      </c>
      <c r="DA74" s="251" t="n">
        <v>23.0</v>
      </c>
      <c r="DB74" s="252" t="n">
        <v>11753.45</v>
      </c>
      <c r="DC74" s="253" t="n">
        <v>100.0</v>
      </c>
      <c r="DD74" s="254" t="n">
        <v>64.19</v>
      </c>
      <c r="DE74" s="255" t="n">
        <v>0.55</v>
      </c>
      <c r="DF74" s="256" t="n">
        <v>35.84</v>
      </c>
      <c r="DG74" s="257" t="n">
        <v>97.0</v>
      </c>
      <c r="DH74" s="258" t="n">
        <v>23471.06</v>
      </c>
      <c r="DI74" s="259" t="n">
        <v>100.0</v>
      </c>
      <c r="DJ74" s="260" t="n">
        <v>0.98</v>
      </c>
      <c r="DK74" s="261" t="n">
        <v>50.0</v>
      </c>
      <c r="DL74" s="262" t="n">
        <v>70.71</v>
      </c>
      <c r="DM74" s="263" t="n">
        <v>99.0</v>
      </c>
      <c r="DN74" s="264" t="n">
        <v>23471.06</v>
      </c>
      <c r="DO74" s="265" t="n">
        <v>100.0</v>
      </c>
      <c r="DP74" s="266" t="n">
        <v>710.0</v>
      </c>
      <c r="DQ74" s="267" t="n">
        <v>-115.0</v>
      </c>
      <c r="DR74" s="268" t="n">
        <v>-13.94</v>
      </c>
      <c r="DS74" s="269" t="n">
        <v>2396.0</v>
      </c>
      <c r="DT74" s="270" t="n">
        <v>15.0</v>
      </c>
      <c r="DU74" s="271" t="n">
        <v>0.63</v>
      </c>
      <c r="DV74" s="272" t="n">
        <v>8427556.0</v>
      </c>
      <c r="DW74" s="273" t="n">
        <v>-4658.0</v>
      </c>
      <c r="DX74" s="274" t="n">
        <v>-0.06</v>
      </c>
      <c r="DY74" s="275" t="inlineStr">
        <is>
          <t>PitchBook Research</t>
        </is>
      </c>
      <c r="DZ74" s="276" t="n">
        <v>43492.0</v>
      </c>
      <c r="EA74" s="277" t="n">
        <v>10623.1</v>
      </c>
      <c r="EB74" s="278" t="n">
        <v>43229.0</v>
      </c>
      <c r="EC74" s="279" t="inlineStr">
        <is>
          <t>Secondary Transaction - Private</t>
        </is>
      </c>
      <c r="ED74" s="548">
        <f>HYPERLINK("https://my.pitchbook.com?c=51029-65", "View company online")</f>
      </c>
    </row>
    <row r="75">
      <c r="A75" s="13" t="inlineStr">
        <is>
          <t>10230-40</t>
        </is>
      </c>
      <c r="B75" s="14" t="inlineStr">
        <is>
          <t>Mervyn's</t>
        </is>
      </c>
      <c r="C75" s="15" t="inlineStr">
        <is>
          <t/>
        </is>
      </c>
      <c r="D75" s="16" t="inlineStr">
        <is>
          <t/>
        </is>
      </c>
      <c r="E75" s="17" t="inlineStr">
        <is>
          <t>10230-40</t>
        </is>
      </c>
      <c r="F75" s="18" t="inlineStr">
        <is>
          <t>Owner and operator of department stores in the United States. The company's stores offer fashion and home products. The company also provides credit card and gift cards services. The company now operates 177 stores in eight states.</t>
        </is>
      </c>
      <c r="G75" s="19" t="inlineStr">
        <is>
          <t>Consumer Products and Services (B2C)</t>
        </is>
      </c>
      <c r="H75" s="20" t="inlineStr">
        <is>
          <t>Retail</t>
        </is>
      </c>
      <c r="I75" s="21" t="inlineStr">
        <is>
          <t>Department Stores</t>
        </is>
      </c>
      <c r="J75" s="22" t="inlineStr">
        <is>
          <t>Clothing, Department Stores*, Home Furnishings</t>
        </is>
      </c>
      <c r="K75" s="23" t="inlineStr">
        <is>
          <t/>
        </is>
      </c>
      <c r="L75" s="24" t="inlineStr">
        <is>
          <t>credit card services, fashion clothing</t>
        </is>
      </c>
      <c r="M75" s="25" t="inlineStr">
        <is>
          <t>Formerly PE-Backed</t>
        </is>
      </c>
      <c r="N75" s="26" t="n">
        <v>465.0</v>
      </c>
      <c r="O75" s="27" t="inlineStr">
        <is>
          <t>Out of Business</t>
        </is>
      </c>
      <c r="P75" s="28" t="inlineStr">
        <is>
          <t>Out of Business</t>
        </is>
      </c>
      <c r="Q75" s="29" t="inlineStr">
        <is>
          <t>Debt Financed, Private Equity</t>
        </is>
      </c>
      <c r="R75" s="30" t="inlineStr">
        <is>
          <t>www.mervyns.com</t>
        </is>
      </c>
      <c r="S75" s="31" t="n">
        <v>520.0</v>
      </c>
      <c r="T75" s="32" t="inlineStr">
        <is>
          <t>2014: 520</t>
        </is>
      </c>
      <c r="U75" s="33" t="inlineStr">
        <is>
          <t/>
        </is>
      </c>
      <c r="V75" s="34" t="inlineStr">
        <is>
          <t/>
        </is>
      </c>
      <c r="W75" s="35" t="n">
        <v>1949.0</v>
      </c>
      <c r="X75" s="36" t="inlineStr">
        <is>
          <t/>
        </is>
      </c>
      <c r="Y75" s="37" t="inlineStr">
        <is>
          <t/>
        </is>
      </c>
      <c r="Z75" s="38" t="inlineStr">
        <is>
          <t/>
        </is>
      </c>
      <c r="AA75" s="39" t="n">
        <v>3600.0</v>
      </c>
      <c r="AB75" s="40" t="inlineStr">
        <is>
          <t/>
        </is>
      </c>
      <c r="AC75" s="41" t="inlineStr">
        <is>
          <t/>
        </is>
      </c>
      <c r="AD75" s="42" t="inlineStr">
        <is>
          <t/>
        </is>
      </c>
      <c r="AE75" s="43" t="n">
        <v>160.0</v>
      </c>
      <c r="AF75" s="44" t="inlineStr">
        <is>
          <t>FY 2003</t>
        </is>
      </c>
      <c r="AG75" s="45" t="inlineStr">
        <is>
          <t/>
        </is>
      </c>
      <c r="AH75" s="46" t="inlineStr">
        <is>
          <t/>
        </is>
      </c>
      <c r="AI75" s="47" t="inlineStr">
        <is>
          <t/>
        </is>
      </c>
      <c r="AJ75" s="48" t="inlineStr">
        <is>
          <t>14396-77P</t>
        </is>
      </c>
      <c r="AK75" s="49" t="inlineStr">
        <is>
          <t>Chuck Kurth</t>
        </is>
      </c>
      <c r="AL75" s="50" t="inlineStr">
        <is>
          <t>Chief Financial Officer</t>
        </is>
      </c>
      <c r="AM75" s="51" t="inlineStr">
        <is>
          <t>chuck.kurth@mervyns.com</t>
        </is>
      </c>
      <c r="AN75" s="52" t="inlineStr">
        <is>
          <t/>
        </is>
      </c>
      <c r="AO75" s="53" t="inlineStr">
        <is>
          <t>Hayward, CA</t>
        </is>
      </c>
      <c r="AP75" s="54" t="inlineStr">
        <is>
          <t>22301 Foothill Boulevard</t>
        </is>
      </c>
      <c r="AQ75" s="55" t="inlineStr">
        <is>
          <t/>
        </is>
      </c>
      <c r="AR75" s="56" t="inlineStr">
        <is>
          <t>Hayward</t>
        </is>
      </c>
      <c r="AS75" s="57" t="inlineStr">
        <is>
          <t>California</t>
        </is>
      </c>
      <c r="AT75" s="58" t="inlineStr">
        <is>
          <t>94541</t>
        </is>
      </c>
      <c r="AU75" s="59" t="inlineStr">
        <is>
          <t>United States</t>
        </is>
      </c>
      <c r="AV75" s="60" t="inlineStr">
        <is>
          <t/>
        </is>
      </c>
      <c r="AW75" s="61" t="inlineStr">
        <is>
          <t/>
        </is>
      </c>
      <c r="AX75" s="62" t="inlineStr">
        <is>
          <t/>
        </is>
      </c>
      <c r="AY75" s="63" t="inlineStr">
        <is>
          <t>Americas</t>
        </is>
      </c>
      <c r="AZ75" s="64" t="inlineStr">
        <is>
          <t>North America</t>
        </is>
      </c>
      <c r="BA75" s="65" t="inlineStr">
        <is>
          <t>The company went out of business on October 17, 2008.</t>
        </is>
      </c>
      <c r="BB75" s="66" t="inlineStr">
        <is>
          <t/>
        </is>
      </c>
      <c r="BC75" s="67" t="inlineStr">
        <is>
          <t/>
        </is>
      </c>
      <c r="BD75" s="68" t="inlineStr">
        <is>
          <t/>
        </is>
      </c>
      <c r="BE75" s="69" t="inlineStr">
        <is>
          <t>Cerberus Capital Management, Lubert Adler Partners, Sun Capital Partners</t>
        </is>
      </c>
      <c r="BF75" s="70" t="inlineStr">
        <is>
          <t>B. Riley Financial, Hudson Capital Partners, SB Capital Group, Tiger Capital Group</t>
        </is>
      </c>
      <c r="BG75" s="71" t="inlineStr">
        <is>
          <t/>
        </is>
      </c>
      <c r="BH75" s="72" t="inlineStr">
        <is>
          <t>Cerberus Capital Management(www.cerberus.com), Lubert Adler Partners(www.lubertadler.com), Sun Capital Partners(www.suncappart.com)</t>
        </is>
      </c>
      <c r="BI75" s="73" t="inlineStr">
        <is>
          <t>B. Riley Financial(www.brileyfin.com), Hudson Capital Partners(www.hudsoncpl.com), SB Capital Group(www.sbcapitalgroup.com), Tiger Capital Group(www.tigergroup.com)</t>
        </is>
      </c>
      <c r="BJ75" s="74" t="inlineStr">
        <is>
          <t>Kurtzman Carson Consultants(Advisor: General)</t>
        </is>
      </c>
      <c r="BK75" s="75" t="inlineStr">
        <is>
          <t>Congress Financial(Debt Financing), Faegre Baker Daniels(Legal Advisor), Kirkland &amp; Ellis(Legal Advisor), Merrill Lynch Capital(Debt Financing), Pamlico Capital(Debt Financing), The Goldman Sachs Group(Debt Financing), The Goldman Sachs Group(Advisor: General)</t>
        </is>
      </c>
      <c r="BL75" s="76" t="n">
        <v>37987.0</v>
      </c>
      <c r="BM75" s="77" t="inlineStr">
        <is>
          <t/>
        </is>
      </c>
      <c r="BN75" s="78" t="inlineStr">
        <is>
          <t/>
        </is>
      </c>
      <c r="BO75" s="79" t="inlineStr">
        <is>
          <t/>
        </is>
      </c>
      <c r="BP75" s="80" t="inlineStr">
        <is>
          <t/>
        </is>
      </c>
      <c r="BQ75" s="81" t="inlineStr">
        <is>
          <t>Debt - General</t>
        </is>
      </c>
      <c r="BR75" s="82" t="inlineStr">
        <is>
          <t/>
        </is>
      </c>
      <c r="BS75" s="83" t="inlineStr">
        <is>
          <t/>
        </is>
      </c>
      <c r="BT75" s="84" t="inlineStr">
        <is>
          <t>Debt</t>
        </is>
      </c>
      <c r="BU75" s="85" t="inlineStr">
        <is>
          <t>Revolving Credit Line</t>
        </is>
      </c>
      <c r="BV75" s="86" t="inlineStr">
        <is>
          <t/>
        </is>
      </c>
      <c r="BW75" s="87" t="inlineStr">
        <is>
          <t/>
        </is>
      </c>
      <c r="BX75" s="88" t="inlineStr">
        <is>
          <t>Completed</t>
        </is>
      </c>
      <c r="BY75" s="89" t="n">
        <v>39738.0</v>
      </c>
      <c r="BZ75" s="90" t="inlineStr">
        <is>
          <t/>
        </is>
      </c>
      <c r="CA75" s="91" t="inlineStr">
        <is>
          <t/>
        </is>
      </c>
      <c r="CB75" s="92" t="inlineStr">
        <is>
          <t/>
        </is>
      </c>
      <c r="CC75" s="93" t="inlineStr">
        <is>
          <t/>
        </is>
      </c>
      <c r="CD75" s="94" t="inlineStr">
        <is>
          <t>Out of Business</t>
        </is>
      </c>
      <c r="CE75" s="95" t="inlineStr">
        <is>
          <t/>
        </is>
      </c>
      <c r="CF75" s="96" t="inlineStr">
        <is>
          <t/>
        </is>
      </c>
      <c r="CG75" s="97" t="inlineStr">
        <is>
          <t>Out of Business</t>
        </is>
      </c>
      <c r="CH75" s="98" t="inlineStr">
        <is>
          <t/>
        </is>
      </c>
      <c r="CI75" s="99" t="inlineStr">
        <is>
          <t/>
        </is>
      </c>
      <c r="CJ75" s="100" t="inlineStr">
        <is>
          <t/>
        </is>
      </c>
      <c r="CK75" s="101" t="inlineStr">
        <is>
          <t>Completed</t>
        </is>
      </c>
      <c r="CL75" s="102" t="n">
        <v>39687.0</v>
      </c>
      <c r="CM75" s="103" t="n">
        <v>465.0</v>
      </c>
      <c r="CN75" s="104" t="inlineStr">
        <is>
          <t/>
        </is>
      </c>
      <c r="CO75" s="105" t="inlineStr">
        <is>
          <t/>
        </is>
      </c>
      <c r="CP75" s="106" t="inlineStr">
        <is>
          <t/>
        </is>
      </c>
      <c r="CQ75" s="107" t="inlineStr">
        <is>
          <t/>
        </is>
      </c>
      <c r="CR75" s="108" t="inlineStr">
        <is>
          <t/>
        </is>
      </c>
      <c r="CS75" s="109" t="inlineStr">
        <is>
          <t/>
        </is>
      </c>
      <c r="CT75" s="110" t="inlineStr">
        <is>
          <t/>
        </is>
      </c>
      <c r="CU75" s="111" t="inlineStr">
        <is>
          <t/>
        </is>
      </c>
      <c r="CV75" s="112" t="inlineStr">
        <is>
          <t/>
        </is>
      </c>
      <c r="CW75" s="113" t="inlineStr">
        <is>
          <t/>
        </is>
      </c>
      <c r="CX75" s="114" t="inlineStr">
        <is>
          <t/>
        </is>
      </c>
      <c r="CY75" s="115" t="inlineStr">
        <is>
          <t/>
        </is>
      </c>
      <c r="CZ75" s="116" t="inlineStr">
        <is>
          <t/>
        </is>
      </c>
      <c r="DA75" s="117" t="inlineStr">
        <is>
          <t/>
        </is>
      </c>
      <c r="DB75" s="118" t="inlineStr">
        <is>
          <t/>
        </is>
      </c>
      <c r="DC75" s="119" t="inlineStr">
        <is>
          <t/>
        </is>
      </c>
      <c r="DD75" s="120" t="inlineStr">
        <is>
          <t/>
        </is>
      </c>
      <c r="DE75" s="121" t="inlineStr">
        <is>
          <t/>
        </is>
      </c>
      <c r="DF75" s="122" t="inlineStr">
        <is>
          <t/>
        </is>
      </c>
      <c r="DG75" s="123" t="inlineStr">
        <is>
          <t/>
        </is>
      </c>
      <c r="DH75" s="124" t="inlineStr">
        <is>
          <t/>
        </is>
      </c>
      <c r="DI75" s="125" t="inlineStr">
        <is>
          <t/>
        </is>
      </c>
      <c r="DJ75" s="126" t="inlineStr">
        <is>
          <t/>
        </is>
      </c>
      <c r="DK75" s="127" t="inlineStr">
        <is>
          <t/>
        </is>
      </c>
      <c r="DL75" s="128" t="inlineStr">
        <is>
          <t/>
        </is>
      </c>
      <c r="DM75" s="129" t="inlineStr">
        <is>
          <t/>
        </is>
      </c>
      <c r="DN75" s="130" t="inlineStr">
        <is>
          <t/>
        </is>
      </c>
      <c r="DO75" s="131" t="inlineStr">
        <is>
          <t/>
        </is>
      </c>
      <c r="DP75" s="132" t="inlineStr">
        <is>
          <t/>
        </is>
      </c>
      <c r="DQ75" s="133" t="inlineStr">
        <is>
          <t/>
        </is>
      </c>
      <c r="DR75" s="134" t="inlineStr">
        <is>
          <t/>
        </is>
      </c>
      <c r="DS75" s="135" t="inlineStr">
        <is>
          <t/>
        </is>
      </c>
      <c r="DT75" s="136" t="inlineStr">
        <is>
          <t/>
        </is>
      </c>
      <c r="DU75" s="137" t="inlineStr">
        <is>
          <t/>
        </is>
      </c>
      <c r="DV75" s="138" t="inlineStr">
        <is>
          <t/>
        </is>
      </c>
      <c r="DW75" s="139" t="inlineStr">
        <is>
          <t/>
        </is>
      </c>
      <c r="DX75" s="140" t="inlineStr">
        <is>
          <t/>
        </is>
      </c>
      <c r="DY75" s="141" t="inlineStr">
        <is>
          <t>PitchBook Research</t>
        </is>
      </c>
      <c r="DZ75" s="142" t="n">
        <v>43425.0</v>
      </c>
      <c r="EA75" s="143" t="inlineStr">
        <is>
          <t/>
        </is>
      </c>
      <c r="EB75" s="144" t="inlineStr">
        <is>
          <t/>
        </is>
      </c>
      <c r="EC75" s="145" t="inlineStr">
        <is>
          <t/>
        </is>
      </c>
      <c r="ED75" s="547">
        <f>HYPERLINK("https://my.pitchbook.com?c=10230-40", "View company online")</f>
      </c>
    </row>
    <row r="76">
      <c r="A76" s="147" t="inlineStr">
        <is>
          <t>12433-06</t>
        </is>
      </c>
      <c r="B76" s="148" t="inlineStr">
        <is>
          <t>PANDORA (PNDORA)</t>
        </is>
      </c>
      <c r="C76" s="149" t="inlineStr">
        <is>
          <t/>
        </is>
      </c>
      <c r="D76" s="150" t="inlineStr">
        <is>
          <t/>
        </is>
      </c>
      <c r="E76" s="151" t="inlineStr">
        <is>
          <t>12433-06</t>
        </is>
      </c>
      <c r="F76" s="152" t="inlineStr">
        <is>
          <t>Pandora is a premium jewellery brand and the market leader in the charm bracelet category with an estimated 9% share of the global wristwear market. The company was established in the 1980s in Denmark and since then has expanded globally. Pandora has 2,350 concept stores globally (1,000 owned and operated, and the remainder run by its franchise partners), as well as 5,400 multibrand locations and stores-in-stores. Concept stores account for 60% of revenue, other channels for 34%, and online for 6%. Pandora generates almost 50% of revenue in Europe, 23% in the U.S., 8% in other Americas, 7% in China, and 14% in other Asia-Pacific. Charms and bracelets still account for almost three fourths of its sales. The firm produces mostly internally in two jewellery-crafting facilities in Thailand.</t>
        </is>
      </c>
      <c r="G76" s="153" t="inlineStr">
        <is>
          <t>Consumer Products and Services (B2C)</t>
        </is>
      </c>
      <c r="H76" s="154" t="inlineStr">
        <is>
          <t>Apparel and Accessories</t>
        </is>
      </c>
      <c r="I76" s="155" t="inlineStr">
        <is>
          <t>Accessories</t>
        </is>
      </c>
      <c r="J76" s="156" t="inlineStr">
        <is>
          <t>Accessories*, Luxury Goods</t>
        </is>
      </c>
      <c r="K76" s="157" t="inlineStr">
        <is>
          <t/>
        </is>
      </c>
      <c r="L76" s="158" t="inlineStr">
        <is>
          <t>bracelets &amp; rings, fine jewelry, jeweler, necklaces &amp; earrings</t>
        </is>
      </c>
      <c r="M76" s="159" t="inlineStr">
        <is>
          <t>Formerly PE-Backed</t>
        </is>
      </c>
      <c r="N76" s="160" t="inlineStr">
        <is>
          <t/>
        </is>
      </c>
      <c r="O76" s="161" t="inlineStr">
        <is>
          <t>Profitable</t>
        </is>
      </c>
      <c r="P76" s="162" t="inlineStr">
        <is>
          <t>Publicly Held</t>
        </is>
      </c>
      <c r="Q76" s="163" t="inlineStr">
        <is>
          <t>Private Equity, Publicly Listed</t>
        </is>
      </c>
      <c r="R76" s="164" t="inlineStr">
        <is>
          <t>www.pandoragroup.com</t>
        </is>
      </c>
      <c r="S76" s="165" t="n">
        <v>23973.0</v>
      </c>
      <c r="T76" s="166" t="inlineStr">
        <is>
          <t>2010: 4336, 2011: 5217, 2012: 5753, 2013: 6910, 2014: 9957, 2015: 13971, 2016: 17770, 2017: 27350, 2018: 23973</t>
        </is>
      </c>
      <c r="U76" s="167" t="inlineStr">
        <is>
          <t/>
        </is>
      </c>
      <c r="V76" s="168" t="inlineStr">
        <is>
          <t>PNDORA</t>
        </is>
      </c>
      <c r="W76" s="169" t="n">
        <v>1982.0</v>
      </c>
      <c r="X76" s="170" t="inlineStr">
        <is>
          <t/>
        </is>
      </c>
      <c r="Y76" s="171" t="inlineStr">
        <is>
          <t/>
        </is>
      </c>
      <c r="Z76" s="172" t="inlineStr">
        <is>
          <t>News (New) </t>
        </is>
      </c>
      <c r="AA76" s="173" t="n">
        <v>3596.14</v>
      </c>
      <c r="AB76" s="174" t="n">
        <v>2695.79</v>
      </c>
      <c r="AC76" s="175" t="n">
        <v>796.87</v>
      </c>
      <c r="AD76" s="176" t="n">
        <v>7477.47</v>
      </c>
      <c r="AE76" s="177" t="n">
        <v>1189.56</v>
      </c>
      <c r="AF76" s="178" t="inlineStr">
        <is>
          <t>TTM 3Q2018</t>
        </is>
      </c>
      <c r="AG76" s="179" t="n">
        <v>1039.93</v>
      </c>
      <c r="AH76" s="180" t="n">
        <v>4629.36</v>
      </c>
      <c r="AI76" s="181" t="n">
        <v>1100.49</v>
      </c>
      <c r="AJ76" s="182" t="inlineStr">
        <is>
          <t>102937-51P</t>
        </is>
      </c>
      <c r="AK76" s="183" t="inlineStr">
        <is>
          <t>Peter Vekslund</t>
        </is>
      </c>
      <c r="AL76" s="184" t="inlineStr">
        <is>
          <t>Chief Financial Officer &amp; Executive Vice President</t>
        </is>
      </c>
      <c r="AM76" s="185" t="inlineStr">
        <is>
          <t>peter.vekslund@pandora.net</t>
        </is>
      </c>
      <c r="AN76" s="186" t="inlineStr">
        <is>
          <t>+45 3672 0044</t>
        </is>
      </c>
      <c r="AO76" s="187" t="inlineStr">
        <is>
          <t>Copenhagen, Denmark</t>
        </is>
      </c>
      <c r="AP76" s="188" t="inlineStr">
        <is>
          <t>Havneholmen 17-19</t>
        </is>
      </c>
      <c r="AQ76" s="189" t="inlineStr">
        <is>
          <t/>
        </is>
      </c>
      <c r="AR76" s="190" t="inlineStr">
        <is>
          <t>Copenhagen</t>
        </is>
      </c>
      <c r="AS76" s="191" t="inlineStr">
        <is>
          <t/>
        </is>
      </c>
      <c r="AT76" s="192" t="inlineStr">
        <is>
          <t>1561</t>
        </is>
      </c>
      <c r="AU76" s="193" t="inlineStr">
        <is>
          <t>Denmark</t>
        </is>
      </c>
      <c r="AV76" s="194" t="inlineStr">
        <is>
          <t>+45 3672 0044</t>
        </is>
      </c>
      <c r="AW76" s="195" t="inlineStr">
        <is>
          <t>+45 3672 0800</t>
        </is>
      </c>
      <c r="AX76" s="196" t="inlineStr">
        <is>
          <t>mail@pandora.net</t>
        </is>
      </c>
      <c r="AY76" s="197" t="inlineStr">
        <is>
          <t>Europe</t>
        </is>
      </c>
      <c r="AZ76" s="198" t="inlineStr">
        <is>
          <t>Northern Europe</t>
        </is>
      </c>
      <c r="BA76" s="199" t="inlineStr">
        <is>
          <t>The company (CSE: PNDORA) is in talks to be acquired by Kohlberg Kravis Roberts, Bain Capital, The Carlyle Group and other undisclosed investors through an LBO on September 18, 2018. Previously, the company (CSE: PNDORA) received an undisclosed amount of development capital from BlackRock Private Equity Partners (NYSE: BLK) on June 10, 2015, through a private placement. MJK capital also participated. The company is being actively tracked by PitchBook.</t>
        </is>
      </c>
      <c r="BB76" s="200" t="inlineStr">
        <is>
          <t>BlackRock Private Equity Partners, MJK Capital</t>
        </is>
      </c>
      <c r="BC76" s="201" t="n">
        <v>2.0</v>
      </c>
      <c r="BD76" s="202" t="inlineStr">
        <is>
          <t/>
        </is>
      </c>
      <c r="BE76" s="203" t="inlineStr">
        <is>
          <t>Axcel Management, ICA Gruppen, Prometheus Partners</t>
        </is>
      </c>
      <c r="BF76" s="204" t="inlineStr">
        <is>
          <t/>
        </is>
      </c>
      <c r="BG76" s="205" t="inlineStr">
        <is>
          <t>MJK Capital(www.mjkcapital.com)</t>
        </is>
      </c>
      <c r="BH76" s="206" t="inlineStr">
        <is>
          <t>Axcel Management(www.axcel.dk), Prometheus Partners(www.prometheuspartners.com)</t>
        </is>
      </c>
      <c r="BI76" s="207" t="inlineStr">
        <is>
          <t/>
        </is>
      </c>
      <c r="BJ76" s="208" t="inlineStr">
        <is>
          <t>Auxis(Consulting), Headland(Advisor: Communications), Howard Kennedy(Legal Advisor), J.P. Morgan(Advisor: General), Tribridge(Consulting)</t>
        </is>
      </c>
      <c r="BK76" s="209" t="inlineStr">
        <is>
          <t>Accura(Legal Advisor), Carnegie Investment Bank(Advisor: General), Danske Bank(Underwriter), Davis Polk &amp; Wardwell(Legal Advisor), FIH Partners(Advisor: General), Gorrissen Federspiel(Legal Advisor), Kromann Reumert(Legal Advisor), Morgan Stanley(Advisor: General), Nordea Bank(Advisor: General), Rothschild &amp; Co(Legal Advisor), Skandinaviska Enskilda Banken(Advisor: General), The Goldman Sachs Group(Advisor: General)</t>
        </is>
      </c>
      <c r="BL76" s="210" t="n">
        <v>39517.0</v>
      </c>
      <c r="BM76" s="211" t="inlineStr">
        <is>
          <t/>
        </is>
      </c>
      <c r="BN76" s="212" t="inlineStr">
        <is>
          <t/>
        </is>
      </c>
      <c r="BO76" s="213" t="inlineStr">
        <is>
          <t/>
        </is>
      </c>
      <c r="BP76" s="214" t="inlineStr">
        <is>
          <t/>
        </is>
      </c>
      <c r="BQ76" s="215" t="inlineStr">
        <is>
          <t>Buyout/LBO</t>
        </is>
      </c>
      <c r="BR76" s="216" t="inlineStr">
        <is>
          <t/>
        </is>
      </c>
      <c r="BS76" s="217" t="inlineStr">
        <is>
          <t/>
        </is>
      </c>
      <c r="BT76" s="218" t="inlineStr">
        <is>
          <t>Private Equity</t>
        </is>
      </c>
      <c r="BU76" s="219" t="inlineStr">
        <is>
          <t/>
        </is>
      </c>
      <c r="BV76" s="220" t="inlineStr">
        <is>
          <t/>
        </is>
      </c>
      <c r="BW76" s="221" t="inlineStr">
        <is>
          <t/>
        </is>
      </c>
      <c r="BX76" s="222" t="inlineStr">
        <is>
          <t>Completed</t>
        </is>
      </c>
      <c r="BY76" s="223" t="inlineStr">
        <is>
          <t/>
        </is>
      </c>
      <c r="BZ76" s="224" t="inlineStr">
        <is>
          <t/>
        </is>
      </c>
      <c r="CA76" s="225" t="inlineStr">
        <is>
          <t/>
        </is>
      </c>
      <c r="CB76" s="226" t="inlineStr">
        <is>
          <t/>
        </is>
      </c>
      <c r="CC76" s="227" t="inlineStr">
        <is>
          <t/>
        </is>
      </c>
      <c r="CD76" s="228" t="inlineStr">
        <is>
          <t>Buyout/LBO</t>
        </is>
      </c>
      <c r="CE76" s="229" t="inlineStr">
        <is>
          <t/>
        </is>
      </c>
      <c r="CF76" s="230" t="inlineStr">
        <is>
          <t/>
        </is>
      </c>
      <c r="CG76" s="231" t="inlineStr">
        <is>
          <t>Private Equity</t>
        </is>
      </c>
      <c r="CH76" s="232" t="inlineStr">
        <is>
          <t/>
        </is>
      </c>
      <c r="CI76" s="233" t="inlineStr">
        <is>
          <t/>
        </is>
      </c>
      <c r="CJ76" s="234" t="inlineStr">
        <is>
          <t/>
        </is>
      </c>
      <c r="CK76" s="235" t="inlineStr">
        <is>
          <t>Upcoming</t>
        </is>
      </c>
      <c r="CL76" s="236" t="inlineStr">
        <is>
          <t/>
        </is>
      </c>
      <c r="CM76" s="237" t="inlineStr">
        <is>
          <t/>
        </is>
      </c>
      <c r="CN76" s="238" t="n">
        <v>0.7</v>
      </c>
      <c r="CO76" s="239" t="n">
        <v>96.0</v>
      </c>
      <c r="CP76" s="240" t="n">
        <v>0.01</v>
      </c>
      <c r="CQ76" s="241" t="n">
        <v>1.16</v>
      </c>
      <c r="CR76" s="242" t="n">
        <v>1.77</v>
      </c>
      <c r="CS76" s="243" t="n">
        <v>99.0</v>
      </c>
      <c r="CT76" s="244" t="n">
        <v>0.05</v>
      </c>
      <c r="CU76" s="245" t="n">
        <v>64.0</v>
      </c>
      <c r="CV76" s="246" t="n">
        <v>3.36</v>
      </c>
      <c r="CW76" s="247" t="n">
        <v>94.0</v>
      </c>
      <c r="CX76" s="248" t="n">
        <v>0.18</v>
      </c>
      <c r="CY76" s="249" t="n">
        <v>88.0</v>
      </c>
      <c r="CZ76" s="250" t="n">
        <v>-0.1</v>
      </c>
      <c r="DA76" s="251" t="n">
        <v>9.0</v>
      </c>
      <c r="DB76" s="252" t="n">
        <v>2813.28</v>
      </c>
      <c r="DC76" s="253" t="n">
        <v>100.0</v>
      </c>
      <c r="DD76" s="254" t="n">
        <v>7.67</v>
      </c>
      <c r="DE76" s="255" t="n">
        <v>0.27</v>
      </c>
      <c r="DF76" s="256" t="n">
        <v>18.43</v>
      </c>
      <c r="DG76" s="257" t="n">
        <v>94.0</v>
      </c>
      <c r="DH76" s="258" t="n">
        <v>8332.63</v>
      </c>
      <c r="DI76" s="259" t="n">
        <v>100.0</v>
      </c>
      <c r="DJ76" s="260" t="n">
        <v>4.21</v>
      </c>
      <c r="DK76" s="261" t="n">
        <v>76.0</v>
      </c>
      <c r="DL76" s="262" t="n">
        <v>32.65</v>
      </c>
      <c r="DM76" s="263" t="n">
        <v>96.0</v>
      </c>
      <c r="DN76" s="264" t="n">
        <v>38.5</v>
      </c>
      <c r="DO76" s="265" t="n">
        <v>96.0</v>
      </c>
      <c r="DP76" s="266" t="n">
        <v>2987.0</v>
      </c>
      <c r="DQ76" s="267" t="n">
        <v>128.0</v>
      </c>
      <c r="DR76" s="268" t="n">
        <v>4.48</v>
      </c>
      <c r="DS76" s="269" t="n">
        <v>1111.0</v>
      </c>
      <c r="DT76" s="270" t="n">
        <v>-2.0</v>
      </c>
      <c r="DU76" s="271" t="n">
        <v>-0.18</v>
      </c>
      <c r="DV76" s="272" t="n">
        <v>13826.0</v>
      </c>
      <c r="DW76" s="273" t="n">
        <v>-12.0</v>
      </c>
      <c r="DX76" s="274" t="n">
        <v>-0.09</v>
      </c>
      <c r="DY76" s="275" t="inlineStr">
        <is>
          <t>PitchBook Research</t>
        </is>
      </c>
      <c r="DZ76" s="276" t="n">
        <v>43549.0</v>
      </c>
      <c r="EA76" s="277" t="n">
        <v>9573.47</v>
      </c>
      <c r="EB76" s="278" t="n">
        <v>41782.0</v>
      </c>
      <c r="EC76" s="279" t="inlineStr">
        <is>
          <t>Secondary Transaction - Open Market</t>
        </is>
      </c>
      <c r="ED76" s="548">
        <f>HYPERLINK("https://my.pitchbook.com?c=12433-06", "View company online")</f>
      </c>
    </row>
    <row r="77">
      <c r="A77" s="13" t="inlineStr">
        <is>
          <t>41195-26</t>
        </is>
      </c>
      <c r="B77" s="14" t="inlineStr">
        <is>
          <t>Abercrombie &amp; Fitch (NYS: ANF)</t>
        </is>
      </c>
      <c r="C77" s="15" t="inlineStr">
        <is>
          <t>Abercrombie</t>
        </is>
      </c>
      <c r="D77" s="16" t="inlineStr">
        <is>
          <t>A&amp;F</t>
        </is>
      </c>
      <c r="E77" s="17" t="inlineStr">
        <is>
          <t>41195-26</t>
        </is>
      </c>
      <c r="F77" s="18" t="inlineStr">
        <is>
          <t>Abercrombie &amp; Fitch is a specialty retailer that sells casual clothing, personal-care products, and accessories for men, women, and children. It sells direct to consumer through its stores and websites, which include the Abercrombie &amp; Fitch, Abercrombie kids, and Hollister brands. Most stores are in the United States, but the company does have many stores in Canada, Europe, and Asia. All stores are leased. Abercrombie ships to well over 100 countries via its websites. The company sources its merchandise from dozens of vendors that are primarily located in Asia and Central America. Abercrombie has two distribution centers in Ohio to support its North American operations. It uses third-party distributors for sales in Europe and Asia.</t>
        </is>
      </c>
      <c r="G77" s="19" t="inlineStr">
        <is>
          <t>Consumer Products and Services (B2C)</t>
        </is>
      </c>
      <c r="H77" s="20" t="inlineStr">
        <is>
          <t>Apparel and Accessories</t>
        </is>
      </c>
      <c r="I77" s="21" t="inlineStr">
        <is>
          <t>Accessories</t>
        </is>
      </c>
      <c r="J77" s="22" t="inlineStr">
        <is>
          <t>Accessories*, Clothing, Internet Retail</t>
        </is>
      </c>
      <c r="K77" s="23" t="inlineStr">
        <is>
          <t>E-Commerce, TMT</t>
        </is>
      </c>
      <c r="L77" s="24" t="inlineStr">
        <is>
          <t>casual apparel, kids apparel, knitting shirts, man apparel, personal care, women apparel</t>
        </is>
      </c>
      <c r="M77" s="25" t="inlineStr">
        <is>
          <t>Corporation</t>
        </is>
      </c>
      <c r="N77" s="26" t="n">
        <v>89.6</v>
      </c>
      <c r="O77" s="27" t="inlineStr">
        <is>
          <t>Profitable</t>
        </is>
      </c>
      <c r="P77" s="28" t="inlineStr">
        <is>
          <t>Publicly Held</t>
        </is>
      </c>
      <c r="Q77" s="29" t="inlineStr">
        <is>
          <t>Private Equity, Publicly Listed</t>
        </is>
      </c>
      <c r="R77" s="30" t="inlineStr">
        <is>
          <t>www.abercrombie.com</t>
        </is>
      </c>
      <c r="S77" s="31" t="n">
        <v>38000.0</v>
      </c>
      <c r="T77" s="32" t="inlineStr">
        <is>
          <t>1997: 4900, 1998: 6700, 1999: 9500, 2000: 11300, 2001: 13900, 2002: 16700, 2003: 22000, 2004: 30200, 2005: 62140, 2006: 76100, 2007: 86400, 2008: 99000, 2009: 83000, 2010: 80000, 2011: 85000, 2012: 90000, 2013: 98000, 2014: 75000, 2015: 65000, 2016: 49000, 2017: 43000, 2018: 38000</t>
        </is>
      </c>
      <c r="U77" s="33" t="inlineStr">
        <is>
          <t>NYS</t>
        </is>
      </c>
      <c r="V77" s="34" t="inlineStr">
        <is>
          <t>ANF</t>
        </is>
      </c>
      <c r="W77" s="35" t="n">
        <v>1892.0</v>
      </c>
      <c r="X77" s="36" t="inlineStr">
        <is>
          <t/>
        </is>
      </c>
      <c r="Y77" s="37" t="inlineStr">
        <is>
          <t/>
        </is>
      </c>
      <c r="Z77" s="38" t="inlineStr">
        <is>
          <t>News (New) </t>
        </is>
      </c>
      <c r="AA77" s="39" t="n">
        <v>3590.11</v>
      </c>
      <c r="AB77" s="40" t="n">
        <v>2159.92</v>
      </c>
      <c r="AC77" s="41" t="n">
        <v>74.54</v>
      </c>
      <c r="AD77" s="42" t="n">
        <v>1212.38</v>
      </c>
      <c r="AE77" s="43" t="n">
        <v>127.37</v>
      </c>
      <c r="AF77" s="44" t="inlineStr">
        <is>
          <t>FY 2019</t>
        </is>
      </c>
      <c r="AG77" s="45" t="n">
        <v>127.37</v>
      </c>
      <c r="AH77" s="46" t="n">
        <v>1633.16</v>
      </c>
      <c r="AI77" s="47" t="n">
        <v>-426.36</v>
      </c>
      <c r="AJ77" s="48" t="inlineStr">
        <is>
          <t>162805-06P</t>
        </is>
      </c>
      <c r="AK77" s="49" t="inlineStr">
        <is>
          <t>Fran Horowitz</t>
        </is>
      </c>
      <c r="AL77" s="50" t="inlineStr">
        <is>
          <t>Chief Executive Officer &amp; Board Member</t>
        </is>
      </c>
      <c r="AM77" s="51" t="inlineStr">
        <is>
          <t>fan.horowitz@abercrombie.com</t>
        </is>
      </c>
      <c r="AN77" s="52" t="inlineStr">
        <is>
          <t>+1 (614) 283-6500</t>
        </is>
      </c>
      <c r="AO77" s="53" t="inlineStr">
        <is>
          <t>New Albany, OH</t>
        </is>
      </c>
      <c r="AP77" s="54" t="inlineStr">
        <is>
          <t>6301 Fitch Path</t>
        </is>
      </c>
      <c r="AQ77" s="55" t="inlineStr">
        <is>
          <t/>
        </is>
      </c>
      <c r="AR77" s="56" t="inlineStr">
        <is>
          <t>New Albany</t>
        </is>
      </c>
      <c r="AS77" s="57" t="inlineStr">
        <is>
          <t>Ohio</t>
        </is>
      </c>
      <c r="AT77" s="58" t="inlineStr">
        <is>
          <t>43054</t>
        </is>
      </c>
      <c r="AU77" s="59" t="inlineStr">
        <is>
          <t>United States</t>
        </is>
      </c>
      <c r="AV77" s="60" t="inlineStr">
        <is>
          <t>+1 (614) 283-6500</t>
        </is>
      </c>
      <c r="AW77" s="61" t="inlineStr">
        <is>
          <t/>
        </is>
      </c>
      <c r="AX77" s="62" t="inlineStr">
        <is>
          <t/>
        </is>
      </c>
      <c r="AY77" s="63" t="inlineStr">
        <is>
          <t>Americas</t>
        </is>
      </c>
      <c r="AZ77" s="64" t="inlineStr">
        <is>
          <t>North America</t>
        </is>
      </c>
      <c r="BA77" s="65" t="inlineStr">
        <is>
          <t>The company (NYSE: ANF) was in talks to be acquired by Sycamore Partners Management through an SBO on May 9, 2017 for an undisclosed sum. Subsequently the deal was cancelled on July 10, 2017. It will instead focus on fixing the long ailing business itself. Previously, Engaged Capital sold stake in the company (NYS: ANF) for an undisclosed amount. The company will not receive any proceeds from the offering. The company is being actively tracked by PitchBook.</t>
        </is>
      </c>
      <c r="BB77" s="66" t="inlineStr">
        <is>
          <t/>
        </is>
      </c>
      <c r="BC77" s="67" t="inlineStr">
        <is>
          <t/>
        </is>
      </c>
      <c r="BD77" s="68" t="inlineStr">
        <is>
          <t/>
        </is>
      </c>
      <c r="BE77" s="69" t="inlineStr">
        <is>
          <t>Engaged Capital</t>
        </is>
      </c>
      <c r="BF77" s="70" t="inlineStr">
        <is>
          <t>Sycamore Partners Management</t>
        </is>
      </c>
      <c r="BG77" s="71" t="inlineStr">
        <is>
          <t/>
        </is>
      </c>
      <c r="BH77" s="72" t="inlineStr">
        <is>
          <t>Engaged Capital(www.engagedcapital.com)</t>
        </is>
      </c>
      <c r="BI77" s="73" t="inlineStr">
        <is>
          <t>Sycamore Partners Management(www.sycamorepartners.com)</t>
        </is>
      </c>
      <c r="BJ77" s="74" t="inlineStr">
        <is>
          <t>Herbert Mines Associates(Placement Agent), Odeon Capital Group(Advisor: General), PMG Worldwide(Consulting), REL Consultancy(Consulting), Telsey Advisory Group(Advisor: General), Tughans Solicitors(Legal Advisor), Vorys, Sater, Seymour and Pease(Legal Advisor)</t>
        </is>
      </c>
      <c r="BK77" s="75" t="inlineStr">
        <is>
          <t>Alex Brown &amp; Sons(Underwriter), Bank of America Merrill Lynch(Underwriter), Bear Stearns(Underwriter), Black &amp; Company(Underwriter), Chase Securities(Underwriter), Citicorp Investment Bank(Underwriter), Coopers &amp; Lybrand(Auditor), Credit Suisse First Boston(Underwriter), Davis Polk &amp; Wardwell(Legal Advisor), Deutsche Morgan Grenfell Group(Underwriter), Dillon Read &amp; Co.(Underwriter), Donaldson, Lufkin &amp; Jenrette(Underwriter), Fried, Frank, Harris, Shriver &amp; Jacobson(Legal Advisor), Gerard Klauer Mattison &amp; Co.(Underwriter), Gruntal &amp; Company(Underwriter), Hilliard Lyons Investment Banking(Underwriter), HSBC India(Underwriter), ING Barings Private Equity(Underwriter), J.P. Morgan(Underwriter), Lazard(Underwriter), Legg Mason Wood Walker(Underwriter), McDonald &amp; Company Securities(Underwriter), Montgomery Securities(Underwriter), Morgan Stanley(Underwriter), National City(Advisor: General), Oppenheimer &amp; Company(Underwriter), Perella Weinberg Partners(Advisor: General), Prudential Equity Group(Underwriter), Raymond James Financial(Underwriter), Robertson Stephens(Underwriter), Rodman &amp; Renshaw(Underwriter), Salomon Brothers(Underwriter), Schroders(Underwriter), Simmons &amp; Simmons(Legal Advisor), Stephens(Underwriter), The Buckingham Research Group(Underwriter), The Chicago Corporation(Underwriter), The Goldman Sachs Group(Underwriter), The Ohio Company(Underwriter), UBS Securities (China)(Underwriter), William Blair &amp; Company(Underwriter)</t>
        </is>
      </c>
      <c r="BL77" s="76" t="n">
        <v>35333.0</v>
      </c>
      <c r="BM77" s="77" t="n">
        <v>89.6</v>
      </c>
      <c r="BN77" s="78" t="inlineStr">
        <is>
          <t>Actual</t>
        </is>
      </c>
      <c r="BO77" s="79" t="n">
        <v>201.6</v>
      </c>
      <c r="BP77" s="80" t="inlineStr">
        <is>
          <t>Actual</t>
        </is>
      </c>
      <c r="BQ77" s="81" t="inlineStr">
        <is>
          <t>IPO</t>
        </is>
      </c>
      <c r="BR77" s="82" t="inlineStr">
        <is>
          <t/>
        </is>
      </c>
      <c r="BS77" s="83" t="inlineStr">
        <is>
          <t/>
        </is>
      </c>
      <c r="BT77" s="84" t="inlineStr">
        <is>
          <t>Public Investment</t>
        </is>
      </c>
      <c r="BU77" s="85" t="inlineStr">
        <is>
          <t/>
        </is>
      </c>
      <c r="BV77" s="86" t="inlineStr">
        <is>
          <t/>
        </is>
      </c>
      <c r="BW77" s="87" t="inlineStr">
        <is>
          <t/>
        </is>
      </c>
      <c r="BX77" s="88" t="inlineStr">
        <is>
          <t>Completed</t>
        </is>
      </c>
      <c r="BY77" s="89" t="n">
        <v>42926.0</v>
      </c>
      <c r="BZ77" s="90" t="inlineStr">
        <is>
          <t/>
        </is>
      </c>
      <c r="CA77" s="91" t="inlineStr">
        <is>
          <t/>
        </is>
      </c>
      <c r="CB77" s="92" t="inlineStr">
        <is>
          <t/>
        </is>
      </c>
      <c r="CC77" s="93" t="inlineStr">
        <is>
          <t/>
        </is>
      </c>
      <c r="CD77" s="94" t="inlineStr">
        <is>
          <t>Buyout/LBO</t>
        </is>
      </c>
      <c r="CE77" s="95" t="inlineStr">
        <is>
          <t>Secondary Buyout</t>
        </is>
      </c>
      <c r="CF77" s="96" t="inlineStr">
        <is>
          <t/>
        </is>
      </c>
      <c r="CG77" s="97" t="inlineStr">
        <is>
          <t>Private Equity</t>
        </is>
      </c>
      <c r="CH77" s="98" t="inlineStr">
        <is>
          <t/>
        </is>
      </c>
      <c r="CI77" s="99" t="inlineStr">
        <is>
          <t/>
        </is>
      </c>
      <c r="CJ77" s="100" t="inlineStr">
        <is>
          <t/>
        </is>
      </c>
      <c r="CK77" s="101" t="inlineStr">
        <is>
          <t>Failed/Cancelled</t>
        </is>
      </c>
      <c r="CL77" s="102" t="inlineStr">
        <is>
          <t/>
        </is>
      </c>
      <c r="CM77" s="103" t="inlineStr">
        <is>
          <t/>
        </is>
      </c>
      <c r="CN77" s="104" t="n">
        <v>0.34</v>
      </c>
      <c r="CO77" s="105" t="n">
        <v>92.0</v>
      </c>
      <c r="CP77" s="106" t="n">
        <v>-0.01</v>
      </c>
      <c r="CQ77" s="107" t="n">
        <v>-2.31</v>
      </c>
      <c r="CR77" s="108" t="n">
        <v>-0.06</v>
      </c>
      <c r="CS77" s="109" t="n">
        <v>13.0</v>
      </c>
      <c r="CT77" s="110" t="n">
        <v>-0.06</v>
      </c>
      <c r="CU77" s="111" t="n">
        <v>13.0</v>
      </c>
      <c r="CV77" s="112" t="n">
        <v>-0.23</v>
      </c>
      <c r="CW77" s="113" t="n">
        <v>31.0</v>
      </c>
      <c r="CX77" s="114" t="n">
        <v>0.12</v>
      </c>
      <c r="CY77" s="115" t="n">
        <v>87.0</v>
      </c>
      <c r="CZ77" s="116" t="n">
        <v>-0.1</v>
      </c>
      <c r="DA77" s="117" t="n">
        <v>9.0</v>
      </c>
      <c r="DB77" s="118" t="n">
        <v>2433.97</v>
      </c>
      <c r="DC77" s="119" t="n">
        <v>100.0</v>
      </c>
      <c r="DD77" s="120" t="n">
        <v>37.26</v>
      </c>
      <c r="DE77" s="121" t="n">
        <v>1.55</v>
      </c>
      <c r="DF77" s="122" t="n">
        <v>785.45</v>
      </c>
      <c r="DG77" s="123" t="n">
        <v>100.0</v>
      </c>
      <c r="DH77" s="124" t="n">
        <v>5580.96</v>
      </c>
      <c r="DI77" s="125" t="n">
        <v>100.0</v>
      </c>
      <c r="DJ77" s="126" t="n">
        <v>1198.6</v>
      </c>
      <c r="DK77" s="127" t="n">
        <v>100.0</v>
      </c>
      <c r="DL77" s="128" t="n">
        <v>372.29</v>
      </c>
      <c r="DM77" s="129" t="n">
        <v>100.0</v>
      </c>
      <c r="DN77" s="130" t="n">
        <v>1573.85</v>
      </c>
      <c r="DO77" s="131" t="n">
        <v>100.0</v>
      </c>
      <c r="DP77" s="132" t="n">
        <v>859559.0</v>
      </c>
      <c r="DQ77" s="133" t="n">
        <v>-44632.0</v>
      </c>
      <c r="DR77" s="134" t="n">
        <v>-4.94</v>
      </c>
      <c r="DS77" s="135" t="n">
        <v>12626.0</v>
      </c>
      <c r="DT77" s="136" t="n">
        <v>70.0</v>
      </c>
      <c r="DU77" s="137" t="n">
        <v>0.56</v>
      </c>
      <c r="DV77" s="138" t="n">
        <v>565278.0</v>
      </c>
      <c r="DW77" s="139" t="n">
        <v>-818.0</v>
      </c>
      <c r="DX77" s="140" t="n">
        <v>-0.14</v>
      </c>
      <c r="DY77" s="141" t="inlineStr">
        <is>
          <t>PitchBook Research</t>
        </is>
      </c>
      <c r="DZ77" s="142" t="n">
        <v>43549.0</v>
      </c>
      <c r="EA77" s="143" t="n">
        <v>201.6</v>
      </c>
      <c r="EB77" s="144" t="n">
        <v>35333.0</v>
      </c>
      <c r="EC77" s="145" t="inlineStr">
        <is>
          <t>IPO</t>
        </is>
      </c>
      <c r="ED77" s="547">
        <f>HYPERLINK("https://my.pitchbook.com?c=41195-26", "View company online")</f>
      </c>
    </row>
    <row r="78">
      <c r="A78" s="147" t="inlineStr">
        <is>
          <t>164650-60</t>
        </is>
      </c>
      <c r="B78" s="148" t="inlineStr">
        <is>
          <t>Jihua Group Corporation (SHG: 601718)</t>
        </is>
      </c>
      <c r="C78" s="149" t="inlineStr">
        <is>
          <t/>
        </is>
      </c>
      <c r="D78" s="150" t="inlineStr">
        <is>
          <t/>
        </is>
      </c>
      <c r="E78" s="151" t="inlineStr">
        <is>
          <t>164650-60</t>
        </is>
      </c>
      <c r="F78" s="152" t="inlineStr">
        <is>
          <t>Jihua Group Corp Ltd is a China-based company engaged in the business of formal wear, textile printing and dyeing, professional footwear and protective equipment, ferroalloys, and medicines.</t>
        </is>
      </c>
      <c r="G78" s="153" t="inlineStr">
        <is>
          <t>Business Products and Services (B2B)</t>
        </is>
      </c>
      <c r="H78" s="154" t="inlineStr">
        <is>
          <t>Commercial Products</t>
        </is>
      </c>
      <c r="I78" s="155" t="inlineStr">
        <is>
          <t>Aerospace and Defense</t>
        </is>
      </c>
      <c r="J78" s="156" t="inlineStr">
        <is>
          <t>Aerospace and Defense*, Clothing, Other Commercial Products</t>
        </is>
      </c>
      <c r="K78" s="157" t="inlineStr">
        <is>
          <t>Industrials, Manufacturing</t>
        </is>
      </c>
      <c r="L78" s="158" t="inlineStr">
        <is>
          <t>civil-use product, industrial product, military, uniforms</t>
        </is>
      </c>
      <c r="M78" s="159" t="inlineStr">
        <is>
          <t>Corporation</t>
        </is>
      </c>
      <c r="N78" s="160" t="inlineStr">
        <is>
          <t/>
        </is>
      </c>
      <c r="O78" s="161" t="inlineStr">
        <is>
          <t>Profitable</t>
        </is>
      </c>
      <c r="P78" s="162" t="inlineStr">
        <is>
          <t>Publicly Held</t>
        </is>
      </c>
      <c r="Q78" s="163" t="inlineStr">
        <is>
          <t>Publicly Listed</t>
        </is>
      </c>
      <c r="R78" s="164" t="inlineStr">
        <is>
          <t>www.jihuachina.com</t>
        </is>
      </c>
      <c r="S78" s="165" t="n">
        <v>30282.0</v>
      </c>
      <c r="T78" s="166" t="inlineStr">
        <is>
          <t>2009: 49177, 2010: 46388, 2011: 44551, 2012: 41167, 2013: 37649, 2014: 36815, 2015: 37097, 2016: 34291, 2017: 30282</t>
        </is>
      </c>
      <c r="U78" s="167" t="inlineStr">
        <is>
          <t>SHG</t>
        </is>
      </c>
      <c r="V78" s="168" t="inlineStr">
        <is>
          <t>601718</t>
        </is>
      </c>
      <c r="W78" s="169" t="n">
        <v>2009.0</v>
      </c>
      <c r="X78" s="170" t="inlineStr">
        <is>
          <t/>
        </is>
      </c>
      <c r="Y78" s="171" t="inlineStr">
        <is>
          <t/>
        </is>
      </c>
      <c r="Z78" s="172" t="inlineStr">
        <is>
          <t/>
        </is>
      </c>
      <c r="AA78" s="173" t="n">
        <v>3546.16</v>
      </c>
      <c r="AB78" s="174" t="n">
        <v>312.43</v>
      </c>
      <c r="AC78" s="175" t="n">
        <v>60.67</v>
      </c>
      <c r="AD78" s="176" t="n">
        <v>2323.83</v>
      </c>
      <c r="AE78" s="177" t="n">
        <v>163.72</v>
      </c>
      <c r="AF78" s="178" t="inlineStr">
        <is>
          <t>TTM 3Q2018</t>
        </is>
      </c>
      <c r="AG78" s="179" t="n">
        <v>101.08</v>
      </c>
      <c r="AH78" s="180" t="n">
        <v>3329.69</v>
      </c>
      <c r="AI78" s="181" t="n">
        <v>2.89</v>
      </c>
      <c r="AJ78" s="182" t="inlineStr">
        <is>
          <t/>
        </is>
      </c>
      <c r="AK78" s="183" t="inlineStr">
        <is>
          <t/>
        </is>
      </c>
      <c r="AL78" s="184" t="inlineStr">
        <is>
          <t/>
        </is>
      </c>
      <c r="AM78" s="185" t="inlineStr">
        <is>
          <t/>
        </is>
      </c>
      <c r="AN78" s="186" t="inlineStr">
        <is>
          <t/>
        </is>
      </c>
      <c r="AO78" s="187" t="inlineStr">
        <is>
          <t>Beijing, China</t>
        </is>
      </c>
      <c r="AP78" s="188" t="inlineStr">
        <is>
          <t>No. 6 Building No. 188, South 4th Ring West Road Zone 15</t>
        </is>
      </c>
      <c r="AQ78" s="189" t="inlineStr">
        <is>
          <t>Fengtai District</t>
        </is>
      </c>
      <c r="AR78" s="190" t="inlineStr">
        <is>
          <t>Beijing</t>
        </is>
      </c>
      <c r="AS78" s="191" t="inlineStr">
        <is>
          <t/>
        </is>
      </c>
      <c r="AT78" s="192" t="inlineStr">
        <is>
          <t>100020</t>
        </is>
      </c>
      <c r="AU78" s="193" t="inlineStr">
        <is>
          <t>China</t>
        </is>
      </c>
      <c r="AV78" s="194" t="inlineStr">
        <is>
          <t>+86 (0)10 6370 6008</t>
        </is>
      </c>
      <c r="AW78" s="195" t="inlineStr">
        <is>
          <t>+86 (0)10 6370 6008</t>
        </is>
      </c>
      <c r="AX78" s="196" t="inlineStr">
        <is>
          <t/>
        </is>
      </c>
      <c r="AY78" s="197" t="inlineStr">
        <is>
          <t>Asia</t>
        </is>
      </c>
      <c r="AZ78" s="198" t="inlineStr">
        <is>
          <t>East Asia</t>
        </is>
      </c>
      <c r="BA78" s="199" t="inlineStr">
        <is>
          <t/>
        </is>
      </c>
      <c r="BB78" s="200" t="inlineStr">
        <is>
          <t/>
        </is>
      </c>
      <c r="BC78" s="201" t="inlineStr">
        <is>
          <t/>
        </is>
      </c>
      <c r="BD78" s="202" t="inlineStr">
        <is>
          <t/>
        </is>
      </c>
      <c r="BE78" s="203" t="inlineStr">
        <is>
          <t/>
        </is>
      </c>
      <c r="BF78" s="204" t="inlineStr">
        <is>
          <t/>
        </is>
      </c>
      <c r="BG78" s="205" t="inlineStr">
        <is>
          <t/>
        </is>
      </c>
      <c r="BH78" s="206" t="inlineStr">
        <is>
          <t/>
        </is>
      </c>
      <c r="BI78" s="207" t="inlineStr">
        <is>
          <t/>
        </is>
      </c>
      <c r="BJ78" s="208" t="inlineStr">
        <is>
          <t/>
        </is>
      </c>
      <c r="BK78" s="209" t="inlineStr">
        <is>
          <t/>
        </is>
      </c>
      <c r="BL78" s="210" t="inlineStr">
        <is>
          <t/>
        </is>
      </c>
      <c r="BM78" s="211" t="inlineStr">
        <is>
          <t/>
        </is>
      </c>
      <c r="BN78" s="212" t="inlineStr">
        <is>
          <t/>
        </is>
      </c>
      <c r="BO78" s="213" t="inlineStr">
        <is>
          <t/>
        </is>
      </c>
      <c r="BP78" s="214" t="inlineStr">
        <is>
          <t/>
        </is>
      </c>
      <c r="BQ78" s="215" t="inlineStr">
        <is>
          <t/>
        </is>
      </c>
      <c r="BR78" s="216" t="inlineStr">
        <is>
          <t/>
        </is>
      </c>
      <c r="BS78" s="217" t="inlineStr">
        <is>
          <t/>
        </is>
      </c>
      <c r="BT78" s="218" t="inlineStr">
        <is>
          <t/>
        </is>
      </c>
      <c r="BU78" s="219" t="inlineStr">
        <is>
          <t/>
        </is>
      </c>
      <c r="BV78" s="220" t="inlineStr">
        <is>
          <t/>
        </is>
      </c>
      <c r="BW78" s="221" t="inlineStr">
        <is>
          <t/>
        </is>
      </c>
      <c r="BX78" s="222" t="inlineStr">
        <is>
          <t/>
        </is>
      </c>
      <c r="BY78" s="223" t="inlineStr">
        <is>
          <t/>
        </is>
      </c>
      <c r="BZ78" s="224" t="inlineStr">
        <is>
          <t/>
        </is>
      </c>
      <c r="CA78" s="225" t="inlineStr">
        <is>
          <t/>
        </is>
      </c>
      <c r="CB78" s="226" t="inlineStr">
        <is>
          <t/>
        </is>
      </c>
      <c r="CC78" s="227" t="inlineStr">
        <is>
          <t/>
        </is>
      </c>
      <c r="CD78" s="228" t="inlineStr">
        <is>
          <t/>
        </is>
      </c>
      <c r="CE78" s="229" t="inlineStr">
        <is>
          <t/>
        </is>
      </c>
      <c r="CF78" s="230" t="inlineStr">
        <is>
          <t/>
        </is>
      </c>
      <c r="CG78" s="231" t="inlineStr">
        <is>
          <t/>
        </is>
      </c>
      <c r="CH78" s="232" t="inlineStr">
        <is>
          <t/>
        </is>
      </c>
      <c r="CI78" s="233" t="inlineStr">
        <is>
          <t/>
        </is>
      </c>
      <c r="CJ78" s="234" t="inlineStr">
        <is>
          <t/>
        </is>
      </c>
      <c r="CK78" s="235" t="inlineStr">
        <is>
          <t/>
        </is>
      </c>
      <c r="CL78" s="236" t="inlineStr">
        <is>
          <t/>
        </is>
      </c>
      <c r="CM78" s="237" t="inlineStr">
        <is>
          <t/>
        </is>
      </c>
      <c r="CN78" s="238" t="n">
        <v>-0.05</v>
      </c>
      <c r="CO78" s="239" t="n">
        <v>14.0</v>
      </c>
      <c r="CP78" s="240" t="n">
        <v>0.14</v>
      </c>
      <c r="CQ78" s="241" t="n">
        <v>74.17</v>
      </c>
      <c r="CR78" s="242" t="n">
        <v>-0.05</v>
      </c>
      <c r="CS78" s="243" t="n">
        <v>13.0</v>
      </c>
      <c r="CT78" s="244" t="inlineStr">
        <is>
          <t/>
        </is>
      </c>
      <c r="CU78" s="245" t="inlineStr">
        <is>
          <t/>
        </is>
      </c>
      <c r="CV78" s="246" t="inlineStr">
        <is>
          <t/>
        </is>
      </c>
      <c r="CW78" s="247" t="inlineStr">
        <is>
          <t/>
        </is>
      </c>
      <c r="CX78" s="248" t="n">
        <v>-0.05</v>
      </c>
      <c r="CY78" s="249" t="n">
        <v>11.0</v>
      </c>
      <c r="CZ78" s="250" t="inlineStr">
        <is>
          <t/>
        </is>
      </c>
      <c r="DA78" s="251" t="inlineStr">
        <is>
          <t/>
        </is>
      </c>
      <c r="DB78" s="252" t="n">
        <v>20.21</v>
      </c>
      <c r="DC78" s="253" t="n">
        <v>95.0</v>
      </c>
      <c r="DD78" s="254" t="n">
        <v>4.96</v>
      </c>
      <c r="DE78" s="255" t="n">
        <v>32.55</v>
      </c>
      <c r="DF78" s="256" t="n">
        <v>20.21</v>
      </c>
      <c r="DG78" s="257" t="n">
        <v>94.0</v>
      </c>
      <c r="DH78" s="258" t="inlineStr">
        <is>
          <t/>
        </is>
      </c>
      <c r="DI78" s="259" t="inlineStr">
        <is>
          <t/>
        </is>
      </c>
      <c r="DJ78" s="260" t="inlineStr">
        <is>
          <t/>
        </is>
      </c>
      <c r="DK78" s="261" t="inlineStr">
        <is>
          <t/>
        </is>
      </c>
      <c r="DL78" s="262" t="n">
        <v>20.21</v>
      </c>
      <c r="DM78" s="263" t="n">
        <v>93.0</v>
      </c>
      <c r="DN78" s="264" t="inlineStr">
        <is>
          <t/>
        </is>
      </c>
      <c r="DO78" s="265" t="inlineStr">
        <is>
          <t/>
        </is>
      </c>
      <c r="DP78" s="266" t="inlineStr">
        <is>
          <t/>
        </is>
      </c>
      <c r="DQ78" s="267" t="inlineStr">
        <is>
          <t/>
        </is>
      </c>
      <c r="DR78" s="268" t="inlineStr">
        <is>
          <t/>
        </is>
      </c>
      <c r="DS78" s="269" t="n">
        <v>686.0</v>
      </c>
      <c r="DT78" s="270" t="n">
        <v>2.0</v>
      </c>
      <c r="DU78" s="271" t="n">
        <v>0.29</v>
      </c>
      <c r="DV78" s="272" t="inlineStr">
        <is>
          <t/>
        </is>
      </c>
      <c r="DW78" s="273" t="inlineStr">
        <is>
          <t/>
        </is>
      </c>
      <c r="DX78" s="274" t="inlineStr">
        <is>
          <t/>
        </is>
      </c>
      <c r="DY78" s="275" t="inlineStr">
        <is>
          <t>PitchBook Research</t>
        </is>
      </c>
      <c r="DZ78" s="276" t="n">
        <v>43491.0</v>
      </c>
      <c r="EA78" s="277" t="inlineStr">
        <is>
          <t/>
        </is>
      </c>
      <c r="EB78" s="278" t="inlineStr">
        <is>
          <t/>
        </is>
      </c>
      <c r="EC78" s="279" t="inlineStr">
        <is>
          <t/>
        </is>
      </c>
      <c r="ED78" s="548">
        <f>HYPERLINK("https://my.pitchbook.com?c=164650-60", "View company online")</f>
      </c>
    </row>
    <row r="79">
      <c r="A79" s="13" t="inlineStr">
        <is>
          <t>11822-23</t>
        </is>
      </c>
      <c r="B79" s="14" t="inlineStr">
        <is>
          <t>Carter's (NYS: CRI)</t>
        </is>
      </c>
      <c r="C79" s="15" t="inlineStr">
        <is>
          <t/>
        </is>
      </c>
      <c r="D79" s="16" t="inlineStr">
        <is>
          <t>William Carter Company</t>
        </is>
      </c>
      <c r="E79" s="17" t="inlineStr">
        <is>
          <t>11822-23</t>
        </is>
      </c>
      <c r="F79" s="18" t="inlineStr">
        <is>
          <t>Carter's Inc makes apparel for babies and children under brand names including Carter's and OshKosh B'gosh. It sells its products primarily through three channels: branded retail stores in the United States and Canada, company websites, and department stores and other wholesale locations. The majority of Carter's sales are in the U.S. and through the Carter's brand. The company predominantly sources products through contract manufacturers in Asia. It has multiple distribution centers in the U.S., in addition to distribution centers in Canada and Asia that serve international customers.</t>
        </is>
      </c>
      <c r="G79" s="19" t="inlineStr">
        <is>
          <t>Consumer Products and Services (B2C)</t>
        </is>
      </c>
      <c r="H79" s="20" t="inlineStr">
        <is>
          <t>Apparel and Accessories</t>
        </is>
      </c>
      <c r="I79" s="21" t="inlineStr">
        <is>
          <t>Clothing</t>
        </is>
      </c>
      <c r="J79" s="22" t="inlineStr">
        <is>
          <t>Accessories, Clothing*, Specialty Retail</t>
        </is>
      </c>
      <c r="K79" s="23" t="inlineStr">
        <is>
          <t/>
        </is>
      </c>
      <c r="L79" s="24" t="inlineStr">
        <is>
          <t>baby apparel, baby product, children clothing, clothing and accessories</t>
        </is>
      </c>
      <c r="M79" s="25" t="inlineStr">
        <is>
          <t>Formerly PE-Backed</t>
        </is>
      </c>
      <c r="N79" s="26" t="n">
        <v>373.3</v>
      </c>
      <c r="O79" s="27" t="inlineStr">
        <is>
          <t>Profitable</t>
        </is>
      </c>
      <c r="P79" s="28" t="inlineStr">
        <is>
          <t>Publicly Held</t>
        </is>
      </c>
      <c r="Q79" s="29" t="inlineStr">
        <is>
          <t>Private Equity, Publicly Listed</t>
        </is>
      </c>
      <c r="R79" s="30" t="inlineStr">
        <is>
          <t/>
        </is>
      </c>
      <c r="S79" s="31" t="n">
        <v>21000.0</v>
      </c>
      <c r="T79" s="32" t="inlineStr">
        <is>
          <t>2002: 5557, 2003: 4214, 2004: 4364, 2005: 7795, 2006: 6731, 2007: 7630, 2009: 6548, 2010: 7622, 2011: 8684, 2012: 11786, 2013: 11222, 2015: 11565, 2016: 18300, 2017: 20900, 2018: 21000</t>
        </is>
      </c>
      <c r="U79" s="33" t="inlineStr">
        <is>
          <t>NYS</t>
        </is>
      </c>
      <c r="V79" s="34" t="inlineStr">
        <is>
          <t>CRI</t>
        </is>
      </c>
      <c r="W79" s="35" t="n">
        <v>1865.0</v>
      </c>
      <c r="X79" s="36" t="inlineStr">
        <is>
          <t/>
        </is>
      </c>
      <c r="Y79" s="37" t="inlineStr">
        <is>
          <t>News (New) </t>
        </is>
      </c>
      <c r="Z79" s="38" t="inlineStr">
        <is>
          <t>News (New) </t>
        </is>
      </c>
      <c r="AA79" s="39" t="n">
        <v>3462.27</v>
      </c>
      <c r="AB79" s="40" t="n">
        <v>1497.48</v>
      </c>
      <c r="AC79" s="41" t="n">
        <v>282.07</v>
      </c>
      <c r="AD79" s="42" t="n">
        <v>4416.31</v>
      </c>
      <c r="AE79" s="43" t="n">
        <v>479.67</v>
      </c>
      <c r="AF79" s="44" t="inlineStr">
        <is>
          <t>FY 2018</t>
        </is>
      </c>
      <c r="AG79" s="45" t="n">
        <v>390.02</v>
      </c>
      <c r="AH79" s="46" t="n">
        <v>4280.98</v>
      </c>
      <c r="AI79" s="47" t="n">
        <v>423.19</v>
      </c>
      <c r="AJ79" s="48" t="inlineStr">
        <is>
          <t>15826-24P</t>
        </is>
      </c>
      <c r="AK79" s="49" t="inlineStr">
        <is>
          <t>Michael Casey</t>
        </is>
      </c>
      <c r="AL79" s="50" t="inlineStr">
        <is>
          <t>Chairman &amp; Chief Executive Officer</t>
        </is>
      </c>
      <c r="AM79" s="51" t="inlineStr">
        <is>
          <t>mike.casey@carters.com</t>
        </is>
      </c>
      <c r="AN79" s="52" t="inlineStr">
        <is>
          <t>+1 (678) 399-1000</t>
        </is>
      </c>
      <c r="AO79" s="53" t="inlineStr">
        <is>
          <t>Atlanta, GA</t>
        </is>
      </c>
      <c r="AP79" s="54" t="inlineStr">
        <is>
          <t>3438 Peachtree Road North East</t>
        </is>
      </c>
      <c r="AQ79" s="55" t="inlineStr">
        <is>
          <t>Suite 1800</t>
        </is>
      </c>
      <c r="AR79" s="56" t="inlineStr">
        <is>
          <t>Atlanta</t>
        </is>
      </c>
      <c r="AS79" s="57" t="inlineStr">
        <is>
          <t>Georgia</t>
        </is>
      </c>
      <c r="AT79" s="58" t="inlineStr">
        <is>
          <t>30309</t>
        </is>
      </c>
      <c r="AU79" s="59" t="inlineStr">
        <is>
          <t>United States</t>
        </is>
      </c>
      <c r="AV79" s="60" t="inlineStr">
        <is>
          <t>+1 (678) 399-1000</t>
        </is>
      </c>
      <c r="AW79" s="61" t="inlineStr">
        <is>
          <t>+1 (404) 892-0968</t>
        </is>
      </c>
      <c r="AX79" s="62" t="inlineStr">
        <is>
          <t/>
        </is>
      </c>
      <c r="AY79" s="63" t="inlineStr">
        <is>
          <t>Americas</t>
        </is>
      </c>
      <c r="AZ79" s="64" t="inlineStr">
        <is>
          <t>North America</t>
        </is>
      </c>
      <c r="BA79" s="65" t="inlineStr">
        <is>
          <t>The company (NYS: CRI) received an undisclosed amount of development capital from Zürcher Kantonalbank on September 17, 2017 through a private placement.</t>
        </is>
      </c>
      <c r="BB79" s="66" t="inlineStr">
        <is>
          <t>Zürcher Kantonalbank</t>
        </is>
      </c>
      <c r="BC79" s="67" t="n">
        <v>1.0</v>
      </c>
      <c r="BD79" s="68" t="inlineStr">
        <is>
          <t/>
        </is>
      </c>
      <c r="BE79" s="69" t="inlineStr">
        <is>
          <t>Berkshire Partners, Chatham Capital, Investcorp Bank</t>
        </is>
      </c>
      <c r="BF79" s="70" t="inlineStr">
        <is>
          <t/>
        </is>
      </c>
      <c r="BG79" s="71" t="inlineStr">
        <is>
          <t>Zürcher Kantonalbank(www.zkb.ch)</t>
        </is>
      </c>
      <c r="BH79" s="72" t="inlineStr">
        <is>
          <t>Berkshire Partners(www.berkshirepartners.com), Chatham Capital(www.chathamcapital.com), Investcorp Bank(www.investcorp.com)</t>
        </is>
      </c>
      <c r="BI79" s="73" t="inlineStr">
        <is>
          <t/>
        </is>
      </c>
      <c r="BJ79" s="74" t="inlineStr">
        <is>
          <t>CL King &amp; Associates(Advisor: General), JPMorgan Chase(Debt Financing)</t>
        </is>
      </c>
      <c r="BK79" s="75" t="inlineStr">
        <is>
          <t>Bank of America Merrill Lynch(Underwriter), Credit Suisse(Underwriter), Gibson, Dunn &amp; Crutcher(Legal Advisor), Morgan Stanley(Underwriter), The Goldman Sachs Group(Underwriter)</t>
        </is>
      </c>
      <c r="BL79" s="76" t="n">
        <v>35369.0</v>
      </c>
      <c r="BM79" s="77" t="inlineStr">
        <is>
          <t/>
        </is>
      </c>
      <c r="BN79" s="78" t="inlineStr">
        <is>
          <t/>
        </is>
      </c>
      <c r="BO79" s="79" t="inlineStr">
        <is>
          <t/>
        </is>
      </c>
      <c r="BP79" s="80" t="inlineStr">
        <is>
          <t/>
        </is>
      </c>
      <c r="BQ79" s="81" t="inlineStr">
        <is>
          <t>Buyout/LBO</t>
        </is>
      </c>
      <c r="BR79" s="82" t="inlineStr">
        <is>
          <t/>
        </is>
      </c>
      <c r="BS79" s="83" t="inlineStr">
        <is>
          <t/>
        </is>
      </c>
      <c r="BT79" s="84" t="inlineStr">
        <is>
          <t>Private Equity</t>
        </is>
      </c>
      <c r="BU79" s="85" t="inlineStr">
        <is>
          <t/>
        </is>
      </c>
      <c r="BV79" s="86" t="inlineStr">
        <is>
          <t/>
        </is>
      </c>
      <c r="BW79" s="87" t="inlineStr">
        <is>
          <t/>
        </is>
      </c>
      <c r="BX79" s="88" t="inlineStr">
        <is>
          <t>Completed</t>
        </is>
      </c>
      <c r="BY79" s="89" t="n">
        <v>42995.0</v>
      </c>
      <c r="BZ79" s="90" t="inlineStr">
        <is>
          <t/>
        </is>
      </c>
      <c r="CA79" s="91" t="inlineStr">
        <is>
          <t/>
        </is>
      </c>
      <c r="CB79" s="92" t="inlineStr">
        <is>
          <t/>
        </is>
      </c>
      <c r="CC79" s="93" t="inlineStr">
        <is>
          <t/>
        </is>
      </c>
      <c r="CD79" s="94" t="inlineStr">
        <is>
          <t>PIPE</t>
        </is>
      </c>
      <c r="CE79" s="95" t="inlineStr">
        <is>
          <t/>
        </is>
      </c>
      <c r="CF79" s="96" t="inlineStr">
        <is>
          <t/>
        </is>
      </c>
      <c r="CG79" s="97" t="inlineStr">
        <is>
          <t/>
        </is>
      </c>
      <c r="CH79" s="98" t="inlineStr">
        <is>
          <t/>
        </is>
      </c>
      <c r="CI79" s="99" t="inlineStr">
        <is>
          <t/>
        </is>
      </c>
      <c r="CJ79" s="100" t="inlineStr">
        <is>
          <t/>
        </is>
      </c>
      <c r="CK79" s="101" t="inlineStr">
        <is>
          <t>Completed</t>
        </is>
      </c>
      <c r="CL79" s="102" t="inlineStr">
        <is>
          <t/>
        </is>
      </c>
      <c r="CM79" s="103" t="inlineStr">
        <is>
          <t/>
        </is>
      </c>
      <c r="CN79" s="104" t="n">
        <v>2.28</v>
      </c>
      <c r="CO79" s="105" t="n">
        <v>100.0</v>
      </c>
      <c r="CP79" s="106" t="n">
        <v>0.01</v>
      </c>
      <c r="CQ79" s="107" t="n">
        <v>0.46</v>
      </c>
      <c r="CR79" s="108" t="n">
        <v>-0.53</v>
      </c>
      <c r="CS79" s="109" t="n">
        <v>8.0</v>
      </c>
      <c r="CT79" s="110" t="n">
        <v>0.06</v>
      </c>
      <c r="CU79" s="111" t="n">
        <v>66.0</v>
      </c>
      <c r="CV79" s="112" t="n">
        <v>-1.52</v>
      </c>
      <c r="CW79" s="113" t="n">
        <v>23.0</v>
      </c>
      <c r="CX79" s="114" t="n">
        <v>0.45</v>
      </c>
      <c r="CY79" s="115" t="n">
        <v>93.0</v>
      </c>
      <c r="CZ79" s="116" t="n">
        <v>0.01</v>
      </c>
      <c r="DA79" s="117" t="n">
        <v>63.0</v>
      </c>
      <c r="DB79" s="118" t="n">
        <v>947.92</v>
      </c>
      <c r="DC79" s="119" t="n">
        <v>100.0</v>
      </c>
      <c r="DD79" s="120" t="n">
        <v>14.47</v>
      </c>
      <c r="DE79" s="121" t="n">
        <v>1.55</v>
      </c>
      <c r="DF79" s="122" t="n">
        <v>534.85</v>
      </c>
      <c r="DG79" s="123" t="n">
        <v>100.0</v>
      </c>
      <c r="DH79" s="124" t="n">
        <v>2289.56</v>
      </c>
      <c r="DI79" s="125" t="n">
        <v>100.0</v>
      </c>
      <c r="DJ79" s="126" t="n">
        <v>772.76</v>
      </c>
      <c r="DK79" s="127" t="n">
        <v>100.0</v>
      </c>
      <c r="DL79" s="128" t="n">
        <v>296.94</v>
      </c>
      <c r="DM79" s="129" t="n">
        <v>100.0</v>
      </c>
      <c r="DN79" s="130" t="n">
        <v>91.94</v>
      </c>
      <c r="DO79" s="131" t="n">
        <v>98.0</v>
      </c>
      <c r="DP79" s="132" t="n">
        <v>556711.0</v>
      </c>
      <c r="DQ79" s="133" t="n">
        <v>-51584.0</v>
      </c>
      <c r="DR79" s="134" t="n">
        <v>-8.48</v>
      </c>
      <c r="DS79" s="135" t="n">
        <v>10060.0</v>
      </c>
      <c r="DT79" s="136" t="n">
        <v>88.0</v>
      </c>
      <c r="DU79" s="137" t="n">
        <v>0.88</v>
      </c>
      <c r="DV79" s="138" t="n">
        <v>33015.0</v>
      </c>
      <c r="DW79" s="139" t="n">
        <v>-19.0</v>
      </c>
      <c r="DX79" s="140" t="n">
        <v>-0.06</v>
      </c>
      <c r="DY79" s="141" t="inlineStr">
        <is>
          <t>PitchBook Research</t>
        </is>
      </c>
      <c r="DZ79" s="142" t="n">
        <v>43549.0</v>
      </c>
      <c r="EA79" s="143" t="n">
        <v>518.7</v>
      </c>
      <c r="EB79" s="144" t="n">
        <v>37923.0</v>
      </c>
      <c r="EC79" s="145" t="inlineStr">
        <is>
          <t>IPO</t>
        </is>
      </c>
      <c r="ED79" s="547">
        <f>HYPERLINK("https://my.pitchbook.com?c=11822-23", "View company online")</f>
      </c>
    </row>
    <row r="80">
      <c r="A80" s="147" t="inlineStr">
        <is>
          <t>11349-01</t>
        </is>
      </c>
      <c r="B80" s="148" t="inlineStr">
        <is>
          <t>Hugo Boss (ETR: BOSS)</t>
        </is>
      </c>
      <c r="C80" s="149" t="inlineStr">
        <is>
          <t/>
        </is>
      </c>
      <c r="D80" s="150" t="inlineStr">
        <is>
          <t/>
        </is>
      </c>
      <c r="E80" s="151" t="inlineStr">
        <is>
          <t>11349-01</t>
        </is>
      </c>
      <c r="F80" s="152" t="inlineStr">
        <is>
          <t>Hugo Boss is a Germany-based menswear apparel brand playing in the premium segment through its two brands, Boss and Hugo. The brand was founded in 1924 and initially focused on uniforms. After the World War II and the death of the founder, the company shifted focus to men's suiting. Hugo Boss' sales are mainly menswear (90%). The company is globally present in 7,600 points of sale, with 62% of revenue generated in the European market, 20% in the Americas, 15% in Asia-Pacific, and 3% from licenses. It generates over 60% of sales through own retail with over 1,000 stores globally.</t>
        </is>
      </c>
      <c r="G80" s="153" t="inlineStr">
        <is>
          <t>Consumer Products and Services (B2C)</t>
        </is>
      </c>
      <c r="H80" s="154" t="inlineStr">
        <is>
          <t>Apparel and Accessories</t>
        </is>
      </c>
      <c r="I80" s="155" t="inlineStr">
        <is>
          <t>Clothing</t>
        </is>
      </c>
      <c r="J80" s="156" t="inlineStr">
        <is>
          <t>Accessories, Clothing*</t>
        </is>
      </c>
      <c r="K80" s="157" t="inlineStr">
        <is>
          <t>Manufacturing</t>
        </is>
      </c>
      <c r="L80" s="158" t="inlineStr">
        <is>
          <t>menswear, women accessories, women's wear</t>
        </is>
      </c>
      <c r="M80" s="159" t="inlineStr">
        <is>
          <t>Corporation</t>
        </is>
      </c>
      <c r="N80" s="160" t="n">
        <v>460.08</v>
      </c>
      <c r="O80" s="161" t="inlineStr">
        <is>
          <t>Profitable</t>
        </is>
      </c>
      <c r="P80" s="162" t="inlineStr">
        <is>
          <t>Publicly Held</t>
        </is>
      </c>
      <c r="Q80" s="163" t="inlineStr">
        <is>
          <t>Debt Financed, M&amp;A, Private Equity, Publicly Listed</t>
        </is>
      </c>
      <c r="R80" s="164" t="inlineStr">
        <is>
          <t>www.hugoboss.com</t>
        </is>
      </c>
      <c r="S80" s="165" t="n">
        <v>14685.0</v>
      </c>
      <c r="T80" s="166" t="inlineStr">
        <is>
          <t>2008: 9500, 2010: 9944, 2011: 11004, 2012: 11852, 2013: 12496, 2014: 12990, 2015: 14809, 2016: 15634, 2017: 13985, 2018: 14685</t>
        </is>
      </c>
      <c r="U80" s="167" t="inlineStr">
        <is>
          <t>ETR</t>
        </is>
      </c>
      <c r="V80" s="168" t="inlineStr">
        <is>
          <t>BOSS</t>
        </is>
      </c>
      <c r="W80" s="169" t="n">
        <v>1970.0</v>
      </c>
      <c r="X80" s="170" t="inlineStr">
        <is>
          <t/>
        </is>
      </c>
      <c r="Y80" s="171" t="inlineStr">
        <is>
          <t>News (New) </t>
        </is>
      </c>
      <c r="Z80" s="172" t="inlineStr">
        <is>
          <t>News (New) </t>
        </is>
      </c>
      <c r="AA80" s="173" t="n">
        <v>3299.42</v>
      </c>
      <c r="AB80" s="174" t="n">
        <v>2152.11</v>
      </c>
      <c r="AC80" s="175" t="n">
        <v>278.68</v>
      </c>
      <c r="AD80" s="176" t="n">
        <v>4448.59</v>
      </c>
      <c r="AE80" s="177" t="n">
        <v>554.12</v>
      </c>
      <c r="AF80" s="178" t="inlineStr">
        <is>
          <t>FY 2018</t>
        </is>
      </c>
      <c r="AG80" s="179" t="n">
        <v>401.08</v>
      </c>
      <c r="AH80" s="180" t="n">
        <v>4731.91</v>
      </c>
      <c r="AI80" s="181" t="n">
        <v>-11.43</v>
      </c>
      <c r="AJ80" s="182" t="inlineStr">
        <is>
          <t>34007-59P</t>
        </is>
      </c>
      <c r="AK80" s="183" t="inlineStr">
        <is>
          <t>Mark Langer</t>
        </is>
      </c>
      <c r="AL80" s="184" t="inlineStr">
        <is>
          <t>Chief Executive Officer &amp; Chairman of the Board</t>
        </is>
      </c>
      <c r="AM80" s="185" t="inlineStr">
        <is>
          <t>mark_langer@hugoboss.com</t>
        </is>
      </c>
      <c r="AN80" s="186" t="inlineStr">
        <is>
          <t>+49 (0)71 2394 0</t>
        </is>
      </c>
      <c r="AO80" s="187" t="inlineStr">
        <is>
          <t>Metzingen, Germany</t>
        </is>
      </c>
      <c r="AP80" s="188" t="inlineStr">
        <is>
          <t>Dieselstrasse 12</t>
        </is>
      </c>
      <c r="AQ80" s="189" t="inlineStr">
        <is>
          <t/>
        </is>
      </c>
      <c r="AR80" s="190" t="inlineStr">
        <is>
          <t>Metzingen</t>
        </is>
      </c>
      <c r="AS80" s="191" t="inlineStr">
        <is>
          <t/>
        </is>
      </c>
      <c r="AT80" s="192" t="inlineStr">
        <is>
          <t>72555</t>
        </is>
      </c>
      <c r="AU80" s="193" t="inlineStr">
        <is>
          <t>Germany</t>
        </is>
      </c>
      <c r="AV80" s="194" t="inlineStr">
        <is>
          <t>+49 (0)71 2394 0</t>
        </is>
      </c>
      <c r="AW80" s="195" t="inlineStr">
        <is>
          <t>+49 (0)71 2394 8025 9</t>
        </is>
      </c>
      <c r="AX80" s="196" t="inlineStr">
        <is>
          <t>info@hugoboss.com</t>
        </is>
      </c>
      <c r="AY80" s="197" t="inlineStr">
        <is>
          <t>Europe</t>
        </is>
      </c>
      <c r="AZ80" s="198" t="inlineStr">
        <is>
          <t>Western Europe</t>
        </is>
      </c>
      <c r="BA80" s="199" t="inlineStr">
        <is>
          <t>Permira has sold 10% of the company for EUR 1 billion on June 2, 2015.</t>
        </is>
      </c>
      <c r="BB80" s="200" t="inlineStr">
        <is>
          <t>Bank of America Merrill Lynch, Citigroup, Marzotto Group, PFC Srl, Tamburi Investment Partners, Valentino Fashion Group, Zignago Holding</t>
        </is>
      </c>
      <c r="BC80" s="201" t="n">
        <v>7.0</v>
      </c>
      <c r="BD80" s="202" t="inlineStr">
        <is>
          <t/>
        </is>
      </c>
      <c r="BE80" s="203" t="inlineStr">
        <is>
          <t>Permira</t>
        </is>
      </c>
      <c r="BF80" s="204" t="inlineStr">
        <is>
          <t>Kering</t>
        </is>
      </c>
      <c r="BG80" s="205" t="inlineStr">
        <is>
          <t>Bank of America Merrill Lynch(www.bofaml.com/content/boaml/en_us/home.html), Citigroup(www.citigroup.com/citi), Marzotto Group(www.marzottogroup.it), PFC Srl(www.pfcsrl.net), Tamburi Investment Partners(www.tipspa.it), Valentino Fashion Group(www.valentino.com), Zignago Holding(www.zignago.com)</t>
        </is>
      </c>
      <c r="BH80" s="206" t="inlineStr">
        <is>
          <t>Permira(www.permira.com)</t>
        </is>
      </c>
      <c r="BI80" s="207" t="inlineStr">
        <is>
          <t>Kering(www.kering.com)</t>
        </is>
      </c>
      <c r="BJ80" s="208" t="inlineStr">
        <is>
          <t>Auxis(Consulting), Barack Ferrazzano Kirschbaum &amp; Nagelberg(Legal Advisor), Blättchen &amp; Partner(Advisor: General), Bukhash Brothers(Consulting), Hahn Loeser &amp; Parks(Legal Advisor), Lakatos, Köves and Partners(Legal Advisor), Miebach Consulting(Consulting), Plateeze(Consulting)</t>
        </is>
      </c>
      <c r="BK80" s="209" t="inlineStr">
        <is>
          <t>Bank of America Merrill Lynch(Placement Agent), Citigroup(Advisor: General), Deutsche Bank(Advisor: General), Leonardo &amp; Co.(Legal Advisor), Linklaters(Legal Advisor), Mediobanca(Debt Financing), Rothschild &amp; Co(Legal Advisor), Simmons &amp; Simmons(Legal Advisor), UBS(Placement Agent), UniCredit(Advisor: General), Valuetrust Financial Advisors(Advisor: General)</t>
        </is>
      </c>
      <c r="BL80" s="210" t="n">
        <v>31048.0</v>
      </c>
      <c r="BM80" s="211" t="inlineStr">
        <is>
          <t/>
        </is>
      </c>
      <c r="BN80" s="212" t="inlineStr">
        <is>
          <t/>
        </is>
      </c>
      <c r="BO80" s="213" t="inlineStr">
        <is>
          <t/>
        </is>
      </c>
      <c r="BP80" s="214" t="inlineStr">
        <is>
          <t/>
        </is>
      </c>
      <c r="BQ80" s="215" t="inlineStr">
        <is>
          <t>IPO</t>
        </is>
      </c>
      <c r="BR80" s="216" t="inlineStr">
        <is>
          <t/>
        </is>
      </c>
      <c r="BS80" s="217" t="inlineStr">
        <is>
          <t/>
        </is>
      </c>
      <c r="BT80" s="218" t="inlineStr">
        <is>
          <t>Public Investment</t>
        </is>
      </c>
      <c r="BU80" s="219" t="inlineStr">
        <is>
          <t/>
        </is>
      </c>
      <c r="BV80" s="220" t="inlineStr">
        <is>
          <t/>
        </is>
      </c>
      <c r="BW80" s="221" t="inlineStr">
        <is>
          <t/>
        </is>
      </c>
      <c r="BX80" s="222" t="inlineStr">
        <is>
          <t>Completed</t>
        </is>
      </c>
      <c r="BY80" s="223" t="n">
        <v>42157.0</v>
      </c>
      <c r="BZ80" s="224" t="n">
        <v>1121.3</v>
      </c>
      <c r="CA80" s="225" t="inlineStr">
        <is>
          <t>Actual</t>
        </is>
      </c>
      <c r="CB80" s="226" t="n">
        <v>6228.84</v>
      </c>
      <c r="CC80" s="227" t="inlineStr">
        <is>
          <t>Actual</t>
        </is>
      </c>
      <c r="CD80" s="228" t="inlineStr">
        <is>
          <t>Secondary Transaction - Open Market</t>
        </is>
      </c>
      <c r="CE80" s="229" t="inlineStr">
        <is>
          <t/>
        </is>
      </c>
      <c r="CF80" s="230" t="inlineStr">
        <is>
          <t/>
        </is>
      </c>
      <c r="CG80" s="231" t="inlineStr">
        <is>
          <t>Private Equity</t>
        </is>
      </c>
      <c r="CH80" s="232" t="inlineStr">
        <is>
          <t/>
        </is>
      </c>
      <c r="CI80" s="233" t="inlineStr">
        <is>
          <t/>
        </is>
      </c>
      <c r="CJ80" s="234" t="inlineStr">
        <is>
          <t/>
        </is>
      </c>
      <c r="CK80" s="235" t="inlineStr">
        <is>
          <t>Completed</t>
        </is>
      </c>
      <c r="CL80" s="236" t="n">
        <v>41456.0</v>
      </c>
      <c r="CM80" s="237" t="n">
        <v>1098.13</v>
      </c>
      <c r="CN80" s="238" t="n">
        <v>0.28</v>
      </c>
      <c r="CO80" s="239" t="n">
        <v>91.0</v>
      </c>
      <c r="CP80" s="240" t="n">
        <v>0.02</v>
      </c>
      <c r="CQ80" s="241" t="n">
        <v>8.91</v>
      </c>
      <c r="CR80" s="242" t="n">
        <v>0.85</v>
      </c>
      <c r="CS80" s="243" t="n">
        <v>96.0</v>
      </c>
      <c r="CT80" s="244" t="n">
        <v>-0.03</v>
      </c>
      <c r="CU80" s="245" t="n">
        <v>20.0</v>
      </c>
      <c r="CV80" s="246" t="n">
        <v>1.31</v>
      </c>
      <c r="CW80" s="247" t="n">
        <v>88.0</v>
      </c>
      <c r="CX80" s="248" t="n">
        <v>0.4</v>
      </c>
      <c r="CY80" s="249" t="n">
        <v>93.0</v>
      </c>
      <c r="CZ80" s="250" t="n">
        <v>-0.03</v>
      </c>
      <c r="DA80" s="251" t="n">
        <v>23.0</v>
      </c>
      <c r="DB80" s="252" t="n">
        <v>781.21</v>
      </c>
      <c r="DC80" s="253" t="n">
        <v>100.0</v>
      </c>
      <c r="DD80" s="254" t="n">
        <v>22.92</v>
      </c>
      <c r="DE80" s="255" t="n">
        <v>3.02</v>
      </c>
      <c r="DF80" s="256" t="n">
        <v>337.87</v>
      </c>
      <c r="DG80" s="257" t="n">
        <v>100.0</v>
      </c>
      <c r="DH80" s="258" t="n">
        <v>1952.96</v>
      </c>
      <c r="DI80" s="259" t="n">
        <v>100.0</v>
      </c>
      <c r="DJ80" s="260" t="n">
        <v>194.09</v>
      </c>
      <c r="DK80" s="261" t="n">
        <v>99.0</v>
      </c>
      <c r="DL80" s="262" t="n">
        <v>481.65</v>
      </c>
      <c r="DM80" s="263" t="n">
        <v>100.0</v>
      </c>
      <c r="DN80" s="264" t="n">
        <v>1952.96</v>
      </c>
      <c r="DO80" s="265" t="n">
        <v>100.0</v>
      </c>
      <c r="DP80" s="266" t="n">
        <v>138771.0</v>
      </c>
      <c r="DQ80" s="267" t="n">
        <v>-3498.0</v>
      </c>
      <c r="DR80" s="268" t="n">
        <v>-2.46</v>
      </c>
      <c r="DS80" s="269" t="n">
        <v>16370.0</v>
      </c>
      <c r="DT80" s="270" t="n">
        <v>40.0</v>
      </c>
      <c r="DU80" s="271" t="n">
        <v>0.24</v>
      </c>
      <c r="DV80" s="272" t="n">
        <v>701324.0</v>
      </c>
      <c r="DW80" s="273" t="n">
        <v>-503.0</v>
      </c>
      <c r="DX80" s="274" t="n">
        <v>-0.07</v>
      </c>
      <c r="DY80" s="275" t="inlineStr">
        <is>
          <t>PitchBook Research</t>
        </is>
      </c>
      <c r="DZ80" s="276" t="n">
        <v>43537.0</v>
      </c>
      <c r="EA80" s="277" t="n">
        <v>6228.84</v>
      </c>
      <c r="EB80" s="278" t="n">
        <v>42157.0</v>
      </c>
      <c r="EC80" s="279" t="inlineStr">
        <is>
          <t>Secondary Transaction - Open Market</t>
        </is>
      </c>
      <c r="ED80" s="548">
        <f>HYPERLINK("https://my.pitchbook.com?c=11349-01", "View company online")</f>
      </c>
    </row>
    <row r="81">
      <c r="A81" s="13" t="inlineStr">
        <is>
          <t>41232-61</t>
        </is>
      </c>
      <c r="B81" s="14" t="inlineStr">
        <is>
          <t>Tailored Brands (NYS: TLRD)</t>
        </is>
      </c>
      <c r="C81" s="15" t="inlineStr">
        <is>
          <t>The Men's Wearhouse</t>
        </is>
      </c>
      <c r="D81" s="16" t="inlineStr">
        <is>
          <t>TB</t>
        </is>
      </c>
      <c r="E81" s="17" t="inlineStr">
        <is>
          <t>41232-61</t>
        </is>
      </c>
      <c r="F81" s="18" t="inlineStr">
        <is>
          <t>Tailored Brands Inc is a retailer of men's apparel in the United States. Its products include suits, sports coats, pants, and shirts which are categorized into either the Retail or Corporate Apparel segment. The retail brands include Men's Wearhouse/Men's Wearhouse and Tux, Jos. A. Bank, Moore's, and K&amp;G. Its corporate brands are Dimensions, Alexandra, and Yaffy, which operate primarily in the UK and Europe. The majority of the company's revenues originate from the United States, followed by Canada and the UK.</t>
        </is>
      </c>
      <c r="G81" s="19" t="inlineStr">
        <is>
          <t>Consumer Products and Services (B2C)</t>
        </is>
      </c>
      <c r="H81" s="20" t="inlineStr">
        <is>
          <t>Retail</t>
        </is>
      </c>
      <c r="I81" s="21" t="inlineStr">
        <is>
          <t>Specialty Retail</t>
        </is>
      </c>
      <c r="J81" s="22" t="inlineStr">
        <is>
          <t>Clothing, Specialty Retail*</t>
        </is>
      </c>
      <c r="K81" s="23" t="inlineStr">
        <is>
          <t/>
        </is>
      </c>
      <c r="L81" s="24" t="inlineStr">
        <is>
          <t>apparel, apparel branding, formalwear, garments, mens wear, suits, tuxedo</t>
        </is>
      </c>
      <c r="M81" s="25" t="inlineStr">
        <is>
          <t>Corporation</t>
        </is>
      </c>
      <c r="N81" s="26" t="n">
        <v>12.29</v>
      </c>
      <c r="O81" s="27" t="inlineStr">
        <is>
          <t>Profitable</t>
        </is>
      </c>
      <c r="P81" s="28" t="inlineStr">
        <is>
          <t>Publicly Held</t>
        </is>
      </c>
      <c r="Q81" s="29" t="inlineStr">
        <is>
          <t>Debt Financed, M&amp;A, Publicly Listed</t>
        </is>
      </c>
      <c r="R81" s="30" t="inlineStr">
        <is>
          <t>www.tailoredbrands.com</t>
        </is>
      </c>
      <c r="S81" s="31" t="n">
        <v>21000.0</v>
      </c>
      <c r="T81" s="32" t="inlineStr">
        <is>
          <t>1992: 1080, 1993: 1000, 1994: 1045, 1995: 3190, 1996: 4100, 1997: 4900, 1998: 5000, 1999: 5900, 2000: 10700, 2001: 12000, 2002: 10800, 2003: 11500, 2004: 12300, 2005: 13200, 2006: 13800, 2007: 14900, 2008: 18400, 2009: 16200, 2010: 15900, 2011: 16600, 2012: 17200, 2013: 17500, 2014: 18200, 2015: 26100, 2016: 24500, 2017: 22500, 2018: 21000</t>
        </is>
      </c>
      <c r="U81" s="33" t="inlineStr">
        <is>
          <t>NYS</t>
        </is>
      </c>
      <c r="V81" s="34" t="inlineStr">
        <is>
          <t>TLRD</t>
        </is>
      </c>
      <c r="W81" s="35" t="n">
        <v>1973.0</v>
      </c>
      <c r="X81" s="36" t="inlineStr">
        <is>
          <t/>
        </is>
      </c>
      <c r="Y81" s="37" t="inlineStr">
        <is>
          <t/>
        </is>
      </c>
      <c r="Z81" s="38" t="inlineStr">
        <is>
          <t>News (New) , Filing (New) </t>
        </is>
      </c>
      <c r="AA81" s="39" t="n">
        <v>3239.9</v>
      </c>
      <c r="AB81" s="40" t="n">
        <v>1377.47</v>
      </c>
      <c r="AC81" s="41" t="n">
        <v>83.24</v>
      </c>
      <c r="AD81" s="42" t="n">
        <v>1741.19</v>
      </c>
      <c r="AE81" s="43" t="n">
        <v>285.9</v>
      </c>
      <c r="AF81" s="44" t="inlineStr">
        <is>
          <t>FY 2019</t>
        </is>
      </c>
      <c r="AG81" s="45" t="n">
        <v>181.69</v>
      </c>
      <c r="AH81" s="46" t="n">
        <v>392.75</v>
      </c>
      <c r="AI81" s="47" t="n">
        <v>1109.43</v>
      </c>
      <c r="AJ81" s="48" t="inlineStr">
        <is>
          <t>39003-49P</t>
        </is>
      </c>
      <c r="AK81" s="49" t="inlineStr">
        <is>
          <t>Dinesh Lathi</t>
        </is>
      </c>
      <c r="AL81" s="50" t="inlineStr">
        <is>
          <t>Chairman of the Board of Directors</t>
        </is>
      </c>
      <c r="AM81" s="51" t="inlineStr">
        <is>
          <t/>
        </is>
      </c>
      <c r="AN81" s="52" t="inlineStr">
        <is>
          <t/>
        </is>
      </c>
      <c r="AO81" s="53" t="inlineStr">
        <is>
          <t>Fremont, CA</t>
        </is>
      </c>
      <c r="AP81" s="54" t="inlineStr">
        <is>
          <t>6100 Stevenson Boulevard</t>
        </is>
      </c>
      <c r="AQ81" s="55" t="inlineStr">
        <is>
          <t/>
        </is>
      </c>
      <c r="AR81" s="56" t="inlineStr">
        <is>
          <t>Fremont</t>
        </is>
      </c>
      <c r="AS81" s="57" t="inlineStr">
        <is>
          <t>California</t>
        </is>
      </c>
      <c r="AT81" s="58" t="inlineStr">
        <is>
          <t>94538</t>
        </is>
      </c>
      <c r="AU81" s="59" t="inlineStr">
        <is>
          <t>United States</t>
        </is>
      </c>
      <c r="AV81" s="60" t="inlineStr">
        <is>
          <t/>
        </is>
      </c>
      <c r="AW81" s="61" t="inlineStr">
        <is>
          <t/>
        </is>
      </c>
      <c r="AX81" s="62" t="inlineStr">
        <is>
          <t/>
        </is>
      </c>
      <c r="AY81" s="63" t="inlineStr">
        <is>
          <t>Americas</t>
        </is>
      </c>
      <c r="AZ81" s="64" t="inlineStr">
        <is>
          <t>North America</t>
        </is>
      </c>
      <c r="BA81" s="65" t="inlineStr">
        <is>
          <t>The company (NYSE: TLRD) received $550 million of revolving credit facility from undisclosed lenders on October 26, 2017.</t>
        </is>
      </c>
      <c r="BB81" s="66" t="inlineStr">
        <is>
          <t/>
        </is>
      </c>
      <c r="BC81" s="67" t="inlineStr">
        <is>
          <t/>
        </is>
      </c>
      <c r="BD81" s="68" t="inlineStr">
        <is>
          <t/>
        </is>
      </c>
      <c r="BE81" s="69" t="inlineStr">
        <is>
          <t/>
        </is>
      </c>
      <c r="BF81" s="70" t="inlineStr">
        <is>
          <t>Jos A. Bank Clothiers</t>
        </is>
      </c>
      <c r="BG81" s="71" t="inlineStr">
        <is>
          <t/>
        </is>
      </c>
      <c r="BH81" s="72" t="inlineStr">
        <is>
          <t/>
        </is>
      </c>
      <c r="BI81" s="73" t="inlineStr">
        <is>
          <t>Jos A. Bank Clothiers(www.josbank.com)</t>
        </is>
      </c>
      <c r="BJ81" s="74" t="inlineStr">
        <is>
          <t>Herbert Mines Associates(Placement Agent), Landis Rath &amp; Cobb(Legal Advisor)</t>
        </is>
      </c>
      <c r="BK81" s="75" t="inlineStr">
        <is>
          <t>AlixPartners(Advisor: General), American Capital (ACAS)(Debt Financing), American Capital Senior Floating(Debt Financing), Bank of America Merrill Lynch(Advisor: General), Corporate Capital Trust(Debt Financing), Deloitte(Advisor: General), JPMorgan Chase(Lead Manager or Arranger), Wells Fargo Capital Finance(Lead Manager or Arranger), Willkie Farr &amp; Gallagher(Legal Advisor)</t>
        </is>
      </c>
      <c r="BL81" s="76" t="n">
        <v>33695.0</v>
      </c>
      <c r="BM81" s="77" t="n">
        <v>12.7</v>
      </c>
      <c r="BN81" s="78" t="inlineStr">
        <is>
          <t>Actual</t>
        </is>
      </c>
      <c r="BO81" s="79" t="inlineStr">
        <is>
          <t/>
        </is>
      </c>
      <c r="BP81" s="80" t="inlineStr">
        <is>
          <t/>
        </is>
      </c>
      <c r="BQ81" s="81" t="inlineStr">
        <is>
          <t>IPO</t>
        </is>
      </c>
      <c r="BR81" s="82" t="inlineStr">
        <is>
          <t/>
        </is>
      </c>
      <c r="BS81" s="83" t="inlineStr">
        <is>
          <t/>
        </is>
      </c>
      <c r="BT81" s="84" t="inlineStr">
        <is>
          <t>Public Investment</t>
        </is>
      </c>
      <c r="BU81" s="85" t="inlineStr">
        <is>
          <t/>
        </is>
      </c>
      <c r="BV81" s="86" t="inlineStr">
        <is>
          <t/>
        </is>
      </c>
      <c r="BW81" s="87" t="inlineStr">
        <is>
          <t/>
        </is>
      </c>
      <c r="BX81" s="88" t="inlineStr">
        <is>
          <t>Completed</t>
        </is>
      </c>
      <c r="BY81" s="89" t="n">
        <v>43034.0</v>
      </c>
      <c r="BZ81" s="90" t="inlineStr">
        <is>
          <t/>
        </is>
      </c>
      <c r="CA81" s="91" t="inlineStr">
        <is>
          <t/>
        </is>
      </c>
      <c r="CB81" s="92" t="inlineStr">
        <is>
          <t/>
        </is>
      </c>
      <c r="CC81" s="93" t="inlineStr">
        <is>
          <t/>
        </is>
      </c>
      <c r="CD81" s="94" t="inlineStr">
        <is>
          <t>Revolving Credit Line</t>
        </is>
      </c>
      <c r="CE81" s="95" t="inlineStr">
        <is>
          <t/>
        </is>
      </c>
      <c r="CF81" s="96" t="inlineStr">
        <is>
          <t/>
        </is>
      </c>
      <c r="CG81" s="97" t="inlineStr">
        <is>
          <t>Debt</t>
        </is>
      </c>
      <c r="CH81" s="98" t="inlineStr">
        <is>
          <t>Revolving Credit Line</t>
        </is>
      </c>
      <c r="CI81" s="99" t="inlineStr">
        <is>
          <t/>
        </is>
      </c>
      <c r="CJ81" s="100" t="inlineStr">
        <is>
          <t/>
        </is>
      </c>
      <c r="CK81" s="101" t="inlineStr">
        <is>
          <t>Completed</t>
        </is>
      </c>
      <c r="CL81" s="102" t="n">
        <v>41820.0</v>
      </c>
      <c r="CM81" s="103" t="n">
        <v>2.0</v>
      </c>
      <c r="CN81" s="104" t="n">
        <v>0.67</v>
      </c>
      <c r="CO81" s="105" t="n">
        <v>96.0</v>
      </c>
      <c r="CP81" s="106" t="n">
        <v>0.05</v>
      </c>
      <c r="CQ81" s="107" t="n">
        <v>8.49</v>
      </c>
      <c r="CR81" s="108" t="n">
        <v>0.67</v>
      </c>
      <c r="CS81" s="109" t="n">
        <v>95.0</v>
      </c>
      <c r="CT81" s="110" t="inlineStr">
        <is>
          <t/>
        </is>
      </c>
      <c r="CU81" s="111" t="inlineStr">
        <is>
          <t/>
        </is>
      </c>
      <c r="CV81" s="112" t="n">
        <v>0.84</v>
      </c>
      <c r="CW81" s="113" t="n">
        <v>86.0</v>
      </c>
      <c r="CX81" s="114" t="n">
        <v>0.5</v>
      </c>
      <c r="CY81" s="115" t="n">
        <v>94.0</v>
      </c>
      <c r="CZ81" s="116" t="inlineStr">
        <is>
          <t/>
        </is>
      </c>
      <c r="DA81" s="117" t="inlineStr">
        <is>
          <t/>
        </is>
      </c>
      <c r="DB81" s="118" t="n">
        <v>7.4</v>
      </c>
      <c r="DC81" s="119" t="n">
        <v>87.0</v>
      </c>
      <c r="DD81" s="120" t="n">
        <v>1.33</v>
      </c>
      <c r="DE81" s="121" t="n">
        <v>21.86</v>
      </c>
      <c r="DF81" s="122" t="n">
        <v>7.4</v>
      </c>
      <c r="DG81" s="123" t="n">
        <v>87.0</v>
      </c>
      <c r="DH81" s="124" t="inlineStr">
        <is>
          <t/>
        </is>
      </c>
      <c r="DI81" s="125" t="inlineStr">
        <is>
          <t/>
        </is>
      </c>
      <c r="DJ81" s="126" t="n">
        <v>4.12</v>
      </c>
      <c r="DK81" s="127" t="n">
        <v>76.0</v>
      </c>
      <c r="DL81" s="128" t="n">
        <v>10.68</v>
      </c>
      <c r="DM81" s="129" t="n">
        <v>89.0</v>
      </c>
      <c r="DN81" s="130" t="inlineStr">
        <is>
          <t/>
        </is>
      </c>
      <c r="DO81" s="131" t="inlineStr">
        <is>
          <t/>
        </is>
      </c>
      <c r="DP81" s="132" t="n">
        <v>2917.0</v>
      </c>
      <c r="DQ81" s="133" t="n">
        <v>175.0</v>
      </c>
      <c r="DR81" s="134" t="n">
        <v>6.38</v>
      </c>
      <c r="DS81" s="135" t="n">
        <v>362.0</v>
      </c>
      <c r="DT81" s="136" t="n">
        <v>2.0</v>
      </c>
      <c r="DU81" s="137" t="n">
        <v>0.56</v>
      </c>
      <c r="DV81" s="138" t="inlineStr">
        <is>
          <t/>
        </is>
      </c>
      <c r="DW81" s="139" t="inlineStr">
        <is>
          <t/>
        </is>
      </c>
      <c r="DX81" s="140" t="inlineStr">
        <is>
          <t/>
        </is>
      </c>
      <c r="DY81" s="141" t="inlineStr">
        <is>
          <t>PitchBook Research</t>
        </is>
      </c>
      <c r="DZ81" s="142" t="n">
        <v>43491.0</v>
      </c>
      <c r="EA81" s="143" t="n">
        <v>2300.0</v>
      </c>
      <c r="EB81" s="144" t="n">
        <v>41556.0</v>
      </c>
      <c r="EC81" s="145" t="inlineStr">
        <is>
          <t>Merger/Acquisition</t>
        </is>
      </c>
      <c r="ED81" s="547">
        <f>HYPERLINK("https://my.pitchbook.com?c=41232-61", "View company online")</f>
      </c>
    </row>
    <row r="82">
      <c r="A82" s="147" t="inlineStr">
        <is>
          <t>164535-22</t>
        </is>
      </c>
      <c r="B82" s="148" t="inlineStr">
        <is>
          <t>Global Top E-Commerce Company (SHE: 002640)</t>
        </is>
      </c>
      <c r="C82" s="149" t="inlineStr">
        <is>
          <t>Shanxi Baiyuan Trousers Chain Management Company</t>
        </is>
      </c>
      <c r="D82" s="150" t="inlineStr">
        <is>
          <t/>
        </is>
      </c>
      <c r="E82" s="151" t="inlineStr">
        <is>
          <t>164535-22</t>
        </is>
      </c>
      <c r="F82" s="152" t="inlineStr">
        <is>
          <t>Global Top E-Commerce Co Ltd is a China-based cross-border e-commerce enterprise. It distributes apparel and household products, electronic products, dress and personal adornment and cosmetics and other products through its e-commerce distribution platforms.</t>
        </is>
      </c>
      <c r="G82" s="153" t="inlineStr">
        <is>
          <t>Consumer Products and Services (B2C)</t>
        </is>
      </c>
      <c r="H82" s="154" t="inlineStr">
        <is>
          <t>Apparel and Accessories</t>
        </is>
      </c>
      <c r="I82" s="155" t="inlineStr">
        <is>
          <t>Clothing</t>
        </is>
      </c>
      <c r="J82" s="156" t="inlineStr">
        <is>
          <t>Clothing*, Internet Retail</t>
        </is>
      </c>
      <c r="K82" s="157" t="inlineStr">
        <is>
          <t>E-Commerce, TMT</t>
        </is>
      </c>
      <c r="L82" s="158" t="inlineStr">
        <is>
          <t>man trousers, online retailer</t>
        </is>
      </c>
      <c r="M82" s="159" t="inlineStr">
        <is>
          <t>Corporation</t>
        </is>
      </c>
      <c r="N82" s="160" t="inlineStr">
        <is>
          <t/>
        </is>
      </c>
      <c r="O82" s="161" t="inlineStr">
        <is>
          <t>Profitable</t>
        </is>
      </c>
      <c r="P82" s="162" t="inlineStr">
        <is>
          <t>Publicly Held</t>
        </is>
      </c>
      <c r="Q82" s="163" t="inlineStr">
        <is>
          <t>Publicly Listed</t>
        </is>
      </c>
      <c r="R82" s="164" t="inlineStr">
        <is>
          <t>www.kjtbao.com</t>
        </is>
      </c>
      <c r="S82" s="165" t="n">
        <v>6694.0</v>
      </c>
      <c r="T82" s="166" t="inlineStr">
        <is>
          <t>2011: 442, 2012: 468, 2013: 514, 2014: 1453, 2015: 2347, 2016: 4727, 2017: 5395, 2018: 6694</t>
        </is>
      </c>
      <c r="U82" s="167" t="inlineStr">
        <is>
          <t>SHE</t>
        </is>
      </c>
      <c r="V82" s="168" t="inlineStr">
        <is>
          <t>002640</t>
        </is>
      </c>
      <c r="W82" s="169" t="n">
        <v>1998.0</v>
      </c>
      <c r="X82" s="170" t="inlineStr">
        <is>
          <t/>
        </is>
      </c>
      <c r="Y82" s="171" t="inlineStr">
        <is>
          <t/>
        </is>
      </c>
      <c r="Z82" s="172" t="inlineStr">
        <is>
          <t/>
        </is>
      </c>
      <c r="AA82" s="173" t="n">
        <v>3221.49</v>
      </c>
      <c r="AB82" s="174" t="n">
        <v>1349.91</v>
      </c>
      <c r="AC82" s="175" t="n">
        <v>165.75</v>
      </c>
      <c r="AD82" s="176" t="n">
        <v>3051.7</v>
      </c>
      <c r="AE82" s="177" t="n">
        <v>223.38</v>
      </c>
      <c r="AF82" s="178" t="inlineStr">
        <is>
          <t>TTM 3Q2018</t>
        </is>
      </c>
      <c r="AG82" s="179" t="n">
        <v>219.55</v>
      </c>
      <c r="AH82" s="180" t="n">
        <v>2746.27</v>
      </c>
      <c r="AI82" s="181" t="n">
        <v>124.89</v>
      </c>
      <c r="AJ82" s="182" t="inlineStr">
        <is>
          <t/>
        </is>
      </c>
      <c r="AK82" s="183" t="inlineStr">
        <is>
          <t/>
        </is>
      </c>
      <c r="AL82" s="184" t="inlineStr">
        <is>
          <t/>
        </is>
      </c>
      <c r="AM82" s="185" t="inlineStr">
        <is>
          <t/>
        </is>
      </c>
      <c r="AN82" s="186" t="inlineStr">
        <is>
          <t/>
        </is>
      </c>
      <c r="AO82" s="187" t="inlineStr">
        <is>
          <t>Taiyuan, China</t>
        </is>
      </c>
      <c r="AP82" s="188" t="inlineStr">
        <is>
          <t>No. 632, Jianshe South Road</t>
        </is>
      </c>
      <c r="AQ82" s="189" t="inlineStr">
        <is>
          <t/>
        </is>
      </c>
      <c r="AR82" s="190" t="inlineStr">
        <is>
          <t>Taiyuan</t>
        </is>
      </c>
      <c r="AS82" s="191" t="inlineStr">
        <is>
          <t>Shanxi</t>
        </is>
      </c>
      <c r="AT82" s="192" t="inlineStr">
        <is>
          <t>030006</t>
        </is>
      </c>
      <c r="AU82" s="193" t="inlineStr">
        <is>
          <t>China</t>
        </is>
      </c>
      <c r="AV82" s="194" t="inlineStr">
        <is>
          <t>+86 (0)135 1721 2033</t>
        </is>
      </c>
      <c r="AW82" s="195" t="inlineStr">
        <is>
          <t>+86 (0)135 1721 2031</t>
        </is>
      </c>
      <c r="AX82" s="196" t="inlineStr">
        <is>
          <t/>
        </is>
      </c>
      <c r="AY82" s="197" t="inlineStr">
        <is>
          <t>Asia</t>
        </is>
      </c>
      <c r="AZ82" s="198" t="inlineStr">
        <is>
          <t>East Asia</t>
        </is>
      </c>
      <c r="BA82" s="199" t="inlineStr">
        <is>
          <t/>
        </is>
      </c>
      <c r="BB82" s="200" t="inlineStr">
        <is>
          <t/>
        </is>
      </c>
      <c r="BC82" s="201" t="inlineStr">
        <is>
          <t/>
        </is>
      </c>
      <c r="BD82" s="202" t="inlineStr">
        <is>
          <t/>
        </is>
      </c>
      <c r="BE82" s="203" t="inlineStr">
        <is>
          <t/>
        </is>
      </c>
      <c r="BF82" s="204" t="inlineStr">
        <is>
          <t/>
        </is>
      </c>
      <c r="BG82" s="205" t="inlineStr">
        <is>
          <t/>
        </is>
      </c>
      <c r="BH82" s="206" t="inlineStr">
        <is>
          <t/>
        </is>
      </c>
      <c r="BI82" s="207" t="inlineStr">
        <is>
          <t/>
        </is>
      </c>
      <c r="BJ82" s="208" t="inlineStr">
        <is>
          <t/>
        </is>
      </c>
      <c r="BK82" s="209" t="inlineStr">
        <is>
          <t/>
        </is>
      </c>
      <c r="BL82" s="210" t="inlineStr">
        <is>
          <t/>
        </is>
      </c>
      <c r="BM82" s="211" t="inlineStr">
        <is>
          <t/>
        </is>
      </c>
      <c r="BN82" s="212" t="inlineStr">
        <is>
          <t/>
        </is>
      </c>
      <c r="BO82" s="213" t="inlineStr">
        <is>
          <t/>
        </is>
      </c>
      <c r="BP82" s="214" t="inlineStr">
        <is>
          <t/>
        </is>
      </c>
      <c r="BQ82" s="215" t="inlineStr">
        <is>
          <t/>
        </is>
      </c>
      <c r="BR82" s="216" t="inlineStr">
        <is>
          <t/>
        </is>
      </c>
      <c r="BS82" s="217" t="inlineStr">
        <is>
          <t/>
        </is>
      </c>
      <c r="BT82" s="218" t="inlineStr">
        <is>
          <t/>
        </is>
      </c>
      <c r="BU82" s="219" t="inlineStr">
        <is>
          <t/>
        </is>
      </c>
      <c r="BV82" s="220" t="inlineStr">
        <is>
          <t/>
        </is>
      </c>
      <c r="BW82" s="221" t="inlineStr">
        <is>
          <t/>
        </is>
      </c>
      <c r="BX82" s="222" t="inlineStr">
        <is>
          <t/>
        </is>
      </c>
      <c r="BY82" s="223" t="inlineStr">
        <is>
          <t/>
        </is>
      </c>
      <c r="BZ82" s="224" t="inlineStr">
        <is>
          <t/>
        </is>
      </c>
      <c r="CA82" s="225" t="inlineStr">
        <is>
          <t/>
        </is>
      </c>
      <c r="CB82" s="226" t="inlineStr">
        <is>
          <t/>
        </is>
      </c>
      <c r="CC82" s="227" t="inlineStr">
        <is>
          <t/>
        </is>
      </c>
      <c r="CD82" s="228" t="inlineStr">
        <is>
          <t/>
        </is>
      </c>
      <c r="CE82" s="229" t="inlineStr">
        <is>
          <t/>
        </is>
      </c>
      <c r="CF82" s="230" t="inlineStr">
        <is>
          <t/>
        </is>
      </c>
      <c r="CG82" s="231" t="inlineStr">
        <is>
          <t/>
        </is>
      </c>
      <c r="CH82" s="232" t="inlineStr">
        <is>
          <t/>
        </is>
      </c>
      <c r="CI82" s="233" t="inlineStr">
        <is>
          <t/>
        </is>
      </c>
      <c r="CJ82" s="234" t="inlineStr">
        <is>
          <t/>
        </is>
      </c>
      <c r="CK82" s="235" t="inlineStr">
        <is>
          <t/>
        </is>
      </c>
      <c r="CL82" s="236" t="inlineStr">
        <is>
          <t/>
        </is>
      </c>
      <c r="CM82" s="237" t="inlineStr">
        <is>
          <t/>
        </is>
      </c>
      <c r="CN82" s="238" t="n">
        <v>0.0</v>
      </c>
      <c r="CO82" s="239" t="n">
        <v>18.0</v>
      </c>
      <c r="CP82" s="240" t="n">
        <v>0.0</v>
      </c>
      <c r="CQ82" s="241" t="n">
        <v>0.0</v>
      </c>
      <c r="CR82" s="242" t="n">
        <v>0.0</v>
      </c>
      <c r="CS82" s="243" t="n">
        <v>14.0</v>
      </c>
      <c r="CT82" s="244" t="inlineStr">
        <is>
          <t/>
        </is>
      </c>
      <c r="CU82" s="245" t="inlineStr">
        <is>
          <t/>
        </is>
      </c>
      <c r="CV82" s="246" t="inlineStr">
        <is>
          <t/>
        </is>
      </c>
      <c r="CW82" s="247" t="inlineStr">
        <is>
          <t/>
        </is>
      </c>
      <c r="CX82" s="248" t="n">
        <v>0.0</v>
      </c>
      <c r="CY82" s="249" t="n">
        <v>11.0</v>
      </c>
      <c r="CZ82" s="250" t="inlineStr">
        <is>
          <t/>
        </is>
      </c>
      <c r="DA82" s="251" t="inlineStr">
        <is>
          <t/>
        </is>
      </c>
      <c r="DB82" s="252" t="n">
        <v>0.03</v>
      </c>
      <c r="DC82" s="253" t="n">
        <v>1.0</v>
      </c>
      <c r="DD82" s="254" t="n">
        <v>0.01</v>
      </c>
      <c r="DE82" s="255" t="n">
        <v>32.35</v>
      </c>
      <c r="DF82" s="256" t="n">
        <v>0.03</v>
      </c>
      <c r="DG82" s="257" t="n">
        <v>1.0</v>
      </c>
      <c r="DH82" s="258" t="inlineStr">
        <is>
          <t/>
        </is>
      </c>
      <c r="DI82" s="259" t="inlineStr">
        <is>
          <t/>
        </is>
      </c>
      <c r="DJ82" s="260" t="inlineStr">
        <is>
          <t/>
        </is>
      </c>
      <c r="DK82" s="261" t="inlineStr">
        <is>
          <t/>
        </is>
      </c>
      <c r="DL82" s="262" t="n">
        <v>0.03</v>
      </c>
      <c r="DM82" s="263" t="n">
        <v>1.0</v>
      </c>
      <c r="DN82" s="264" t="inlineStr">
        <is>
          <t/>
        </is>
      </c>
      <c r="DO82" s="265" t="inlineStr">
        <is>
          <t/>
        </is>
      </c>
      <c r="DP82" s="266" t="inlineStr">
        <is>
          <t/>
        </is>
      </c>
      <c r="DQ82" s="267" t="inlineStr">
        <is>
          <t/>
        </is>
      </c>
      <c r="DR82" s="268" t="inlineStr">
        <is>
          <t/>
        </is>
      </c>
      <c r="DS82" s="269" t="n">
        <v>1.0</v>
      </c>
      <c r="DT82" s="270" t="n">
        <v>0.0</v>
      </c>
      <c r="DU82" s="271" t="n">
        <v>0.0</v>
      </c>
      <c r="DV82" s="272" t="inlineStr">
        <is>
          <t/>
        </is>
      </c>
      <c r="DW82" s="273" t="inlineStr">
        <is>
          <t/>
        </is>
      </c>
      <c r="DX82" s="274" t="inlineStr">
        <is>
          <t/>
        </is>
      </c>
      <c r="DY82" s="275" t="inlineStr">
        <is>
          <t>PitchBook Research</t>
        </is>
      </c>
      <c r="DZ82" s="276" t="n">
        <v>43492.0</v>
      </c>
      <c r="EA82" s="277" t="inlineStr">
        <is>
          <t/>
        </is>
      </c>
      <c r="EB82" s="278" t="inlineStr">
        <is>
          <t/>
        </is>
      </c>
      <c r="EC82" s="279" t="inlineStr">
        <is>
          <t/>
        </is>
      </c>
      <c r="ED82" s="548">
        <f>HYPERLINK("https://my.pitchbook.com?c=164535-22", "View company online")</f>
      </c>
    </row>
    <row r="83">
      <c r="A83" s="13" t="inlineStr">
        <is>
          <t>164634-94</t>
        </is>
      </c>
      <c r="B83" s="14" t="inlineStr">
        <is>
          <t>Souyute Group Company (SHE: 002503)</t>
        </is>
      </c>
      <c r="C83" s="15" t="inlineStr">
        <is>
          <t>Dongguan Souyute Fashion Company</t>
        </is>
      </c>
      <c r="D83" s="16" t="inlineStr">
        <is>
          <t/>
        </is>
      </c>
      <c r="E83" s="17" t="inlineStr">
        <is>
          <t>164634-94</t>
        </is>
      </c>
      <c r="F83" s="18" t="inlineStr">
        <is>
          <t>Souyute Group Co Ltd operates in the garment industry. It primarily focuses on brand promotion, research, and development, design, and construction of marketing channel. The company distributes its apparel under the brand name of CELUCASN. In addition, it invests and establishes a number of subsidiary companies in the area of textile and apparel industry cluster all over the country.</t>
        </is>
      </c>
      <c r="G83" s="19" t="inlineStr">
        <is>
          <t>Consumer Products and Services (B2C)</t>
        </is>
      </c>
      <c r="H83" s="20" t="inlineStr">
        <is>
          <t>Apparel and Accessories</t>
        </is>
      </c>
      <c r="I83" s="21" t="inlineStr">
        <is>
          <t>Clothing</t>
        </is>
      </c>
      <c r="J83" s="22" t="inlineStr">
        <is>
          <t>Clothing*, Luxury Goods</t>
        </is>
      </c>
      <c r="K83" s="23" t="inlineStr">
        <is>
          <t/>
        </is>
      </c>
      <c r="L83" s="24" t="inlineStr">
        <is>
          <t>ladies sweaters, leisure apparel, plain clothes</t>
        </is>
      </c>
      <c r="M83" s="25" t="inlineStr">
        <is>
          <t>Corporation</t>
        </is>
      </c>
      <c r="N83" s="26" t="inlineStr">
        <is>
          <t/>
        </is>
      </c>
      <c r="O83" s="27" t="inlineStr">
        <is>
          <t>Profitable</t>
        </is>
      </c>
      <c r="P83" s="28" t="inlineStr">
        <is>
          <t>Publicly Held</t>
        </is>
      </c>
      <c r="Q83" s="29" t="inlineStr">
        <is>
          <t>Publicly Listed</t>
        </is>
      </c>
      <c r="R83" s="30" t="inlineStr">
        <is>
          <t>www.souyute.com</t>
        </is>
      </c>
      <c r="S83" s="31" t="n">
        <v>2490.0</v>
      </c>
      <c r="T83" s="32" t="inlineStr">
        <is>
          <t>2007: 181, 2008: 279, 2009: 499, 2010: 553, 2011: 1124, 2012: 1444, 2013: 1515, 2014: 1778, 2015: 2132, 2016: 2244, 2017: 2490</t>
        </is>
      </c>
      <c r="U83" s="33" t="inlineStr">
        <is>
          <t>SHE</t>
        </is>
      </c>
      <c r="V83" s="34" t="inlineStr">
        <is>
          <t>002503</t>
        </is>
      </c>
      <c r="W83" s="35" t="n">
        <v>2005.0</v>
      </c>
      <c r="X83" s="36" t="inlineStr">
        <is>
          <t/>
        </is>
      </c>
      <c r="Y83" s="37" t="inlineStr">
        <is>
          <t/>
        </is>
      </c>
      <c r="Z83" s="38" t="inlineStr">
        <is>
          <t/>
        </is>
      </c>
      <c r="AA83" s="39" t="n">
        <v>3202.87</v>
      </c>
      <c r="AB83" s="40" t="n">
        <v>245.77</v>
      </c>
      <c r="AC83" s="41" t="n">
        <v>97.12</v>
      </c>
      <c r="AD83" s="42" t="n">
        <v>1744.25</v>
      </c>
      <c r="AE83" s="43" t="n">
        <v>164.48</v>
      </c>
      <c r="AF83" s="44" t="inlineStr">
        <is>
          <t>TTM 3Q2018</t>
        </is>
      </c>
      <c r="AG83" s="45" t="n">
        <v>159.47</v>
      </c>
      <c r="AH83" s="46" t="n">
        <v>1495.44</v>
      </c>
      <c r="AI83" s="47" t="n">
        <v>148.92</v>
      </c>
      <c r="AJ83" s="48" t="inlineStr">
        <is>
          <t/>
        </is>
      </c>
      <c r="AK83" s="49" t="inlineStr">
        <is>
          <t/>
        </is>
      </c>
      <c r="AL83" s="50" t="inlineStr">
        <is>
          <t/>
        </is>
      </c>
      <c r="AM83" s="51" t="inlineStr">
        <is>
          <t/>
        </is>
      </c>
      <c r="AN83" s="52" t="inlineStr">
        <is>
          <t/>
        </is>
      </c>
      <c r="AO83" s="53" t="inlineStr">
        <is>
          <t>Dongguan, China</t>
        </is>
      </c>
      <c r="AP83" s="54" t="inlineStr">
        <is>
          <t>Back of Mingxuan Hotel, The First Building</t>
        </is>
      </c>
      <c r="AQ83" s="55" t="inlineStr">
        <is>
          <t>Second Industrial Zone, Daojiao Town Changping</t>
        </is>
      </c>
      <c r="AR83" s="56" t="inlineStr">
        <is>
          <t>Dongguan</t>
        </is>
      </c>
      <c r="AS83" s="57" t="inlineStr">
        <is>
          <t/>
        </is>
      </c>
      <c r="AT83" s="58" t="inlineStr">
        <is>
          <t>523170</t>
        </is>
      </c>
      <c r="AU83" s="59" t="inlineStr">
        <is>
          <t>China</t>
        </is>
      </c>
      <c r="AV83" s="60" t="inlineStr">
        <is>
          <t>+86 (0)769 8133 3505</t>
        </is>
      </c>
      <c r="AW83" s="61" t="inlineStr">
        <is>
          <t>+86 (0)769 8133 3508</t>
        </is>
      </c>
      <c r="AX83" s="62" t="inlineStr">
        <is>
          <t/>
        </is>
      </c>
      <c r="AY83" s="63" t="inlineStr">
        <is>
          <t>Asia</t>
        </is>
      </c>
      <c r="AZ83" s="64" t="inlineStr">
        <is>
          <t>East Asia</t>
        </is>
      </c>
      <c r="BA83" s="65" t="inlineStr">
        <is>
          <t/>
        </is>
      </c>
      <c r="BB83" s="66" t="inlineStr">
        <is>
          <t/>
        </is>
      </c>
      <c r="BC83" s="67" t="inlineStr">
        <is>
          <t/>
        </is>
      </c>
      <c r="BD83" s="68" t="inlineStr">
        <is>
          <t/>
        </is>
      </c>
      <c r="BE83" s="69" t="inlineStr">
        <is>
          <t/>
        </is>
      </c>
      <c r="BF83" s="70" t="inlineStr">
        <is>
          <t/>
        </is>
      </c>
      <c r="BG83" s="71" t="inlineStr">
        <is>
          <t/>
        </is>
      </c>
      <c r="BH83" s="72" t="inlineStr">
        <is>
          <t/>
        </is>
      </c>
      <c r="BI83" s="73" t="inlineStr">
        <is>
          <t/>
        </is>
      </c>
      <c r="BJ83" s="74" t="inlineStr">
        <is>
          <t/>
        </is>
      </c>
      <c r="BK83" s="75" t="inlineStr">
        <is>
          <t/>
        </is>
      </c>
      <c r="BL83" s="76" t="inlineStr">
        <is>
          <t/>
        </is>
      </c>
      <c r="BM83" s="77" t="inlineStr">
        <is>
          <t/>
        </is>
      </c>
      <c r="BN83" s="78" t="inlineStr">
        <is>
          <t/>
        </is>
      </c>
      <c r="BO83" s="79" t="inlineStr">
        <is>
          <t/>
        </is>
      </c>
      <c r="BP83" s="80" t="inlineStr">
        <is>
          <t/>
        </is>
      </c>
      <c r="BQ83" s="81" t="inlineStr">
        <is>
          <t/>
        </is>
      </c>
      <c r="BR83" s="82" t="inlineStr">
        <is>
          <t/>
        </is>
      </c>
      <c r="BS83" s="83" t="inlineStr">
        <is>
          <t/>
        </is>
      </c>
      <c r="BT83" s="84" t="inlineStr">
        <is>
          <t/>
        </is>
      </c>
      <c r="BU83" s="85" t="inlineStr">
        <is>
          <t/>
        </is>
      </c>
      <c r="BV83" s="86" t="inlineStr">
        <is>
          <t/>
        </is>
      </c>
      <c r="BW83" s="87" t="inlineStr">
        <is>
          <t/>
        </is>
      </c>
      <c r="BX83" s="88" t="inlineStr">
        <is>
          <t/>
        </is>
      </c>
      <c r="BY83" s="89" t="inlineStr">
        <is>
          <t/>
        </is>
      </c>
      <c r="BZ83" s="90" t="inlineStr">
        <is>
          <t/>
        </is>
      </c>
      <c r="CA83" s="91" t="inlineStr">
        <is>
          <t/>
        </is>
      </c>
      <c r="CB83" s="92" t="inlineStr">
        <is>
          <t/>
        </is>
      </c>
      <c r="CC83" s="93" t="inlineStr">
        <is>
          <t/>
        </is>
      </c>
      <c r="CD83" s="94" t="inlineStr">
        <is>
          <t/>
        </is>
      </c>
      <c r="CE83" s="95" t="inlineStr">
        <is>
          <t/>
        </is>
      </c>
      <c r="CF83" s="96" t="inlineStr">
        <is>
          <t/>
        </is>
      </c>
      <c r="CG83" s="97" t="inlineStr">
        <is>
          <t/>
        </is>
      </c>
      <c r="CH83" s="98" t="inlineStr">
        <is>
          <t/>
        </is>
      </c>
      <c r="CI83" s="99" t="inlineStr">
        <is>
          <t/>
        </is>
      </c>
      <c r="CJ83" s="100" t="inlineStr">
        <is>
          <t/>
        </is>
      </c>
      <c r="CK83" s="101" t="inlineStr">
        <is>
          <t/>
        </is>
      </c>
      <c r="CL83" s="102" t="inlineStr">
        <is>
          <t/>
        </is>
      </c>
      <c r="CM83" s="103" t="inlineStr">
        <is>
          <t/>
        </is>
      </c>
      <c r="CN83" s="104" t="n">
        <v>0.07</v>
      </c>
      <c r="CO83" s="105" t="n">
        <v>83.0</v>
      </c>
      <c r="CP83" s="106" t="n">
        <v>0.0</v>
      </c>
      <c r="CQ83" s="107" t="n">
        <v>-1.03</v>
      </c>
      <c r="CR83" s="108" t="n">
        <v>0.07</v>
      </c>
      <c r="CS83" s="109" t="n">
        <v>86.0</v>
      </c>
      <c r="CT83" s="110" t="inlineStr">
        <is>
          <t/>
        </is>
      </c>
      <c r="CU83" s="111" t="inlineStr">
        <is>
          <t/>
        </is>
      </c>
      <c r="CV83" s="112" t="inlineStr">
        <is>
          <t/>
        </is>
      </c>
      <c r="CW83" s="113" t="inlineStr">
        <is>
          <t/>
        </is>
      </c>
      <c r="CX83" s="114" t="n">
        <v>0.07</v>
      </c>
      <c r="CY83" s="115" t="n">
        <v>85.0</v>
      </c>
      <c r="CZ83" s="116" t="inlineStr">
        <is>
          <t/>
        </is>
      </c>
      <c r="DA83" s="117" t="inlineStr">
        <is>
          <t/>
        </is>
      </c>
      <c r="DB83" s="118" t="n">
        <v>5.59</v>
      </c>
      <c r="DC83" s="119" t="n">
        <v>84.0</v>
      </c>
      <c r="DD83" s="120" t="n">
        <v>1.41</v>
      </c>
      <c r="DE83" s="121" t="n">
        <v>33.76</v>
      </c>
      <c r="DF83" s="122" t="n">
        <v>5.59</v>
      </c>
      <c r="DG83" s="123" t="n">
        <v>84.0</v>
      </c>
      <c r="DH83" s="124" t="inlineStr">
        <is>
          <t/>
        </is>
      </c>
      <c r="DI83" s="125" t="inlineStr">
        <is>
          <t/>
        </is>
      </c>
      <c r="DJ83" s="126" t="inlineStr">
        <is>
          <t/>
        </is>
      </c>
      <c r="DK83" s="127" t="inlineStr">
        <is>
          <t/>
        </is>
      </c>
      <c r="DL83" s="128" t="n">
        <v>5.59</v>
      </c>
      <c r="DM83" s="129" t="n">
        <v>83.0</v>
      </c>
      <c r="DN83" s="130" t="inlineStr">
        <is>
          <t/>
        </is>
      </c>
      <c r="DO83" s="131" t="inlineStr">
        <is>
          <t/>
        </is>
      </c>
      <c r="DP83" s="132" t="inlineStr">
        <is>
          <t/>
        </is>
      </c>
      <c r="DQ83" s="133" t="inlineStr">
        <is>
          <t/>
        </is>
      </c>
      <c r="DR83" s="134" t="inlineStr">
        <is>
          <t/>
        </is>
      </c>
      <c r="DS83" s="135" t="n">
        <v>189.0</v>
      </c>
      <c r="DT83" s="136" t="n">
        <v>2.0</v>
      </c>
      <c r="DU83" s="137" t="n">
        <v>1.07</v>
      </c>
      <c r="DV83" s="138" t="inlineStr">
        <is>
          <t/>
        </is>
      </c>
      <c r="DW83" s="139" t="inlineStr">
        <is>
          <t/>
        </is>
      </c>
      <c r="DX83" s="140" t="inlineStr">
        <is>
          <t/>
        </is>
      </c>
      <c r="DY83" s="141" t="inlineStr">
        <is>
          <t>PitchBook Research</t>
        </is>
      </c>
      <c r="DZ83" s="142" t="n">
        <v>43548.0</v>
      </c>
      <c r="EA83" s="143" t="inlineStr">
        <is>
          <t/>
        </is>
      </c>
      <c r="EB83" s="144" t="inlineStr">
        <is>
          <t/>
        </is>
      </c>
      <c r="EC83" s="145" t="inlineStr">
        <is>
          <t/>
        </is>
      </c>
      <c r="ED83" s="547">
        <f>HYPERLINK("https://my.pitchbook.com?c=164634-94", "View company online")</f>
      </c>
    </row>
    <row r="84">
      <c r="A84" s="147" t="inlineStr">
        <is>
          <t>59076-10</t>
        </is>
      </c>
      <c r="B84" s="148" t="inlineStr">
        <is>
          <t>Amer Sports (HEL: AMEAS)</t>
        </is>
      </c>
      <c r="C84" s="149" t="inlineStr">
        <is>
          <t>Amer-Yhtymä</t>
        </is>
      </c>
      <c r="D84" s="150" t="inlineStr">
        <is>
          <t>Amer</t>
        </is>
      </c>
      <c r="E84" s="151" t="inlineStr">
        <is>
          <t>59076-10</t>
        </is>
      </c>
      <c r="F84" s="152" t="inlineStr">
        <is>
          <t>Amer Sports Oyj is a manufacturer of sporting goods across brands including Salomon, Wilson, and Atomic. The company organises itself into three segments: outdoor, ball sports, and fitness. The outdoor segment, which contributes the majority of company revenue, manufactures and supplies footwear, apparel, winter sports equipment, cycling components, and sports instruments. The ball sports segment, the next most significant contributor to consolidated revenue, includes racquets and team sports equipment, and golf equipment. The fitness segment manufactures and supplies fitness equipment. Europe, the Middle East, and Africa, or EMEA, and the Americas are the most significant geographical markets, providing roughly equal contributions to net sales, followed by Asia-Pacific.</t>
        </is>
      </c>
      <c r="G84" s="153" t="inlineStr">
        <is>
          <t>Consumer Products and Services (B2C)</t>
        </is>
      </c>
      <c r="H84" s="154" t="inlineStr">
        <is>
          <t>Consumer Durables</t>
        </is>
      </c>
      <c r="I84" s="155" t="inlineStr">
        <is>
          <t>Recreational Goods</t>
        </is>
      </c>
      <c r="J84" s="156" t="inlineStr">
        <is>
          <t>Clothing, Recreational Goods*</t>
        </is>
      </c>
      <c r="K84" s="157" t="inlineStr">
        <is>
          <t>Manufacturing</t>
        </is>
      </c>
      <c r="L84" s="158" t="inlineStr">
        <is>
          <t>athleisure, sporting goods, sports apparel, sports equipment, sports footwear</t>
        </is>
      </c>
      <c r="M84" s="159" t="inlineStr">
        <is>
          <t>Corporate Backed or Acquired</t>
        </is>
      </c>
      <c r="N84" s="160" t="inlineStr">
        <is>
          <t/>
        </is>
      </c>
      <c r="O84" s="161" t="inlineStr">
        <is>
          <t>Profitable</t>
        </is>
      </c>
      <c r="P84" s="162" t="inlineStr">
        <is>
          <t>Publicly Held</t>
        </is>
      </c>
      <c r="Q84" s="163" t="inlineStr">
        <is>
          <t>M&amp;A, Publicly Listed</t>
        </is>
      </c>
      <c r="R84" s="164" t="inlineStr">
        <is>
          <t/>
        </is>
      </c>
      <c r="S84" s="165" t="n">
        <v>9489.0</v>
      </c>
      <c r="T84" s="166" t="inlineStr">
        <is>
          <t>2008: 6338, 2010: 6597, 2011: 7107, 2012: 7280, 2013: 7396, 2014: 7630, 2015: 7981, 2016: 8554, 2017: 8680, 2018: 9489</t>
        </is>
      </c>
      <c r="U84" s="167" t="inlineStr">
        <is>
          <t>HEL</t>
        </is>
      </c>
      <c r="V84" s="168" t="inlineStr">
        <is>
          <t>AMEAS</t>
        </is>
      </c>
      <c r="W84" s="169" t="n">
        <v>1950.0</v>
      </c>
      <c r="X84" s="170" t="inlineStr">
        <is>
          <t/>
        </is>
      </c>
      <c r="Y84" s="171" t="inlineStr">
        <is>
          <t/>
        </is>
      </c>
      <c r="Z84" s="172" t="inlineStr">
        <is>
          <t>News (New) </t>
        </is>
      </c>
      <c r="AA84" s="173" t="n">
        <v>3160.45</v>
      </c>
      <c r="AB84" s="174" t="n">
        <v>1440.86</v>
      </c>
      <c r="AC84" s="175" t="n">
        <v>56.05</v>
      </c>
      <c r="AD84" s="176" t="n">
        <v>6158.9</v>
      </c>
      <c r="AE84" s="177" t="n">
        <v>324.99</v>
      </c>
      <c r="AF84" s="178" t="inlineStr">
        <is>
          <t>FY 2018</t>
        </is>
      </c>
      <c r="AG84" s="179" t="n">
        <v>238.02</v>
      </c>
      <c r="AH84" s="180" t="n">
        <v>5238.14</v>
      </c>
      <c r="AI84" s="181" t="n">
        <v>917.64</v>
      </c>
      <c r="AJ84" s="182" t="inlineStr">
        <is>
          <t>100320-85P</t>
        </is>
      </c>
      <c r="AK84" s="183" t="inlineStr">
        <is>
          <t>Jussi Siitonen</t>
        </is>
      </c>
      <c r="AL84" s="184" t="inlineStr">
        <is>
          <t>Chief Financial Officer</t>
        </is>
      </c>
      <c r="AM84" s="185" t="inlineStr">
        <is>
          <t>jussi.siitonen@amersports.com</t>
        </is>
      </c>
      <c r="AN84" s="186" t="inlineStr">
        <is>
          <t>+358 (0)20 712 2500</t>
        </is>
      </c>
      <c r="AO84" s="187" t="inlineStr">
        <is>
          <t>Helsinki, Finland</t>
        </is>
      </c>
      <c r="AP84" s="188" t="inlineStr">
        <is>
          <t>Konepajankuja 6</t>
        </is>
      </c>
      <c r="AQ84" s="189" t="inlineStr">
        <is>
          <t>P.O. Box 1000</t>
        </is>
      </c>
      <c r="AR84" s="190" t="inlineStr">
        <is>
          <t>Helsinki</t>
        </is>
      </c>
      <c r="AS84" s="191" t="inlineStr">
        <is>
          <t/>
        </is>
      </c>
      <c r="AT84" s="192" t="inlineStr">
        <is>
          <t>00511</t>
        </is>
      </c>
      <c r="AU84" s="193" t="inlineStr">
        <is>
          <t>Finland</t>
        </is>
      </c>
      <c r="AV84" s="194" t="inlineStr">
        <is>
          <t>+358 (0)20 712 2500</t>
        </is>
      </c>
      <c r="AW84" s="195" t="inlineStr">
        <is>
          <t/>
        </is>
      </c>
      <c r="AX84" s="196" t="inlineStr">
        <is>
          <t>amer.communications@amersports.com</t>
        </is>
      </c>
      <c r="AY84" s="197" t="inlineStr">
        <is>
          <t>Europe</t>
        </is>
      </c>
      <c r="AZ84" s="198" t="inlineStr">
        <is>
          <t>Northern Europe</t>
        </is>
      </c>
      <c r="BA84" s="199" t="inlineStr">
        <is>
          <t>The company (HEL: AMEAS) was acquired by ANTA Sports Products (HKG: 02020), Tencent Holdings (HKG: 00700), Chip Wilson and FountainVest Partners for EUR 4.6 billion on December 7, 2018.</t>
        </is>
      </c>
      <c r="BB84" s="200" t="inlineStr">
        <is>
          <t/>
        </is>
      </c>
      <c r="BC84" s="201" t="inlineStr">
        <is>
          <t/>
        </is>
      </c>
      <c r="BD84" s="202" t="inlineStr">
        <is>
          <t>ANTA Sports Products, Tencent Holdings</t>
        </is>
      </c>
      <c r="BE84" s="203" t="inlineStr">
        <is>
          <t>Ajanta, Individual Investor, Keva, Nordea Bank Finland, Novator Finland, Sports Direct International</t>
        </is>
      </c>
      <c r="BF84" s="204" t="inlineStr">
        <is>
          <t>FountainVest Partners</t>
        </is>
      </c>
      <c r="BG84" s="205" t="inlineStr">
        <is>
          <t/>
        </is>
      </c>
      <c r="BH84" s="206" t="inlineStr">
        <is>
          <t>Ajanta(www.ajanta.fi), Keva(www.keva.fi/en), Sports Direct International(www.sportsdirectplc.com)</t>
        </is>
      </c>
      <c r="BI84" s="207" t="inlineStr">
        <is>
          <t>FountainVest Partners(www.fountainvest.com)</t>
        </is>
      </c>
      <c r="BJ84" s="208" t="inlineStr">
        <is>
          <t>Nordhaven(Advisor: General), SRi Group(Consulting), SRiCheyenne(Consulting), Tecnova(Consulting)</t>
        </is>
      </c>
      <c r="BK84" s="209" t="inlineStr">
        <is>
          <t>The Goldman Sachs Group(Advisor: General), White &amp; Case(Legal Advisor)</t>
        </is>
      </c>
      <c r="BL84" s="210" t="n">
        <v>28197.0</v>
      </c>
      <c r="BM84" s="211" t="inlineStr">
        <is>
          <t/>
        </is>
      </c>
      <c r="BN84" s="212" t="inlineStr">
        <is>
          <t/>
        </is>
      </c>
      <c r="BO84" s="213" t="inlineStr">
        <is>
          <t/>
        </is>
      </c>
      <c r="BP84" s="214" t="inlineStr">
        <is>
          <t/>
        </is>
      </c>
      <c r="BQ84" s="215" t="inlineStr">
        <is>
          <t>IPO</t>
        </is>
      </c>
      <c r="BR84" s="216" t="inlineStr">
        <is>
          <t/>
        </is>
      </c>
      <c r="BS84" s="217" t="inlineStr">
        <is>
          <t/>
        </is>
      </c>
      <c r="BT84" s="218" t="inlineStr">
        <is>
          <t>Public Investment</t>
        </is>
      </c>
      <c r="BU84" s="219" t="inlineStr">
        <is>
          <t/>
        </is>
      </c>
      <c r="BV84" s="220" t="inlineStr">
        <is>
          <t/>
        </is>
      </c>
      <c r="BW84" s="221" t="inlineStr">
        <is>
          <t/>
        </is>
      </c>
      <c r="BX84" s="222" t="inlineStr">
        <is>
          <t>Completed</t>
        </is>
      </c>
      <c r="BY84" s="223" t="n">
        <v>43441.0</v>
      </c>
      <c r="BZ84" s="224" t="n">
        <v>5359.28</v>
      </c>
      <c r="CA84" s="225" t="inlineStr">
        <is>
          <t>Actual</t>
        </is>
      </c>
      <c r="CB84" s="226" t="n">
        <v>5359.28</v>
      </c>
      <c r="CC84" s="227" t="inlineStr">
        <is>
          <t>Actual</t>
        </is>
      </c>
      <c r="CD84" s="228" t="inlineStr">
        <is>
          <t>Merger/Acquisition</t>
        </is>
      </c>
      <c r="CE84" s="229" t="inlineStr">
        <is>
          <t/>
        </is>
      </c>
      <c r="CF84" s="230" t="inlineStr">
        <is>
          <t/>
        </is>
      </c>
      <c r="CG84" s="231" t="inlineStr">
        <is>
          <t>Corporate</t>
        </is>
      </c>
      <c r="CH84" s="232" t="inlineStr">
        <is>
          <t/>
        </is>
      </c>
      <c r="CI84" s="233" t="inlineStr">
        <is>
          <t/>
        </is>
      </c>
      <c r="CJ84" s="234" t="inlineStr">
        <is>
          <t/>
        </is>
      </c>
      <c r="CK84" s="235" t="inlineStr">
        <is>
          <t>Completed</t>
        </is>
      </c>
      <c r="CL84" s="236" t="inlineStr">
        <is>
          <t/>
        </is>
      </c>
      <c r="CM84" s="237" t="inlineStr">
        <is>
          <t/>
        </is>
      </c>
      <c r="CN84" s="238" t="n">
        <v>1.15</v>
      </c>
      <c r="CO84" s="239" t="n">
        <v>98.0</v>
      </c>
      <c r="CP84" s="240" t="n">
        <v>0.03</v>
      </c>
      <c r="CQ84" s="241" t="n">
        <v>2.96</v>
      </c>
      <c r="CR84" s="242" t="n">
        <v>3.05</v>
      </c>
      <c r="CS84" s="243" t="n">
        <v>100.0</v>
      </c>
      <c r="CT84" s="244" t="n">
        <v>0.31</v>
      </c>
      <c r="CU84" s="245" t="n">
        <v>90.0</v>
      </c>
      <c r="CV84" s="246" t="n">
        <v>6.25</v>
      </c>
      <c r="CW84" s="247" t="n">
        <v>98.0</v>
      </c>
      <c r="CX84" s="248" t="n">
        <v>-0.14</v>
      </c>
      <c r="CY84" s="249" t="n">
        <v>10.0</v>
      </c>
      <c r="CZ84" s="250" t="n">
        <v>0.31</v>
      </c>
      <c r="DA84" s="251" t="n">
        <v>91.0</v>
      </c>
      <c r="DB84" s="252" t="n">
        <v>25.41</v>
      </c>
      <c r="DC84" s="253" t="n">
        <v>96.0</v>
      </c>
      <c r="DD84" s="254" t="n">
        <v>2.64</v>
      </c>
      <c r="DE84" s="255" t="n">
        <v>11.6</v>
      </c>
      <c r="DF84" s="256" t="n">
        <v>37.05</v>
      </c>
      <c r="DG84" s="257" t="n">
        <v>98.0</v>
      </c>
      <c r="DH84" s="258" t="n">
        <v>4.35</v>
      </c>
      <c r="DI84" s="259" t="n">
        <v>76.0</v>
      </c>
      <c r="DJ84" s="260" t="n">
        <v>6.43</v>
      </c>
      <c r="DK84" s="261" t="n">
        <v>82.0</v>
      </c>
      <c r="DL84" s="262" t="n">
        <v>67.68</v>
      </c>
      <c r="DM84" s="263" t="n">
        <v>99.0</v>
      </c>
      <c r="DN84" s="264" t="n">
        <v>4.35</v>
      </c>
      <c r="DO84" s="265" t="n">
        <v>77.0</v>
      </c>
      <c r="DP84" s="266" t="n">
        <v>4546.0</v>
      </c>
      <c r="DQ84" s="267" t="n">
        <v>317.0</v>
      </c>
      <c r="DR84" s="268" t="n">
        <v>7.5</v>
      </c>
      <c r="DS84" s="269" t="n">
        <v>2298.0</v>
      </c>
      <c r="DT84" s="270" t="n">
        <v>7.0</v>
      </c>
      <c r="DU84" s="271" t="n">
        <v>0.31</v>
      </c>
      <c r="DV84" s="272" t="n">
        <v>1559.0</v>
      </c>
      <c r="DW84" s="273" t="n">
        <v>4.0</v>
      </c>
      <c r="DX84" s="274" t="n">
        <v>0.26</v>
      </c>
      <c r="DY84" s="275" t="inlineStr">
        <is>
          <t>PitchBook Research</t>
        </is>
      </c>
      <c r="DZ84" s="276" t="n">
        <v>43544.0</v>
      </c>
      <c r="EA84" s="277" t="n">
        <v>5359.28</v>
      </c>
      <c r="EB84" s="278" t="n">
        <v>43441.0</v>
      </c>
      <c r="EC84" s="279" t="inlineStr">
        <is>
          <t>Merger/Acquisition</t>
        </is>
      </c>
      <c r="ED84" s="548">
        <f>HYPERLINK("https://my.pitchbook.com?c=59076-10", "View company online")</f>
      </c>
    </row>
    <row r="85">
      <c r="A85" s="13" t="inlineStr">
        <is>
          <t>42803-65</t>
        </is>
      </c>
      <c r="B85" s="14" t="inlineStr">
        <is>
          <t>Galeria Kaufhof</t>
        </is>
      </c>
      <c r="C85" s="15" t="inlineStr">
        <is>
          <t/>
        </is>
      </c>
      <c r="D85" s="16" t="inlineStr">
        <is>
          <t>Kaufhof</t>
        </is>
      </c>
      <c r="E85" s="17" t="inlineStr">
        <is>
          <t>42803-65</t>
        </is>
      </c>
      <c r="F85" s="18" t="inlineStr">
        <is>
          <t>Operator of a departmental store. The company's clothing retail services include selling of clothing and accessories, shoes, handbags, beauty products, sports products, home appliances and leisure products, enabling customers to avail quality fashion and other products.</t>
        </is>
      </c>
      <c r="G85" s="19" t="inlineStr">
        <is>
          <t>Consumer Products and Services (B2C)</t>
        </is>
      </c>
      <c r="H85" s="20" t="inlineStr">
        <is>
          <t>Retail</t>
        </is>
      </c>
      <c r="I85" s="21" t="inlineStr">
        <is>
          <t>Specialty Retail</t>
        </is>
      </c>
      <c r="J85" s="22" t="inlineStr">
        <is>
          <t>Clothing, Department Stores, Specialty Retail*</t>
        </is>
      </c>
      <c r="K85" s="23" t="inlineStr">
        <is>
          <t/>
        </is>
      </c>
      <c r="L85" s="24" t="inlineStr">
        <is>
          <t>beauty product, clothing retail, fashion accessories, fashion product, handbags</t>
        </is>
      </c>
      <c r="M85" s="25" t="inlineStr">
        <is>
          <t>Pending Transaction (M&amp;A)</t>
        </is>
      </c>
      <c r="N85" s="26" t="inlineStr">
        <is>
          <t/>
        </is>
      </c>
      <c r="O85" s="27" t="inlineStr">
        <is>
          <t>Profitable</t>
        </is>
      </c>
      <c r="P85" s="28" t="inlineStr">
        <is>
          <t>Acquired/Merged (Operating Subsidiary)</t>
        </is>
      </c>
      <c r="Q85" s="29" t="inlineStr">
        <is>
          <t>M&amp;A, Private Equity</t>
        </is>
      </c>
      <c r="R85" s="30" t="inlineStr">
        <is>
          <t>www.galeria-kaufhof.de</t>
        </is>
      </c>
      <c r="S85" s="31" t="n">
        <v>21500.0</v>
      </c>
      <c r="T85" s="32" t="inlineStr">
        <is>
          <t>2011: 19291, 2015: 21500</t>
        </is>
      </c>
      <c r="U85" s="33" t="inlineStr">
        <is>
          <t/>
        </is>
      </c>
      <c r="V85" s="34" t="inlineStr">
        <is>
          <t/>
        </is>
      </c>
      <c r="W85" s="35" t="n">
        <v>1879.0</v>
      </c>
      <c r="X85" s="36" t="inlineStr">
        <is>
          <t>Hudson's Bay</t>
        </is>
      </c>
      <c r="Y85" s="37" t="inlineStr">
        <is>
          <t/>
        </is>
      </c>
      <c r="Z85" s="38" t="inlineStr">
        <is>
          <t/>
        </is>
      </c>
      <c r="AA85" s="39" t="n">
        <v>3095.88</v>
      </c>
      <c r="AB85" s="40" t="inlineStr">
        <is>
          <t/>
        </is>
      </c>
      <c r="AC85" s="41" t="inlineStr">
        <is>
          <t/>
        </is>
      </c>
      <c r="AD85" s="42" t="inlineStr">
        <is>
          <t/>
        </is>
      </c>
      <c r="AE85" s="43" t="inlineStr">
        <is>
          <t/>
        </is>
      </c>
      <c r="AF85" s="44" t="inlineStr">
        <is>
          <t>FY 2015</t>
        </is>
      </c>
      <c r="AG85" s="45" t="inlineStr">
        <is>
          <t/>
        </is>
      </c>
      <c r="AH85" s="46" t="inlineStr">
        <is>
          <t/>
        </is>
      </c>
      <c r="AI85" s="47" t="inlineStr">
        <is>
          <t/>
        </is>
      </c>
      <c r="AJ85" s="48" t="inlineStr">
        <is>
          <t>57265-57P</t>
        </is>
      </c>
      <c r="AK85" s="49" t="inlineStr">
        <is>
          <t>Manuel Kiessling</t>
        </is>
      </c>
      <c r="AL85" s="50" t="inlineStr">
        <is>
          <t>Head of Technical Platform Online</t>
        </is>
      </c>
      <c r="AM85" s="51" t="inlineStr">
        <is>
          <t/>
        </is>
      </c>
      <c r="AN85" s="52" t="inlineStr">
        <is>
          <t>+49 (0)22 1588 7058 8</t>
        </is>
      </c>
      <c r="AO85" s="53" t="inlineStr">
        <is>
          <t>Brandenburg, Germany</t>
        </is>
      </c>
      <c r="AP85" s="54" t="inlineStr">
        <is>
          <t>Postfach 11 09</t>
        </is>
      </c>
      <c r="AQ85" s="55" t="inlineStr">
        <is>
          <t/>
        </is>
      </c>
      <c r="AR85" s="56" t="inlineStr">
        <is>
          <t>Brandenburg</t>
        </is>
      </c>
      <c r="AS85" s="57" t="inlineStr">
        <is>
          <t/>
        </is>
      </c>
      <c r="AT85" s="58" t="inlineStr">
        <is>
          <t>14731</t>
        </is>
      </c>
      <c r="AU85" s="59" t="inlineStr">
        <is>
          <t>Germany</t>
        </is>
      </c>
      <c r="AV85" s="60" t="inlineStr">
        <is>
          <t>+49 (0)22 1588 7058 8</t>
        </is>
      </c>
      <c r="AW85" s="61" t="inlineStr">
        <is>
          <t>+49 (0)22 1588 7058 7</t>
        </is>
      </c>
      <c r="AX85" s="62" t="inlineStr">
        <is>
          <t>info@galeria-kaufhof.de</t>
        </is>
      </c>
      <c r="AY85" s="63" t="inlineStr">
        <is>
          <t>Europe</t>
        </is>
      </c>
      <c r="AZ85" s="64" t="inlineStr">
        <is>
          <t>Western Europe</t>
        </is>
      </c>
      <c r="BA85" s="65" t="inlineStr">
        <is>
          <t>The company reached a definitive agreement to be acquired by Signa Holding for EUR 1.1 billion on July 5, 2018. This transaction creates significant value for shareholders, enhances balance sheet and provides a better operating platform for European business of the acquirer. The company is being actively tracked by PitchBook.</t>
        </is>
      </c>
      <c r="BB85" s="66" t="inlineStr">
        <is>
          <t>Hudson's Bay</t>
        </is>
      </c>
      <c r="BC85" s="67" t="n">
        <v>1.0</v>
      </c>
      <c r="BD85" s="68" t="inlineStr">
        <is>
          <t/>
        </is>
      </c>
      <c r="BE85" s="69" t="inlineStr">
        <is>
          <t>Metro Richelieu</t>
        </is>
      </c>
      <c r="BF85" s="70" t="inlineStr">
        <is>
          <t>Berggruen Holdings, Signa Holding, The Blackstone Group</t>
        </is>
      </c>
      <c r="BG85" s="71" t="inlineStr">
        <is>
          <t>Hudson's Bay(www3.hbc.com)</t>
        </is>
      </c>
      <c r="BH85" s="72" t="inlineStr">
        <is>
          <t>Metro Richelieu(www.metro.ca)</t>
        </is>
      </c>
      <c r="BI85" s="73" t="inlineStr">
        <is>
          <t>Berggruen Holdings(www.berggruenholdings.com), Signa Holding(www.signa.at), The Blackstone Group(www.blackstone.com)</t>
        </is>
      </c>
      <c r="BJ85" s="74" t="inlineStr">
        <is>
          <t>Conlab Management Consultants(Consulting)</t>
        </is>
      </c>
      <c r="BK85" s="75" t="inlineStr">
        <is>
          <t/>
        </is>
      </c>
      <c r="BL85" s="76" t="n">
        <v>40869.0</v>
      </c>
      <c r="BM85" s="77" t="n">
        <v>4075.84</v>
      </c>
      <c r="BN85" s="78" t="inlineStr">
        <is>
          <t>Estimated</t>
        </is>
      </c>
      <c r="BO85" s="79" t="n">
        <v>4075.84</v>
      </c>
      <c r="BP85" s="80" t="inlineStr">
        <is>
          <t>Estimated</t>
        </is>
      </c>
      <c r="BQ85" s="81" t="inlineStr">
        <is>
          <t>Buyout/LBO</t>
        </is>
      </c>
      <c r="BR85" s="82" t="inlineStr">
        <is>
          <t/>
        </is>
      </c>
      <c r="BS85" s="83" t="inlineStr">
        <is>
          <t/>
        </is>
      </c>
      <c r="BT85" s="84" t="inlineStr">
        <is>
          <t>Private Equity</t>
        </is>
      </c>
      <c r="BU85" s="85" t="inlineStr">
        <is>
          <t/>
        </is>
      </c>
      <c r="BV85" s="86" t="inlineStr">
        <is>
          <t/>
        </is>
      </c>
      <c r="BW85" s="87" t="inlineStr">
        <is>
          <t/>
        </is>
      </c>
      <c r="BX85" s="88" t="inlineStr">
        <is>
          <t>Failed/Cancelled</t>
        </is>
      </c>
      <c r="BY85" s="89" t="n">
        <v>43286.0</v>
      </c>
      <c r="BZ85" s="90" t="n">
        <v>3798.77</v>
      </c>
      <c r="CA85" s="91" t="inlineStr">
        <is>
          <t>Actual</t>
        </is>
      </c>
      <c r="CB85" s="92" t="n">
        <v>7597.54</v>
      </c>
      <c r="CC85" s="93" t="inlineStr">
        <is>
          <t>Actual</t>
        </is>
      </c>
      <c r="CD85" s="94" t="inlineStr">
        <is>
          <t>Merger/Acquisition</t>
        </is>
      </c>
      <c r="CE85" s="95" t="inlineStr">
        <is>
          <t>Corporate Divestiture</t>
        </is>
      </c>
      <c r="CF85" s="96" t="inlineStr">
        <is>
          <t/>
        </is>
      </c>
      <c r="CG85" s="97" t="inlineStr">
        <is>
          <t>Corporate</t>
        </is>
      </c>
      <c r="CH85" s="98" t="inlineStr">
        <is>
          <t/>
        </is>
      </c>
      <c r="CI85" s="99" t="inlineStr">
        <is>
          <t/>
        </is>
      </c>
      <c r="CJ85" s="100" t="inlineStr">
        <is>
          <t/>
        </is>
      </c>
      <c r="CK85" s="101" t="inlineStr">
        <is>
          <t>Announced/In Progress</t>
        </is>
      </c>
      <c r="CL85" s="102" t="inlineStr">
        <is>
          <t/>
        </is>
      </c>
      <c r="CM85" s="103" t="inlineStr">
        <is>
          <t/>
        </is>
      </c>
      <c r="CN85" s="104" t="inlineStr">
        <is>
          <t/>
        </is>
      </c>
      <c r="CO85" s="105" t="inlineStr">
        <is>
          <t/>
        </is>
      </c>
      <c r="CP85" s="106" t="inlineStr">
        <is>
          <t/>
        </is>
      </c>
      <c r="CQ85" s="107" t="inlineStr">
        <is>
          <t/>
        </is>
      </c>
      <c r="CR85" s="108" t="inlineStr">
        <is>
          <t/>
        </is>
      </c>
      <c r="CS85" s="109" t="inlineStr">
        <is>
          <t/>
        </is>
      </c>
      <c r="CT85" s="110" t="inlineStr">
        <is>
          <t/>
        </is>
      </c>
      <c r="CU85" s="111" t="inlineStr">
        <is>
          <t/>
        </is>
      </c>
      <c r="CV85" s="112" t="inlineStr">
        <is>
          <t/>
        </is>
      </c>
      <c r="CW85" s="113" t="inlineStr">
        <is>
          <t/>
        </is>
      </c>
      <c r="CX85" s="114" t="inlineStr">
        <is>
          <t/>
        </is>
      </c>
      <c r="CY85" s="115" t="inlineStr">
        <is>
          <t/>
        </is>
      </c>
      <c r="CZ85" s="116" t="inlineStr">
        <is>
          <t/>
        </is>
      </c>
      <c r="DA85" s="117" t="inlineStr">
        <is>
          <t/>
        </is>
      </c>
      <c r="DB85" s="118" t="inlineStr">
        <is>
          <t/>
        </is>
      </c>
      <c r="DC85" s="119" t="inlineStr">
        <is>
          <t/>
        </is>
      </c>
      <c r="DD85" s="120" t="inlineStr">
        <is>
          <t/>
        </is>
      </c>
      <c r="DE85" s="121" t="inlineStr">
        <is>
          <t/>
        </is>
      </c>
      <c r="DF85" s="122" t="inlineStr">
        <is>
          <t/>
        </is>
      </c>
      <c r="DG85" s="123" t="inlineStr">
        <is>
          <t/>
        </is>
      </c>
      <c r="DH85" s="124" t="inlineStr">
        <is>
          <t/>
        </is>
      </c>
      <c r="DI85" s="125" t="inlineStr">
        <is>
          <t/>
        </is>
      </c>
      <c r="DJ85" s="126" t="inlineStr">
        <is>
          <t/>
        </is>
      </c>
      <c r="DK85" s="127" t="inlineStr">
        <is>
          <t/>
        </is>
      </c>
      <c r="DL85" s="128" t="inlineStr">
        <is>
          <t/>
        </is>
      </c>
      <c r="DM85" s="129" t="inlineStr">
        <is>
          <t/>
        </is>
      </c>
      <c r="DN85" s="130" t="inlineStr">
        <is>
          <t/>
        </is>
      </c>
      <c r="DO85" s="131" t="inlineStr">
        <is>
          <t/>
        </is>
      </c>
      <c r="DP85" s="132" t="inlineStr">
        <is>
          <t/>
        </is>
      </c>
      <c r="DQ85" s="133" t="inlineStr">
        <is>
          <t/>
        </is>
      </c>
      <c r="DR85" s="134" t="inlineStr">
        <is>
          <t/>
        </is>
      </c>
      <c r="DS85" s="135" t="inlineStr">
        <is>
          <t/>
        </is>
      </c>
      <c r="DT85" s="136" t="inlineStr">
        <is>
          <t/>
        </is>
      </c>
      <c r="DU85" s="137" t="inlineStr">
        <is>
          <t/>
        </is>
      </c>
      <c r="DV85" s="138" t="inlineStr">
        <is>
          <t/>
        </is>
      </c>
      <c r="DW85" s="139" t="inlineStr">
        <is>
          <t/>
        </is>
      </c>
      <c r="DX85" s="140" t="inlineStr">
        <is>
          <t/>
        </is>
      </c>
      <c r="DY85" s="141" t="inlineStr">
        <is>
          <t>PitchBook Research</t>
        </is>
      </c>
      <c r="DZ85" s="142" t="n">
        <v>43480.0</v>
      </c>
      <c r="EA85" s="143" t="n">
        <v>7597.54</v>
      </c>
      <c r="EB85" s="144" t="n">
        <v>43286.0</v>
      </c>
      <c r="EC85" s="145" t="inlineStr">
        <is>
          <t>Merger/Acquisition</t>
        </is>
      </c>
      <c r="ED85" s="547">
        <f>HYPERLINK("https://my.pitchbook.com?c=42803-65", "View company online")</f>
      </c>
    </row>
    <row r="86">
      <c r="A86" s="147" t="inlineStr">
        <is>
          <t>41224-69</t>
        </is>
      </c>
      <c r="B86" s="148" t="inlineStr">
        <is>
          <t>G III (NAS: GIII)</t>
        </is>
      </c>
      <c r="C86" s="149" t="inlineStr">
        <is>
          <t/>
        </is>
      </c>
      <c r="D86" s="150" t="inlineStr">
        <is>
          <t/>
        </is>
      </c>
      <c r="E86" s="151" t="inlineStr">
        <is>
          <t>41224-69</t>
        </is>
      </c>
      <c r="F86" s="152" t="inlineStr">
        <is>
          <t>G-III Apparel Group Ltd is a textile company. It makes a wide range of apparel, footwear, and accessories that it sells under its own brands, licensed brands, and private-label brands. G-III has a substantial portfolio for licensed and proprietary brands, anchored by five global power brands: DKNY, Donna Karan, Calvin Klein, Tommy Hilfiger and Karl Lagerfeld. The company has two reportable operations: Wholesale Operations and Retail Operations. The Wholesale operations segment includes sales of products under brands licensed by us from third parties, as well as sales of products under its own brands and private label brands. The retail operations segment consists primarily of Wilsons Leather, G.H. Bass, and DKNY retail stores. It derives most of its revenues from Wholesale operations.</t>
        </is>
      </c>
      <c r="G86" s="153" t="inlineStr">
        <is>
          <t>Consumer Products and Services (B2C)</t>
        </is>
      </c>
      <c r="H86" s="154" t="inlineStr">
        <is>
          <t>Apparel and Accessories</t>
        </is>
      </c>
      <c r="I86" s="155" t="inlineStr">
        <is>
          <t>Clothing</t>
        </is>
      </c>
      <c r="J86" s="156" t="inlineStr">
        <is>
          <t>Clothing*</t>
        </is>
      </c>
      <c r="K86" s="157" t="inlineStr">
        <is>
          <t/>
        </is>
      </c>
      <c r="L86" s="158" t="inlineStr">
        <is>
          <t/>
        </is>
      </c>
      <c r="M86" s="159" t="inlineStr">
        <is>
          <t>Corporation</t>
        </is>
      </c>
      <c r="N86" s="160" t="inlineStr">
        <is>
          <t/>
        </is>
      </c>
      <c r="O86" s="161" t="inlineStr">
        <is>
          <t>Profitable</t>
        </is>
      </c>
      <c r="P86" s="162" t="inlineStr">
        <is>
          <t>Publicly Held</t>
        </is>
      </c>
      <c r="Q86" s="163" t="inlineStr">
        <is>
          <t>Publicly Listed</t>
        </is>
      </c>
      <c r="R86" s="164" t="inlineStr">
        <is>
          <t>www.giii.com</t>
        </is>
      </c>
      <c r="S86" s="165" t="n">
        <v>10851.0</v>
      </c>
      <c r="T86" s="166" t="inlineStr">
        <is>
          <t>1990: 310, 1992: 287, 1993: 296, 1994: 334, 1995: 281, 1996: 275, 1997: 239, 1998: 243, 1999: 266, 2000: 279, 2001: 338, 2002: 344, 2003: 302, 2004: 368, 2005: 384, 2006: 510, 2007: 510, 2008: 573, 2009: 1245, 2010: 1880, 2011: 2154, 2012: 2592, 2013: 3109, 2014: 6631, 2015: 6641, 2016: 10144, 2017: 10918, 2018: 10851</t>
        </is>
      </c>
      <c r="U86" s="167" t="inlineStr">
        <is>
          <t>NAS</t>
        </is>
      </c>
      <c r="V86" s="168" t="inlineStr">
        <is>
          <t>GIII</t>
        </is>
      </c>
      <c r="W86" s="169" t="n">
        <v>1974.0</v>
      </c>
      <c r="X86" s="170" t="inlineStr">
        <is>
          <t/>
        </is>
      </c>
      <c r="Y86" s="171" t="inlineStr">
        <is>
          <t>News (New) </t>
        </is>
      </c>
      <c r="Z86" s="172" t="inlineStr">
        <is>
          <t>News (New) , Filing (New) </t>
        </is>
      </c>
      <c r="AA86" s="173" t="n">
        <v>3076.21</v>
      </c>
      <c r="AB86" s="174" t="n">
        <v>1107.11</v>
      </c>
      <c r="AC86" s="175" t="n">
        <v>138.07</v>
      </c>
      <c r="AD86" s="176" t="n">
        <v>1721.03</v>
      </c>
      <c r="AE86" s="177" t="n">
        <v>222.65</v>
      </c>
      <c r="AF86" s="178" t="inlineStr">
        <is>
          <t>FY 2019</t>
        </is>
      </c>
      <c r="AG86" s="179" t="n">
        <v>183.83</v>
      </c>
      <c r="AH86" s="180" t="n">
        <v>1863.17</v>
      </c>
      <c r="AI86" s="181" t="n">
        <v>0.0</v>
      </c>
      <c r="AJ86" s="182" t="inlineStr">
        <is>
          <t>15179-59P</t>
        </is>
      </c>
      <c r="AK86" s="183" t="inlineStr">
        <is>
          <t>Morris Goldfarb</t>
        </is>
      </c>
      <c r="AL86" s="184" t="inlineStr">
        <is>
          <t>Chief Executive Officer &amp; Chairman</t>
        </is>
      </c>
      <c r="AM86" s="185" t="inlineStr">
        <is>
          <t/>
        </is>
      </c>
      <c r="AN86" s="186" t="inlineStr">
        <is>
          <t>+1 (212) 403-0500</t>
        </is>
      </c>
      <c r="AO86" s="187" t="inlineStr">
        <is>
          <t>New York, NY</t>
        </is>
      </c>
      <c r="AP86" s="188" t="inlineStr">
        <is>
          <t>512 7th Avenue</t>
        </is>
      </c>
      <c r="AQ86" s="189" t="inlineStr">
        <is>
          <t/>
        </is>
      </c>
      <c r="AR86" s="190" t="inlineStr">
        <is>
          <t>New York</t>
        </is>
      </c>
      <c r="AS86" s="191" t="inlineStr">
        <is>
          <t>New York</t>
        </is>
      </c>
      <c r="AT86" s="192" t="inlineStr">
        <is>
          <t>10018</t>
        </is>
      </c>
      <c r="AU86" s="193" t="inlineStr">
        <is>
          <t>United States</t>
        </is>
      </c>
      <c r="AV86" s="194" t="inlineStr">
        <is>
          <t>+1 (212) 403-0500</t>
        </is>
      </c>
      <c r="AW86" s="195" t="inlineStr">
        <is>
          <t>+1 (212) 403-0551</t>
        </is>
      </c>
      <c r="AX86" s="196" t="inlineStr">
        <is>
          <t>info@g-iii.com</t>
        </is>
      </c>
      <c r="AY86" s="197" t="inlineStr">
        <is>
          <t>Americas</t>
        </is>
      </c>
      <c r="AZ86" s="198" t="inlineStr">
        <is>
          <t>North America</t>
        </is>
      </c>
      <c r="BA86" s="199" t="inlineStr">
        <is>
          <t/>
        </is>
      </c>
      <c r="BB86" s="200" t="inlineStr">
        <is>
          <t/>
        </is>
      </c>
      <c r="BC86" s="201" t="inlineStr">
        <is>
          <t/>
        </is>
      </c>
      <c r="BD86" s="202" t="inlineStr">
        <is>
          <t/>
        </is>
      </c>
      <c r="BE86" s="203" t="inlineStr">
        <is>
          <t/>
        </is>
      </c>
      <c r="BF86" s="204" t="inlineStr">
        <is>
          <t/>
        </is>
      </c>
      <c r="BG86" s="205" t="inlineStr">
        <is>
          <t/>
        </is>
      </c>
      <c r="BH86" s="206" t="inlineStr">
        <is>
          <t/>
        </is>
      </c>
      <c r="BI86" s="207" t="inlineStr">
        <is>
          <t/>
        </is>
      </c>
      <c r="BJ86" s="208" t="inlineStr">
        <is>
          <t/>
        </is>
      </c>
      <c r="BK86" s="209" t="inlineStr">
        <is>
          <t/>
        </is>
      </c>
      <c r="BL86" s="210" t="inlineStr">
        <is>
          <t/>
        </is>
      </c>
      <c r="BM86" s="211" t="inlineStr">
        <is>
          <t/>
        </is>
      </c>
      <c r="BN86" s="212" t="inlineStr">
        <is>
          <t/>
        </is>
      </c>
      <c r="BO86" s="213" t="inlineStr">
        <is>
          <t/>
        </is>
      </c>
      <c r="BP86" s="214" t="inlineStr">
        <is>
          <t/>
        </is>
      </c>
      <c r="BQ86" s="215" t="inlineStr">
        <is>
          <t/>
        </is>
      </c>
      <c r="BR86" s="216" t="inlineStr">
        <is>
          <t/>
        </is>
      </c>
      <c r="BS86" s="217" t="inlineStr">
        <is>
          <t/>
        </is>
      </c>
      <c r="BT86" s="218" t="inlineStr">
        <is>
          <t/>
        </is>
      </c>
      <c r="BU86" s="219" t="inlineStr">
        <is>
          <t/>
        </is>
      </c>
      <c r="BV86" s="220" t="inlineStr">
        <is>
          <t/>
        </is>
      </c>
      <c r="BW86" s="221" t="inlineStr">
        <is>
          <t/>
        </is>
      </c>
      <c r="BX86" s="222" t="inlineStr">
        <is>
          <t/>
        </is>
      </c>
      <c r="BY86" s="223" t="inlineStr">
        <is>
          <t/>
        </is>
      </c>
      <c r="BZ86" s="224" t="inlineStr">
        <is>
          <t/>
        </is>
      </c>
      <c r="CA86" s="225" t="inlineStr">
        <is>
          <t/>
        </is>
      </c>
      <c r="CB86" s="226" t="inlineStr">
        <is>
          <t/>
        </is>
      </c>
      <c r="CC86" s="227" t="inlineStr">
        <is>
          <t/>
        </is>
      </c>
      <c r="CD86" s="228" t="inlineStr">
        <is>
          <t/>
        </is>
      </c>
      <c r="CE86" s="229" t="inlineStr">
        <is>
          <t/>
        </is>
      </c>
      <c r="CF86" s="230" t="inlineStr">
        <is>
          <t/>
        </is>
      </c>
      <c r="CG86" s="231" t="inlineStr">
        <is>
          <t/>
        </is>
      </c>
      <c r="CH86" s="232" t="inlineStr">
        <is>
          <t/>
        </is>
      </c>
      <c r="CI86" s="233" t="inlineStr">
        <is>
          <t/>
        </is>
      </c>
      <c r="CJ86" s="234" t="inlineStr">
        <is>
          <t/>
        </is>
      </c>
      <c r="CK86" s="235" t="inlineStr">
        <is>
          <t/>
        </is>
      </c>
      <c r="CL86" s="236" t="inlineStr">
        <is>
          <t/>
        </is>
      </c>
      <c r="CM86" s="237" t="inlineStr">
        <is>
          <t/>
        </is>
      </c>
      <c r="CN86" s="238" t="n">
        <v>1.55</v>
      </c>
      <c r="CO86" s="239" t="n">
        <v>99.0</v>
      </c>
      <c r="CP86" s="240" t="n">
        <v>0.0</v>
      </c>
      <c r="CQ86" s="241" t="n">
        <v>0.0</v>
      </c>
      <c r="CR86" s="242" t="n">
        <v>1.55</v>
      </c>
      <c r="CS86" s="243" t="n">
        <v>98.0</v>
      </c>
      <c r="CT86" s="244" t="inlineStr">
        <is>
          <t/>
        </is>
      </c>
      <c r="CU86" s="245" t="inlineStr">
        <is>
          <t/>
        </is>
      </c>
      <c r="CV86" s="246" t="n">
        <v>1.55</v>
      </c>
      <c r="CW86" s="247" t="n">
        <v>89.0</v>
      </c>
      <c r="CX86" s="248" t="inlineStr">
        <is>
          <t/>
        </is>
      </c>
      <c r="CY86" s="249" t="inlineStr">
        <is>
          <t/>
        </is>
      </c>
      <c r="CZ86" s="250" t="inlineStr">
        <is>
          <t/>
        </is>
      </c>
      <c r="DA86" s="251" t="inlineStr">
        <is>
          <t/>
        </is>
      </c>
      <c r="DB86" s="252" t="n">
        <v>2.36</v>
      </c>
      <c r="DC86" s="253" t="n">
        <v>71.0</v>
      </c>
      <c r="DD86" s="254" t="n">
        <v>0.0</v>
      </c>
      <c r="DE86" s="255" t="n">
        <v>0.0</v>
      </c>
      <c r="DF86" s="256" t="n">
        <v>2.36</v>
      </c>
      <c r="DG86" s="257" t="n">
        <v>71.0</v>
      </c>
      <c r="DH86" s="258" t="inlineStr">
        <is>
          <t/>
        </is>
      </c>
      <c r="DI86" s="259" t="inlineStr">
        <is>
          <t/>
        </is>
      </c>
      <c r="DJ86" s="260" t="n">
        <v>2.36</v>
      </c>
      <c r="DK86" s="261" t="n">
        <v>68.0</v>
      </c>
      <c r="DL86" s="262" t="inlineStr">
        <is>
          <t/>
        </is>
      </c>
      <c r="DM86" s="263" t="inlineStr">
        <is>
          <t/>
        </is>
      </c>
      <c r="DN86" s="264" t="inlineStr">
        <is>
          <t/>
        </is>
      </c>
      <c r="DO86" s="265" t="inlineStr">
        <is>
          <t/>
        </is>
      </c>
      <c r="DP86" s="266" t="n">
        <v>1690.0</v>
      </c>
      <c r="DQ86" s="267" t="n">
        <v>-69.0</v>
      </c>
      <c r="DR86" s="268" t="n">
        <v>-3.92</v>
      </c>
      <c r="DS86" s="269" t="inlineStr">
        <is>
          <t/>
        </is>
      </c>
      <c r="DT86" s="270" t="inlineStr">
        <is>
          <t/>
        </is>
      </c>
      <c r="DU86" s="271" t="inlineStr">
        <is>
          <t/>
        </is>
      </c>
      <c r="DV86" s="272" t="inlineStr">
        <is>
          <t/>
        </is>
      </c>
      <c r="DW86" s="273" t="inlineStr">
        <is>
          <t/>
        </is>
      </c>
      <c r="DX86" s="274" t="inlineStr">
        <is>
          <t/>
        </is>
      </c>
      <c r="DY86" s="275" t="inlineStr">
        <is>
          <t>PitchBook Research</t>
        </is>
      </c>
      <c r="DZ86" s="276" t="n">
        <v>43491.0</v>
      </c>
      <c r="EA86" s="277" t="inlineStr">
        <is>
          <t/>
        </is>
      </c>
      <c r="EB86" s="278" t="inlineStr">
        <is>
          <t/>
        </is>
      </c>
      <c r="EC86" s="279" t="inlineStr">
        <is>
          <t/>
        </is>
      </c>
      <c r="ED86" s="548">
        <f>HYPERLINK("https://my.pitchbook.com?c=41224-69", "View company online")</f>
      </c>
    </row>
    <row r="87">
      <c r="A87" s="13" t="inlineStr">
        <is>
          <t>10623-70</t>
        </is>
      </c>
      <c r="B87" s="14" t="inlineStr">
        <is>
          <t>Lululemon Athletica (NAS: LULU)</t>
        </is>
      </c>
      <c r="C87" s="15" t="inlineStr">
        <is>
          <t/>
        </is>
      </c>
      <c r="D87" s="16" t="inlineStr">
        <is>
          <t>Lululemon</t>
        </is>
      </c>
      <c r="E87" s="17" t="inlineStr">
        <is>
          <t>10623-70</t>
        </is>
      </c>
      <c r="F87" s="18" t="inlineStr">
        <is>
          <t>Lululemon is an athleticwear manufacturer and retailer, with virtually all products sold under its namesake brand. Women's apparel makes up most sales, but menswear and accessories are expanding segments. Lululemon operates roughly 400 stores, with more than 300 in North America and the remaining in Australia, East Asia, and the United Kingdom. Company-operated stores and direct-to-consumer digital sales account for more than 90% of revenue; the rest comes through wholesale, outlets, and showrooms.</t>
        </is>
      </c>
      <c r="G87" s="19" t="inlineStr">
        <is>
          <t>Consumer Products and Services (B2C)</t>
        </is>
      </c>
      <c r="H87" s="20" t="inlineStr">
        <is>
          <t>Apparel and Accessories</t>
        </is>
      </c>
      <c r="I87" s="21" t="inlineStr">
        <is>
          <t>Clothing</t>
        </is>
      </c>
      <c r="J87" s="22" t="inlineStr">
        <is>
          <t>Clothing*, Specialty Retail</t>
        </is>
      </c>
      <c r="K87" s="23" t="inlineStr">
        <is>
          <t/>
        </is>
      </c>
      <c r="L87" s="24" t="inlineStr">
        <is>
          <t>athletic apparel, fashion retailer, fitness clothing, yoga apparel</t>
        </is>
      </c>
      <c r="M87" s="25" t="inlineStr">
        <is>
          <t>Corporate Backed or Acquired</t>
        </is>
      </c>
      <c r="N87" s="26" t="n">
        <v>1417.0</v>
      </c>
      <c r="O87" s="27" t="inlineStr">
        <is>
          <t>Profitable</t>
        </is>
      </c>
      <c r="P87" s="28" t="inlineStr">
        <is>
          <t>Publicly Held</t>
        </is>
      </c>
      <c r="Q87" s="29" t="inlineStr">
        <is>
          <t>M&amp;A, Private Equity, Publicly Listed, Venture Capital</t>
        </is>
      </c>
      <c r="R87" s="30" t="inlineStr">
        <is>
          <t>shop.lululemon.com</t>
        </is>
      </c>
      <c r="S87" s="31" t="n">
        <v>13400.0</v>
      </c>
      <c r="T87" s="32" t="inlineStr">
        <is>
          <t>2006: 1679, 2007: 1679, 2008: 2683, 2009: 2861, 2010: 3219, 2011: 4572, 2012: 5807, 2013: 6383, 2014: 7622, 2015: 8628, 2016: 11000, 2017: 12500, 2018: 13400</t>
        </is>
      </c>
      <c r="U87" s="33" t="inlineStr">
        <is>
          <t>NAS</t>
        </is>
      </c>
      <c r="V87" s="34" t="inlineStr">
        <is>
          <t>LULU</t>
        </is>
      </c>
      <c r="W87" s="35" t="n">
        <v>1998.0</v>
      </c>
      <c r="X87" s="36" t="inlineStr">
        <is>
          <t/>
        </is>
      </c>
      <c r="Y87" s="37" t="inlineStr">
        <is>
          <t>News (New) </t>
        </is>
      </c>
      <c r="Z87" s="38" t="inlineStr">
        <is>
          <t>News (New) </t>
        </is>
      </c>
      <c r="AA87" s="39" t="n">
        <v>3049.66</v>
      </c>
      <c r="AB87" s="40" t="n">
        <v>1670.22</v>
      </c>
      <c r="AC87" s="41" t="n">
        <v>385.1</v>
      </c>
      <c r="AD87" s="42" t="n">
        <v>17960.86</v>
      </c>
      <c r="AE87" s="43" t="n">
        <v>753.69</v>
      </c>
      <c r="AF87" s="44" t="inlineStr">
        <is>
          <t>TTM 3Q2019</t>
        </is>
      </c>
      <c r="AG87" s="45" t="n">
        <v>638.47</v>
      </c>
      <c r="AH87" s="46" t="n">
        <v>18961.58</v>
      </c>
      <c r="AI87" s="47" t="n">
        <v>-703.61</v>
      </c>
      <c r="AJ87" s="48" t="inlineStr">
        <is>
          <t>55580-50P</t>
        </is>
      </c>
      <c r="AK87" s="49" t="inlineStr">
        <is>
          <t>Stuart Haselden</t>
        </is>
      </c>
      <c r="AL87" s="50" t="inlineStr">
        <is>
          <t>Chief Operating Officer</t>
        </is>
      </c>
      <c r="AM87" s="51" t="inlineStr">
        <is>
          <t>stuart.haselden@lululemon.com</t>
        </is>
      </c>
      <c r="AN87" s="52" t="inlineStr">
        <is>
          <t>+1 (604) 732-6124</t>
        </is>
      </c>
      <c r="AO87" s="53" t="inlineStr">
        <is>
          <t>Vancouver, Canada</t>
        </is>
      </c>
      <c r="AP87" s="54" t="inlineStr">
        <is>
          <t>1818 Cornwall Avenue</t>
        </is>
      </c>
      <c r="AQ87" s="55" t="inlineStr">
        <is>
          <t/>
        </is>
      </c>
      <c r="AR87" s="56" t="inlineStr">
        <is>
          <t>Vancouver</t>
        </is>
      </c>
      <c r="AS87" s="57" t="inlineStr">
        <is>
          <t>British Columbia</t>
        </is>
      </c>
      <c r="AT87" s="58" t="inlineStr">
        <is>
          <t>V6J 1C7</t>
        </is>
      </c>
      <c r="AU87" s="59" t="inlineStr">
        <is>
          <t>Canada</t>
        </is>
      </c>
      <c r="AV87" s="60" t="inlineStr">
        <is>
          <t>+1 (604) 732-6124</t>
        </is>
      </c>
      <c r="AW87" s="61" t="inlineStr">
        <is>
          <t>+1 (604) 874-6124</t>
        </is>
      </c>
      <c r="AX87" s="62" t="inlineStr">
        <is>
          <t/>
        </is>
      </c>
      <c r="AY87" s="63" t="inlineStr">
        <is>
          <t>Americas</t>
        </is>
      </c>
      <c r="AZ87" s="64" t="inlineStr">
        <is>
          <t>North America</t>
        </is>
      </c>
      <c r="BA87" s="65" t="inlineStr">
        <is>
          <t>The company (NAS: LULU) received an undisclosed amount of development capital from FIS Holdings on April 7, 2017 through a private placement.</t>
        </is>
      </c>
      <c r="BB87" s="66" t="inlineStr">
        <is>
          <t>FIS Holdings</t>
        </is>
      </c>
      <c r="BC87" s="67" t="n">
        <v>1.0</v>
      </c>
      <c r="BD87" s="68" t="inlineStr">
        <is>
          <t/>
        </is>
      </c>
      <c r="BE87" s="69" t="inlineStr">
        <is>
          <t>Advent International, BPEA Private Equity, Five Boys Investments, Highland Capital Partners, LIPO Investments, Thornburg Investment Management</t>
        </is>
      </c>
      <c r="BF87" s="70" t="inlineStr">
        <is>
          <t/>
        </is>
      </c>
      <c r="BG87" s="71" t="inlineStr">
        <is>
          <t>FIS Holdings(www.fis-holdings.com)</t>
        </is>
      </c>
      <c r="BH87" s="72" t="inlineStr">
        <is>
          <t>Advent International(www.adventinternational.com), BPEA Private Equity(www.bpea-pe.com), Highland Capital Partners(www.hcp.com), Thornburg Investment Management(www.thornburg.com)</t>
        </is>
      </c>
      <c r="BI87" s="73" t="inlineStr">
        <is>
          <t/>
        </is>
      </c>
      <c r="BJ87" s="74" t="inlineStr">
        <is>
          <t>Appraisal Economics(Advisor: General), Credit Suisse(Underwriter), Insight Sourcing Group(Advisor: General), Lowe Graham Jones(Legal Advisor), Robert K. Futterman &amp; Associates(Consulting), Telsey Advisory Group(Advisor: General), UBS(Underwriter)</t>
        </is>
      </c>
      <c r="BK87" s="75" t="inlineStr">
        <is>
          <t>Bank of America Merrill Lynch(Advisor: General), Capital West Partners(Advisor: General), CIBC Capital Markets(Underwriter), Credit Suisse Securities (USA)(Underwriter), DLA Piper(Legal Advisor), Goodmans(Legal Advisor), McCarthy Tétrault(Legal Advisor), McCullough O'Connor Irwin(Legal Advisor), Oppenheimer &amp; Company(Advisor: General), Pepper Hamilton(Legal Advisor), PwC(Accounting), The Goldman Sachs Group(Lead Manager or Arranger), Thomas Weisel Partners Group(Underwriter), UBS Securities (China)(Underwriter), Wachovia Bank(Underwriter), Wells Fargo Advisors(Underwriter), William Blair &amp; Company(Underwriter)</t>
        </is>
      </c>
      <c r="BL87" s="76" t="n">
        <v>38576.0</v>
      </c>
      <c r="BM87" s="77" t="n">
        <v>195.0</v>
      </c>
      <c r="BN87" s="78" t="inlineStr">
        <is>
          <t>Actual</t>
        </is>
      </c>
      <c r="BO87" s="79" t="n">
        <v>406.25</v>
      </c>
      <c r="BP87" s="80" t="inlineStr">
        <is>
          <t>Estimated</t>
        </is>
      </c>
      <c r="BQ87" s="81" t="inlineStr">
        <is>
          <t>PE Growth/Expansion</t>
        </is>
      </c>
      <c r="BR87" s="82" t="inlineStr">
        <is>
          <t/>
        </is>
      </c>
      <c r="BS87" s="83" t="inlineStr">
        <is>
          <t/>
        </is>
      </c>
      <c r="BT87" s="84" t="inlineStr">
        <is>
          <t>Private Equity</t>
        </is>
      </c>
      <c r="BU87" s="85" t="inlineStr">
        <is>
          <t/>
        </is>
      </c>
      <c r="BV87" s="86" t="inlineStr">
        <is>
          <t/>
        </is>
      </c>
      <c r="BW87" s="87" t="inlineStr">
        <is>
          <t/>
        </is>
      </c>
      <c r="BX87" s="88" t="inlineStr">
        <is>
          <t>Completed</t>
        </is>
      </c>
      <c r="BY87" s="89" t="n">
        <v>42832.0</v>
      </c>
      <c r="BZ87" s="90" t="inlineStr">
        <is>
          <t/>
        </is>
      </c>
      <c r="CA87" s="91" t="inlineStr">
        <is>
          <t/>
        </is>
      </c>
      <c r="CB87" s="92" t="inlineStr">
        <is>
          <t/>
        </is>
      </c>
      <c r="CC87" s="93" t="inlineStr">
        <is>
          <t/>
        </is>
      </c>
      <c r="CD87" s="94" t="inlineStr">
        <is>
          <t>PIPE</t>
        </is>
      </c>
      <c r="CE87" s="95" t="inlineStr">
        <is>
          <t/>
        </is>
      </c>
      <c r="CF87" s="96" t="inlineStr">
        <is>
          <t/>
        </is>
      </c>
      <c r="CG87" s="97" t="inlineStr">
        <is>
          <t>Private Equity</t>
        </is>
      </c>
      <c r="CH87" s="98" t="inlineStr">
        <is>
          <t/>
        </is>
      </c>
      <c r="CI87" s="99" t="inlineStr">
        <is>
          <t/>
        </is>
      </c>
      <c r="CJ87" s="100" t="inlineStr">
        <is>
          <t/>
        </is>
      </c>
      <c r="CK87" s="101" t="inlineStr">
        <is>
          <t>Completed</t>
        </is>
      </c>
      <c r="CL87" s="102" t="inlineStr">
        <is>
          <t/>
        </is>
      </c>
      <c r="CM87" s="103" t="inlineStr">
        <is>
          <t/>
        </is>
      </c>
      <c r="CN87" s="104" t="n">
        <v>0.91</v>
      </c>
      <c r="CO87" s="105" t="n">
        <v>97.0</v>
      </c>
      <c r="CP87" s="106" t="n">
        <v>0.0</v>
      </c>
      <c r="CQ87" s="107" t="n">
        <v>-0.39</v>
      </c>
      <c r="CR87" s="108" t="n">
        <v>1.81</v>
      </c>
      <c r="CS87" s="109" t="n">
        <v>99.0</v>
      </c>
      <c r="CT87" s="110" t="n">
        <v>0.01</v>
      </c>
      <c r="CU87" s="111" t="n">
        <v>56.0</v>
      </c>
      <c r="CV87" s="112" t="n">
        <v>3.62</v>
      </c>
      <c r="CW87" s="113" t="n">
        <v>95.0</v>
      </c>
      <c r="CX87" s="114" t="n">
        <v>0.0</v>
      </c>
      <c r="CY87" s="115" t="n">
        <v>11.0</v>
      </c>
      <c r="CZ87" s="116" t="n">
        <v>-0.06</v>
      </c>
      <c r="DA87" s="117" t="n">
        <v>16.0</v>
      </c>
      <c r="DB87" s="118" t="n">
        <v>1821.06</v>
      </c>
      <c r="DC87" s="119" t="n">
        <v>100.0</v>
      </c>
      <c r="DD87" s="120" t="n">
        <v>4.51</v>
      </c>
      <c r="DE87" s="121" t="n">
        <v>0.25</v>
      </c>
      <c r="DF87" s="122" t="n">
        <v>993.98</v>
      </c>
      <c r="DG87" s="123" t="n">
        <v>100.0</v>
      </c>
      <c r="DH87" s="124" t="n">
        <v>2648.13</v>
      </c>
      <c r="DI87" s="125" t="n">
        <v>100.0</v>
      </c>
      <c r="DJ87" s="126" t="n">
        <v>1985.64</v>
      </c>
      <c r="DK87" s="127" t="n">
        <v>100.0</v>
      </c>
      <c r="DL87" s="128" t="n">
        <v>2.32</v>
      </c>
      <c r="DM87" s="129" t="n">
        <v>69.0</v>
      </c>
      <c r="DN87" s="130" t="n">
        <v>2934.6</v>
      </c>
      <c r="DO87" s="131" t="n">
        <v>100.0</v>
      </c>
      <c r="DP87" s="132" t="n">
        <v>1418031.0</v>
      </c>
      <c r="DQ87" s="133" t="n">
        <v>-20431.0</v>
      </c>
      <c r="DR87" s="134" t="n">
        <v>-1.42</v>
      </c>
      <c r="DS87" s="135" t="n">
        <v>78.0</v>
      </c>
      <c r="DT87" s="136" t="n">
        <v>0.0</v>
      </c>
      <c r="DU87" s="137" t="n">
        <v>0.0</v>
      </c>
      <c r="DV87" s="138" t="n">
        <v>1054216.0</v>
      </c>
      <c r="DW87" s="139" t="n">
        <v>-1556.0</v>
      </c>
      <c r="DX87" s="140" t="n">
        <v>-0.15</v>
      </c>
      <c r="DY87" s="141" t="inlineStr">
        <is>
          <t>PitchBook Research</t>
        </is>
      </c>
      <c r="DZ87" s="142" t="n">
        <v>43523.0</v>
      </c>
      <c r="EA87" s="143" t="n">
        <v>8621.06</v>
      </c>
      <c r="EB87" s="144" t="n">
        <v>42165.0</v>
      </c>
      <c r="EC87" s="145" t="inlineStr">
        <is>
          <t>Secondary Transaction - Open Market</t>
        </is>
      </c>
      <c r="ED87" s="547">
        <f>HYPERLINK("https://my.pitchbook.com?c=10623-70", "View company online")</f>
      </c>
    </row>
    <row r="88">
      <c r="A88" s="147" t="inlineStr">
        <is>
          <t>54772-66</t>
        </is>
      </c>
      <c r="B88" s="148" t="inlineStr">
        <is>
          <t>Swarovski Crystal</t>
        </is>
      </c>
      <c r="C88" s="149" t="inlineStr">
        <is>
          <t/>
        </is>
      </c>
      <c r="D88" s="150" t="inlineStr">
        <is>
          <t/>
        </is>
      </c>
      <c r="E88" s="151" t="inlineStr">
        <is>
          <t>54772-66</t>
        </is>
      </c>
      <c r="F88" s="152" t="inlineStr">
        <is>
          <t>Designer and seller of quality crystal products created to showcase sparkling crystal products via a network of boutiques and retail partners. The company's crystal products include jewelry, accessories, decorative items for the home, ornaments and figurines, enabling customers to buy premium crystal accessories online.</t>
        </is>
      </c>
      <c r="G88" s="153" t="inlineStr">
        <is>
          <t>Consumer Products and Services (B2C)</t>
        </is>
      </c>
      <c r="H88" s="154" t="inlineStr">
        <is>
          <t>Apparel and Accessories</t>
        </is>
      </c>
      <c r="I88" s="155" t="inlineStr">
        <is>
          <t>Accessories</t>
        </is>
      </c>
      <c r="J88" s="156" t="inlineStr">
        <is>
          <t>Accessories*, Internet Retail, Specialty Retail</t>
        </is>
      </c>
      <c r="K88" s="157" t="inlineStr">
        <is>
          <t>E-Commerce, TMT</t>
        </is>
      </c>
      <c r="L88" s="158" t="inlineStr">
        <is>
          <t>crystal accessories, crystal jewelry, crystal product</t>
        </is>
      </c>
      <c r="M88" s="159" t="inlineStr">
        <is>
          <t>Corporation</t>
        </is>
      </c>
      <c r="N88" s="160" t="inlineStr">
        <is>
          <t/>
        </is>
      </c>
      <c r="O88" s="161" t="inlineStr">
        <is>
          <t>Generating Revenue</t>
        </is>
      </c>
      <c r="P88" s="162" t="inlineStr">
        <is>
          <t>Privately Held (no backing)</t>
        </is>
      </c>
      <c r="Q88" s="163" t="inlineStr">
        <is>
          <t>Other Private Companies</t>
        </is>
      </c>
      <c r="R88" s="164" t="inlineStr">
        <is>
          <t>www.swarovski.com</t>
        </is>
      </c>
      <c r="S88" s="165" t="n">
        <v>27000.0</v>
      </c>
      <c r="T88" s="166" t="inlineStr">
        <is>
          <t>2011: 31000, 2015: 26000, 2017: 32000, 2018: 27000</t>
        </is>
      </c>
      <c r="U88" s="167" t="inlineStr">
        <is>
          <t/>
        </is>
      </c>
      <c r="V88" s="168" t="inlineStr">
        <is>
          <t/>
        </is>
      </c>
      <c r="W88" s="169" t="n">
        <v>1895.0</v>
      </c>
      <c r="X88" s="170" t="inlineStr">
        <is>
          <t/>
        </is>
      </c>
      <c r="Y88" s="171" t="inlineStr">
        <is>
          <t/>
        </is>
      </c>
      <c r="Z88" s="172" t="inlineStr">
        <is>
          <t/>
        </is>
      </c>
      <c r="AA88" s="173" t="n">
        <v>3044.96</v>
      </c>
      <c r="AB88" s="174" t="inlineStr">
        <is>
          <t/>
        </is>
      </c>
      <c r="AC88" s="175" t="inlineStr">
        <is>
          <t/>
        </is>
      </c>
      <c r="AD88" s="176" t="inlineStr">
        <is>
          <t/>
        </is>
      </c>
      <c r="AE88" s="177" t="inlineStr">
        <is>
          <t/>
        </is>
      </c>
      <c r="AF88" s="178" t="inlineStr">
        <is>
          <t>FY 2017</t>
        </is>
      </c>
      <c r="AG88" s="179" t="inlineStr">
        <is>
          <t/>
        </is>
      </c>
      <c r="AH88" s="180" t="inlineStr">
        <is>
          <t/>
        </is>
      </c>
      <c r="AI88" s="181" t="inlineStr">
        <is>
          <t/>
        </is>
      </c>
      <c r="AJ88" s="182" t="inlineStr">
        <is>
          <t>171064-00P</t>
        </is>
      </c>
      <c r="AK88" s="183" t="inlineStr">
        <is>
          <t>Robert Buchbauer</t>
        </is>
      </c>
      <c r="AL88" s="184" t="inlineStr">
        <is>
          <t>Chief Executive Officer &amp; Chairman</t>
        </is>
      </c>
      <c r="AM88" s="185" t="inlineStr">
        <is>
          <t>robert.buchbauer@swarovski.com</t>
        </is>
      </c>
      <c r="AN88" s="186" t="inlineStr">
        <is>
          <t/>
        </is>
      </c>
      <c r="AO88" s="187" t="inlineStr">
        <is>
          <t>Mannedorf, Switzerland</t>
        </is>
      </c>
      <c r="AP88" s="188" t="inlineStr">
        <is>
          <t>Alte Landstrasse 411</t>
        </is>
      </c>
      <c r="AQ88" s="189" t="inlineStr">
        <is>
          <t/>
        </is>
      </c>
      <c r="AR88" s="190" t="inlineStr">
        <is>
          <t>Mannedorf</t>
        </is>
      </c>
      <c r="AS88" s="191" t="inlineStr">
        <is>
          <t/>
        </is>
      </c>
      <c r="AT88" s="192" t="inlineStr">
        <is>
          <t>8708</t>
        </is>
      </c>
      <c r="AU88" s="193" t="inlineStr">
        <is>
          <t>Switzerland</t>
        </is>
      </c>
      <c r="AV88" s="194" t="inlineStr">
        <is>
          <t/>
        </is>
      </c>
      <c r="AW88" s="195" t="inlineStr">
        <is>
          <t/>
        </is>
      </c>
      <c r="AX88" s="196" t="inlineStr">
        <is>
          <t/>
        </is>
      </c>
      <c r="AY88" s="197" t="inlineStr">
        <is>
          <t>Europe</t>
        </is>
      </c>
      <c r="AZ88" s="198" t="inlineStr">
        <is>
          <t>Western Europe</t>
        </is>
      </c>
      <c r="BA88" s="199" t="inlineStr">
        <is>
          <t>The company raised $44,830 of product crowdfunding via Indiegogo on an undisclosed date.</t>
        </is>
      </c>
      <c r="BB88" s="200" t="inlineStr">
        <is>
          <t/>
        </is>
      </c>
      <c r="BC88" s="201" t="inlineStr">
        <is>
          <t/>
        </is>
      </c>
      <c r="BD88" s="202" t="inlineStr">
        <is>
          <t/>
        </is>
      </c>
      <c r="BE88" s="203" t="inlineStr">
        <is>
          <t/>
        </is>
      </c>
      <c r="BF88" s="204" t="inlineStr">
        <is>
          <t/>
        </is>
      </c>
      <c r="BG88" s="205" t="inlineStr">
        <is>
          <t/>
        </is>
      </c>
      <c r="BH88" s="206" t="inlineStr">
        <is>
          <t/>
        </is>
      </c>
      <c r="BI88" s="207" t="inlineStr">
        <is>
          <t/>
        </is>
      </c>
      <c r="BJ88" s="208" t="inlineStr">
        <is>
          <t>Engage Innovate(Consulting), Integration Consulting(Consulting), Simon-Kucher &amp; Partners(Consulting), Winthrop Group(Consulting)</t>
        </is>
      </c>
      <c r="BK88" s="209" t="inlineStr">
        <is>
          <t>Indiegogo(Lead Manager or Arranger)</t>
        </is>
      </c>
      <c r="BL88" s="210" t="inlineStr">
        <is>
          <t/>
        </is>
      </c>
      <c r="BM88" s="211" t="n">
        <v>0.04</v>
      </c>
      <c r="BN88" s="212" t="inlineStr">
        <is>
          <t>Actual</t>
        </is>
      </c>
      <c r="BO88" s="213" t="inlineStr">
        <is>
          <t/>
        </is>
      </c>
      <c r="BP88" s="214" t="inlineStr">
        <is>
          <t/>
        </is>
      </c>
      <c r="BQ88" s="215" t="inlineStr">
        <is>
          <t>Product Crowdfunding</t>
        </is>
      </c>
      <c r="BR88" s="216" t="inlineStr">
        <is>
          <t/>
        </is>
      </c>
      <c r="BS88" s="217" t="inlineStr">
        <is>
          <t/>
        </is>
      </c>
      <c r="BT88" s="218" t="inlineStr">
        <is>
          <t>Individual</t>
        </is>
      </c>
      <c r="BU88" s="219" t="inlineStr">
        <is>
          <t/>
        </is>
      </c>
      <c r="BV88" s="220" t="inlineStr">
        <is>
          <t/>
        </is>
      </c>
      <c r="BW88" s="221" t="inlineStr">
        <is>
          <t/>
        </is>
      </c>
      <c r="BX88" s="222" t="inlineStr">
        <is>
          <t>Completed</t>
        </is>
      </c>
      <c r="BY88" s="223" t="inlineStr">
        <is>
          <t/>
        </is>
      </c>
      <c r="BZ88" s="224" t="n">
        <v>0.04</v>
      </c>
      <c r="CA88" s="225" t="inlineStr">
        <is>
          <t>Actual</t>
        </is>
      </c>
      <c r="CB88" s="226" t="inlineStr">
        <is>
          <t/>
        </is>
      </c>
      <c r="CC88" s="227" t="inlineStr">
        <is>
          <t/>
        </is>
      </c>
      <c r="CD88" s="228" t="inlineStr">
        <is>
          <t>Product Crowdfunding</t>
        </is>
      </c>
      <c r="CE88" s="229" t="inlineStr">
        <is>
          <t/>
        </is>
      </c>
      <c r="CF88" s="230" t="inlineStr">
        <is>
          <t/>
        </is>
      </c>
      <c r="CG88" s="231" t="inlineStr">
        <is>
          <t>Individual</t>
        </is>
      </c>
      <c r="CH88" s="232" t="inlineStr">
        <is>
          <t/>
        </is>
      </c>
      <c r="CI88" s="233" t="inlineStr">
        <is>
          <t/>
        </is>
      </c>
      <c r="CJ88" s="234" t="inlineStr">
        <is>
          <t/>
        </is>
      </c>
      <c r="CK88" s="235" t="inlineStr">
        <is>
          <t>Completed</t>
        </is>
      </c>
      <c r="CL88" s="236" t="inlineStr">
        <is>
          <t/>
        </is>
      </c>
      <c r="CM88" s="237" t="inlineStr">
        <is>
          <t/>
        </is>
      </c>
      <c r="CN88" s="238" t="n">
        <v>2.04</v>
      </c>
      <c r="CO88" s="239" t="n">
        <v>99.0</v>
      </c>
      <c r="CP88" s="240" t="n">
        <v>0.0</v>
      </c>
      <c r="CQ88" s="241" t="n">
        <v>0.04</v>
      </c>
      <c r="CR88" s="242" t="n">
        <v>4.11</v>
      </c>
      <c r="CS88" s="243" t="n">
        <v>100.0</v>
      </c>
      <c r="CT88" s="244" t="n">
        <v>-0.02</v>
      </c>
      <c r="CU88" s="245" t="n">
        <v>22.0</v>
      </c>
      <c r="CV88" s="246" t="n">
        <v>7.88</v>
      </c>
      <c r="CW88" s="247" t="n">
        <v>99.0</v>
      </c>
      <c r="CX88" s="248" t="n">
        <v>0.34</v>
      </c>
      <c r="CY88" s="249" t="n">
        <v>92.0</v>
      </c>
      <c r="CZ88" s="250" t="n">
        <v>-0.02</v>
      </c>
      <c r="DA88" s="251" t="n">
        <v>25.0</v>
      </c>
      <c r="DB88" s="252" t="n">
        <v>568.73</v>
      </c>
      <c r="DC88" s="253" t="n">
        <v>100.0</v>
      </c>
      <c r="DD88" s="254" t="n">
        <v>42.03</v>
      </c>
      <c r="DE88" s="255" t="n">
        <v>7.98</v>
      </c>
      <c r="DF88" s="256" t="n">
        <v>528.12</v>
      </c>
      <c r="DG88" s="257" t="n">
        <v>100.0</v>
      </c>
      <c r="DH88" s="258" t="n">
        <v>609.33</v>
      </c>
      <c r="DI88" s="259" t="n">
        <v>100.0</v>
      </c>
      <c r="DJ88" s="260" t="n">
        <v>403.91</v>
      </c>
      <c r="DK88" s="261" t="n">
        <v>99.0</v>
      </c>
      <c r="DL88" s="262" t="n">
        <v>652.32</v>
      </c>
      <c r="DM88" s="263" t="n">
        <v>100.0</v>
      </c>
      <c r="DN88" s="264" t="n">
        <v>609.33</v>
      </c>
      <c r="DO88" s="265" t="n">
        <v>100.0</v>
      </c>
      <c r="DP88" s="266" t="n">
        <v>287372.0</v>
      </c>
      <c r="DQ88" s="267" t="n">
        <v>5547.0</v>
      </c>
      <c r="DR88" s="268" t="n">
        <v>1.97</v>
      </c>
      <c r="DS88" s="269" t="n">
        <v>22132.0</v>
      </c>
      <c r="DT88" s="270" t="n">
        <v>99.0</v>
      </c>
      <c r="DU88" s="271" t="n">
        <v>0.45</v>
      </c>
      <c r="DV88" s="272" t="n">
        <v>218788.0</v>
      </c>
      <c r="DW88" s="273" t="n">
        <v>-154.0</v>
      </c>
      <c r="DX88" s="274" t="n">
        <v>-0.07</v>
      </c>
      <c r="DY88" s="275" t="inlineStr">
        <is>
          <t>PitchBook Research</t>
        </is>
      </c>
      <c r="DZ88" s="276" t="n">
        <v>43531.0</v>
      </c>
      <c r="EA88" s="277" t="inlineStr">
        <is>
          <t/>
        </is>
      </c>
      <c r="EB88" s="278" t="inlineStr">
        <is>
          <t/>
        </is>
      </c>
      <c r="EC88" s="279" t="inlineStr">
        <is>
          <t/>
        </is>
      </c>
      <c r="ED88" s="548">
        <f>HYPERLINK("https://my.pitchbook.com?c=54772-66", "View company online")</f>
      </c>
    </row>
    <row r="89">
      <c r="A89" s="13" t="inlineStr">
        <is>
          <t>55999-00</t>
        </is>
      </c>
      <c r="B89" s="14" t="inlineStr">
        <is>
          <t>Vans</t>
        </is>
      </c>
      <c r="C89" s="15" t="inlineStr">
        <is>
          <t>Van Doren Rubber Co.</t>
        </is>
      </c>
      <c r="D89" s="16" t="inlineStr">
        <is>
          <t/>
        </is>
      </c>
      <c r="E89" s="17" t="inlineStr">
        <is>
          <t>55999-00</t>
        </is>
      </c>
      <c r="F89" s="18" t="inlineStr">
        <is>
          <t>Manufacturer and seller of sports shoes designed to offer branded lifestyle products. The company's sports shoes include action sports snowboard boots, strap snowboard boot bindings and are used for action sports such as skateboarding, snowboarding, surfing and wakeboarding, enabling skateboarding and snowboarding competitors of youths ranging from 10 to 24 years of age avail a wide range of active shoes.</t>
        </is>
      </c>
      <c r="G89" s="19" t="inlineStr">
        <is>
          <t>Consumer Products and Services (B2C)</t>
        </is>
      </c>
      <c r="H89" s="20" t="inlineStr">
        <is>
          <t>Apparel and Accessories</t>
        </is>
      </c>
      <c r="I89" s="21" t="inlineStr">
        <is>
          <t>Footwear</t>
        </is>
      </c>
      <c r="J89" s="22" t="inlineStr">
        <is>
          <t>Accessories, Footwear*, Specialty Retail</t>
        </is>
      </c>
      <c r="K89" s="23" t="inlineStr">
        <is>
          <t>Manufacturing</t>
        </is>
      </c>
      <c r="L89" s="24" t="inlineStr">
        <is>
          <t>action sports snowboarding boots, apparel manufacturing, casual footwear, casual wear, snowboarding boots, surfing apparel</t>
        </is>
      </c>
      <c r="M89" s="25" t="inlineStr">
        <is>
          <t>Corporate Backed or Acquired</t>
        </is>
      </c>
      <c r="N89" s="26" t="inlineStr">
        <is>
          <t/>
        </is>
      </c>
      <c r="O89" s="27" t="inlineStr">
        <is>
          <t>Generating Revenue</t>
        </is>
      </c>
      <c r="P89" s="28" t="inlineStr">
        <is>
          <t>Acquired/Merged (Operating Subsidiary)</t>
        </is>
      </c>
      <c r="Q89" s="29" t="inlineStr">
        <is>
          <t>M&amp;A, Publicly Listed</t>
        </is>
      </c>
      <c r="R89" s="30" t="inlineStr">
        <is>
          <t>www.vans.com</t>
        </is>
      </c>
      <c r="S89" s="31" t="n">
        <v>1885.0</v>
      </c>
      <c r="T89" s="32" t="inlineStr">
        <is>
          <t>1991: 1874, 1992: 2300, 1993: 2344, 1994: 2621, 1995: 2621, 1996: 1092, 1997: 999, 1998: 929, 1999: 1040, 2000: 1315, 2001: 1688, 2002: 1858, 2003: 1885</t>
        </is>
      </c>
      <c r="U89" s="33" t="inlineStr">
        <is>
          <t/>
        </is>
      </c>
      <c r="V89" s="34" t="inlineStr">
        <is>
          <t/>
        </is>
      </c>
      <c r="W89" s="35" t="n">
        <v>1966.0</v>
      </c>
      <c r="X89" s="36" t="inlineStr">
        <is>
          <t>VF Corporation</t>
        </is>
      </c>
      <c r="Y89" s="37" t="inlineStr">
        <is>
          <t/>
        </is>
      </c>
      <c r="Z89" s="38" t="inlineStr">
        <is>
          <t>Competitor (New) Salomon</t>
        </is>
      </c>
      <c r="AA89" s="39" t="n">
        <v>3000.0</v>
      </c>
      <c r="AB89" s="40" t="inlineStr">
        <is>
          <t/>
        </is>
      </c>
      <c r="AC89" s="41" t="inlineStr">
        <is>
          <t/>
        </is>
      </c>
      <c r="AD89" s="42" t="inlineStr">
        <is>
          <t/>
        </is>
      </c>
      <c r="AE89" s="43" t="inlineStr">
        <is>
          <t/>
        </is>
      </c>
      <c r="AF89" s="44" t="inlineStr">
        <is>
          <t>FY 2018</t>
        </is>
      </c>
      <c r="AG89" s="45" t="inlineStr">
        <is>
          <t/>
        </is>
      </c>
      <c r="AH89" s="46" t="inlineStr">
        <is>
          <t/>
        </is>
      </c>
      <c r="AI89" s="47" t="inlineStr">
        <is>
          <t/>
        </is>
      </c>
      <c r="AJ89" s="48" t="inlineStr">
        <is>
          <t>169080-49P</t>
        </is>
      </c>
      <c r="AK89" s="49" t="inlineStr">
        <is>
          <t>Paul Van Doren</t>
        </is>
      </c>
      <c r="AL89" s="50" t="inlineStr">
        <is>
          <t>Co-Founder</t>
        </is>
      </c>
      <c r="AM89" s="51" t="inlineStr">
        <is>
          <t>paulvandoren@vans.com</t>
        </is>
      </c>
      <c r="AN89" s="52" t="inlineStr">
        <is>
          <t>+1 (855) 909-8267</t>
        </is>
      </c>
      <c r="AO89" s="53" t="inlineStr">
        <is>
          <t>Costa Mesa, CA</t>
        </is>
      </c>
      <c r="AP89" s="54" t="inlineStr">
        <is>
          <t>1588 South Coast Drive</t>
        </is>
      </c>
      <c r="AQ89" s="55" t="inlineStr">
        <is>
          <t/>
        </is>
      </c>
      <c r="AR89" s="56" t="inlineStr">
        <is>
          <t>Costa Mesa</t>
        </is>
      </c>
      <c r="AS89" s="57" t="inlineStr">
        <is>
          <t>California</t>
        </is>
      </c>
      <c r="AT89" s="58" t="inlineStr">
        <is>
          <t>92626</t>
        </is>
      </c>
      <c r="AU89" s="59" t="inlineStr">
        <is>
          <t>United States</t>
        </is>
      </c>
      <c r="AV89" s="60" t="inlineStr">
        <is>
          <t>+1 (855) 909-8267</t>
        </is>
      </c>
      <c r="AW89" s="61" t="inlineStr">
        <is>
          <t>+1 (714) 889-4747</t>
        </is>
      </c>
      <c r="AX89" s="62" t="inlineStr">
        <is>
          <t>info@vans.com</t>
        </is>
      </c>
      <c r="AY89" s="63" t="inlineStr">
        <is>
          <t>Americas</t>
        </is>
      </c>
      <c r="AZ89" s="64" t="inlineStr">
        <is>
          <t>North America</t>
        </is>
      </c>
      <c r="BA89" s="65" t="inlineStr">
        <is>
          <t>The company was acquired by VF Corporation (NYSE: VFC) for $396 million on July 1, 2004. The acquisition will enhance the product offering of VF.</t>
        </is>
      </c>
      <c r="BB89" s="66" t="inlineStr">
        <is>
          <t/>
        </is>
      </c>
      <c r="BC89" s="67" t="inlineStr">
        <is>
          <t/>
        </is>
      </c>
      <c r="BD89" s="68" t="inlineStr">
        <is>
          <t>VF Corporation</t>
        </is>
      </c>
      <c r="BE89" s="69" t="inlineStr">
        <is>
          <t/>
        </is>
      </c>
      <c r="BF89" s="70" t="inlineStr">
        <is>
          <t/>
        </is>
      </c>
      <c r="BG89" s="71" t="inlineStr">
        <is>
          <t/>
        </is>
      </c>
      <c r="BH89" s="72" t="inlineStr">
        <is>
          <t/>
        </is>
      </c>
      <c r="BI89" s="73" t="inlineStr">
        <is>
          <t/>
        </is>
      </c>
      <c r="BJ89" s="74" t="inlineStr">
        <is>
          <t>Bukhash Brothers(Consulting)</t>
        </is>
      </c>
      <c r="BK89" s="75" t="inlineStr">
        <is>
          <t>Montgomery Securities(Underwriter), Salomon Brothers(Underwriter), The Goldman Sachs Group(Advisor: General)</t>
        </is>
      </c>
      <c r="BL89" s="76" t="n">
        <v>31413.0</v>
      </c>
      <c r="BM89" s="77" t="inlineStr">
        <is>
          <t/>
        </is>
      </c>
      <c r="BN89" s="78" t="inlineStr">
        <is>
          <t/>
        </is>
      </c>
      <c r="BO89" s="79" t="inlineStr">
        <is>
          <t/>
        </is>
      </c>
      <c r="BP89" s="80" t="inlineStr">
        <is>
          <t/>
        </is>
      </c>
      <c r="BQ89" s="81" t="inlineStr">
        <is>
          <t>Bankruptcy: Admin/Reorg</t>
        </is>
      </c>
      <c r="BR89" s="82" t="inlineStr">
        <is>
          <t/>
        </is>
      </c>
      <c r="BS89" s="83" t="inlineStr">
        <is>
          <t/>
        </is>
      </c>
      <c r="BT89" s="84" t="inlineStr">
        <is>
          <t>Bankruptcy</t>
        </is>
      </c>
      <c r="BU89" s="85" t="inlineStr">
        <is>
          <t/>
        </is>
      </c>
      <c r="BV89" s="86" t="inlineStr">
        <is>
          <t/>
        </is>
      </c>
      <c r="BW89" s="87" t="inlineStr">
        <is>
          <t/>
        </is>
      </c>
      <c r="BX89" s="88" t="inlineStr">
        <is>
          <t>Completed</t>
        </is>
      </c>
      <c r="BY89" s="89" t="n">
        <v>38169.0</v>
      </c>
      <c r="BZ89" s="90" t="n">
        <v>396.0</v>
      </c>
      <c r="CA89" s="91" t="inlineStr">
        <is>
          <t>Estimated</t>
        </is>
      </c>
      <c r="CB89" s="92" t="n">
        <v>396.0</v>
      </c>
      <c r="CC89" s="93" t="inlineStr">
        <is>
          <t>Estimated</t>
        </is>
      </c>
      <c r="CD89" s="94" t="inlineStr">
        <is>
          <t>Merger/Acquisition</t>
        </is>
      </c>
      <c r="CE89" s="95" t="inlineStr">
        <is>
          <t/>
        </is>
      </c>
      <c r="CF89" s="96" t="inlineStr">
        <is>
          <t/>
        </is>
      </c>
      <c r="CG89" s="97" t="inlineStr">
        <is>
          <t>Corporate</t>
        </is>
      </c>
      <c r="CH89" s="98" t="inlineStr">
        <is>
          <t/>
        </is>
      </c>
      <c r="CI89" s="99" t="inlineStr">
        <is>
          <t/>
        </is>
      </c>
      <c r="CJ89" s="100" t="inlineStr">
        <is>
          <t/>
        </is>
      </c>
      <c r="CK89" s="101" t="inlineStr">
        <is>
          <t>Completed</t>
        </is>
      </c>
      <c r="CL89" s="102" t="inlineStr">
        <is>
          <t/>
        </is>
      </c>
      <c r="CM89" s="103" t="inlineStr">
        <is>
          <t/>
        </is>
      </c>
      <c r="CN89" s="104" t="n">
        <v>1.08</v>
      </c>
      <c r="CO89" s="105" t="n">
        <v>98.0</v>
      </c>
      <c r="CP89" s="106" t="n">
        <v>0.08</v>
      </c>
      <c r="CQ89" s="107" t="n">
        <v>7.73</v>
      </c>
      <c r="CR89" s="108" t="n">
        <v>1.54</v>
      </c>
      <c r="CS89" s="109" t="n">
        <v>98.0</v>
      </c>
      <c r="CT89" s="110" t="n">
        <v>0.02</v>
      </c>
      <c r="CU89" s="111" t="n">
        <v>58.0</v>
      </c>
      <c r="CV89" s="112" t="n">
        <v>2.92</v>
      </c>
      <c r="CW89" s="113" t="n">
        <v>93.0</v>
      </c>
      <c r="CX89" s="114" t="n">
        <v>0.16</v>
      </c>
      <c r="CY89" s="115" t="n">
        <v>88.0</v>
      </c>
      <c r="CZ89" s="116" t="n">
        <v>0.01</v>
      </c>
      <c r="DA89" s="117" t="n">
        <v>63.0</v>
      </c>
      <c r="DB89" s="118" t="n">
        <v>4352.75</v>
      </c>
      <c r="DC89" s="119" t="n">
        <v>100.0</v>
      </c>
      <c r="DD89" s="120" t="n">
        <v>28.04</v>
      </c>
      <c r="DE89" s="121" t="n">
        <v>0.65</v>
      </c>
      <c r="DF89" s="122" t="n">
        <v>1005.32</v>
      </c>
      <c r="DG89" s="123" t="n">
        <v>100.0</v>
      </c>
      <c r="DH89" s="124" t="n">
        <v>12047.5</v>
      </c>
      <c r="DI89" s="125" t="n">
        <v>100.0</v>
      </c>
      <c r="DJ89" s="126" t="n">
        <v>1595.93</v>
      </c>
      <c r="DK89" s="127" t="n">
        <v>100.0</v>
      </c>
      <c r="DL89" s="128" t="n">
        <v>414.71</v>
      </c>
      <c r="DM89" s="129" t="n">
        <v>100.0</v>
      </c>
      <c r="DN89" s="130" t="n">
        <v>3516.34</v>
      </c>
      <c r="DO89" s="131" t="n">
        <v>100.0</v>
      </c>
      <c r="DP89" s="132" t="n">
        <v>1140653.0</v>
      </c>
      <c r="DQ89" s="133" t="n">
        <v>-24823.0</v>
      </c>
      <c r="DR89" s="134" t="n">
        <v>-2.13</v>
      </c>
      <c r="DS89" s="135" t="n">
        <v>14074.0</v>
      </c>
      <c r="DT89" s="136" t="n">
        <v>59.0</v>
      </c>
      <c r="DU89" s="137" t="n">
        <v>0.42</v>
      </c>
      <c r="DV89" s="138" t="n">
        <v>1262500.0</v>
      </c>
      <c r="DW89" s="139" t="n">
        <v>-320.0</v>
      </c>
      <c r="DX89" s="140" t="n">
        <v>-0.03</v>
      </c>
      <c r="DY89" s="141" t="inlineStr">
        <is>
          <t>PitchBook Research</t>
        </is>
      </c>
      <c r="DZ89" s="142" t="n">
        <v>43480.0</v>
      </c>
      <c r="EA89" s="143" t="n">
        <v>396.0</v>
      </c>
      <c r="EB89" s="144" t="n">
        <v>38169.0</v>
      </c>
      <c r="EC89" s="145" t="inlineStr">
        <is>
          <t>Merger/Acquisition</t>
        </is>
      </c>
      <c r="ED89" s="547">
        <f>HYPERLINK("https://my.pitchbook.com?c=55999-00", "View company online")</f>
      </c>
    </row>
    <row r="90">
      <c r="A90" s="147" t="inlineStr">
        <is>
          <t>111436-30</t>
        </is>
      </c>
      <c r="B90" s="148" t="inlineStr">
        <is>
          <t>Miss Sixty</t>
        </is>
      </c>
      <c r="C90" s="149" t="inlineStr">
        <is>
          <t/>
        </is>
      </c>
      <c r="D90" s="150" t="inlineStr">
        <is>
          <t/>
        </is>
      </c>
      <c r="E90" s="151" t="inlineStr">
        <is>
          <t>111436-30</t>
        </is>
      </c>
      <c r="F90" s="152" t="inlineStr">
        <is>
          <t>Developer of fashionable products designed to offer trending apparel and accessories to the people. The company's products include apparel, footwear and accessories for men, women and children, as well as offers delivery services for the products, enabling users to get their desired clothing delivered at their doorstep.</t>
        </is>
      </c>
      <c r="G90" s="153" t="inlineStr">
        <is>
          <t>Consumer Products and Services (B2C)</t>
        </is>
      </c>
      <c r="H90" s="154" t="inlineStr">
        <is>
          <t>Apparel and Accessories</t>
        </is>
      </c>
      <c r="I90" s="155" t="inlineStr">
        <is>
          <t>Clothing</t>
        </is>
      </c>
      <c r="J90" s="156" t="inlineStr">
        <is>
          <t>Accessories, Clothing*, Footwear, Internet Retail</t>
        </is>
      </c>
      <c r="K90" s="157" t="inlineStr">
        <is>
          <t>E-Commerce, Manufacturing, TMT</t>
        </is>
      </c>
      <c r="L90" s="158" t="inlineStr">
        <is>
          <t>apparel manufacturer, clothing delivery, international fashion, trending apparel, women accessories</t>
        </is>
      </c>
      <c r="M90" s="159" t="inlineStr">
        <is>
          <t>Venture Capital-Backed</t>
        </is>
      </c>
      <c r="N90" s="160" t="inlineStr">
        <is>
          <t/>
        </is>
      </c>
      <c r="O90" s="161" t="inlineStr">
        <is>
          <t>Generating Revenue</t>
        </is>
      </c>
      <c r="P90" s="162" t="inlineStr">
        <is>
          <t>Privately Held (backing)</t>
        </is>
      </c>
      <c r="Q90" s="163" t="inlineStr">
        <is>
          <t>Venture Capital</t>
        </is>
      </c>
      <c r="R90" s="164" t="inlineStr">
        <is>
          <t>www.misssixty.com</t>
        </is>
      </c>
      <c r="S90" s="165" t="n">
        <v>1001.0</v>
      </c>
      <c r="T90" s="166" t="inlineStr">
        <is>
          <t>2015: 1001</t>
        </is>
      </c>
      <c r="U90" s="167" t="inlineStr">
        <is>
          <t/>
        </is>
      </c>
      <c r="V90" s="168" t="inlineStr">
        <is>
          <t/>
        </is>
      </c>
      <c r="W90" s="169" t="n">
        <v>1989.0</v>
      </c>
      <c r="X90" s="170" t="inlineStr">
        <is>
          <t/>
        </is>
      </c>
      <c r="Y90" s="171" t="inlineStr">
        <is>
          <t/>
        </is>
      </c>
      <c r="Z90" s="172" t="inlineStr">
        <is>
          <t/>
        </is>
      </c>
      <c r="AA90" s="173" t="n">
        <v>2932.19</v>
      </c>
      <c r="AB90" s="174" t="inlineStr">
        <is>
          <t/>
        </is>
      </c>
      <c r="AC90" s="175" t="inlineStr">
        <is>
          <t/>
        </is>
      </c>
      <c r="AD90" s="176" t="inlineStr">
        <is>
          <t/>
        </is>
      </c>
      <c r="AE90" s="177" t="inlineStr">
        <is>
          <t/>
        </is>
      </c>
      <c r="AF90" s="178" t="inlineStr">
        <is>
          <t>FY 2017</t>
        </is>
      </c>
      <c r="AG90" s="179" t="inlineStr">
        <is>
          <t/>
        </is>
      </c>
      <c r="AH90" s="180" t="inlineStr">
        <is>
          <t/>
        </is>
      </c>
      <c r="AI90" s="181" t="inlineStr">
        <is>
          <t/>
        </is>
      </c>
      <c r="AJ90" s="182" t="inlineStr">
        <is>
          <t>188659-27P</t>
        </is>
      </c>
      <c r="AK90" s="183" t="inlineStr">
        <is>
          <t>Pietro Bongiovanni</t>
        </is>
      </c>
      <c r="AL90" s="184" t="inlineStr">
        <is>
          <t>Chief Executive Officer</t>
        </is>
      </c>
      <c r="AM90" s="185" t="inlineStr">
        <is>
          <t/>
        </is>
      </c>
      <c r="AN90" s="186" t="inlineStr">
        <is>
          <t>+39 02 4974 8100</t>
        </is>
      </c>
      <c r="AO90" s="187" t="inlineStr">
        <is>
          <t>Milan, Italy</t>
        </is>
      </c>
      <c r="AP90" s="188" t="inlineStr">
        <is>
          <t>Via Durini, 24</t>
        </is>
      </c>
      <c r="AQ90" s="189" t="inlineStr">
        <is>
          <t/>
        </is>
      </c>
      <c r="AR90" s="190" t="inlineStr">
        <is>
          <t>Milan</t>
        </is>
      </c>
      <c r="AS90" s="191" t="inlineStr">
        <is>
          <t/>
        </is>
      </c>
      <c r="AT90" s="192" t="inlineStr">
        <is>
          <t>20122</t>
        </is>
      </c>
      <c r="AU90" s="193" t="inlineStr">
        <is>
          <t>Italy</t>
        </is>
      </c>
      <c r="AV90" s="194" t="inlineStr">
        <is>
          <t>+39 02 4974 8100</t>
        </is>
      </c>
      <c r="AW90" s="195" t="inlineStr">
        <is>
          <t/>
        </is>
      </c>
      <c r="AX90" s="196" t="inlineStr">
        <is>
          <t>misssixty@misssixty.com</t>
        </is>
      </c>
      <c r="AY90" s="197" t="inlineStr">
        <is>
          <t>Europe</t>
        </is>
      </c>
      <c r="AZ90" s="198" t="inlineStr">
        <is>
          <t>Southern Europe</t>
        </is>
      </c>
      <c r="BA90" s="199" t="inlineStr">
        <is>
          <t>The company was acquired by Crescent HydePark through a LBO on May 21, 2012 for an undisclosed sum.</t>
        </is>
      </c>
      <c r="BB90" s="200" t="inlineStr">
        <is>
          <t>Crescent HydePark</t>
        </is>
      </c>
      <c r="BC90" s="201" t="n">
        <v>1.0</v>
      </c>
      <c r="BD90" s="202" t="inlineStr">
        <is>
          <t/>
        </is>
      </c>
      <c r="BE90" s="203" t="inlineStr">
        <is>
          <t>Guangzhou Trendiano</t>
        </is>
      </c>
      <c r="BF90" s="204" t="inlineStr">
        <is>
          <t/>
        </is>
      </c>
      <c r="BG90" s="205" t="inlineStr">
        <is>
          <t>Crescent HydePark(www.chp.vc)</t>
        </is>
      </c>
      <c r="BH90" s="206" t="inlineStr">
        <is>
          <t/>
        </is>
      </c>
      <c r="BI90" s="207" t="inlineStr">
        <is>
          <t/>
        </is>
      </c>
      <c r="BJ90" s="208" t="inlineStr">
        <is>
          <t/>
        </is>
      </c>
      <c r="BK90" s="209" t="inlineStr">
        <is>
          <t/>
        </is>
      </c>
      <c r="BL90" s="210" t="n">
        <v>41050.0</v>
      </c>
      <c r="BM90" s="211" t="inlineStr">
        <is>
          <t/>
        </is>
      </c>
      <c r="BN90" s="212" t="inlineStr">
        <is>
          <t/>
        </is>
      </c>
      <c r="BO90" s="213" t="inlineStr">
        <is>
          <t/>
        </is>
      </c>
      <c r="BP90" s="214" t="inlineStr">
        <is>
          <t/>
        </is>
      </c>
      <c r="BQ90" s="215" t="inlineStr">
        <is>
          <t>Buyout/LBO</t>
        </is>
      </c>
      <c r="BR90" s="216" t="inlineStr">
        <is>
          <t>Corporate Divestiture</t>
        </is>
      </c>
      <c r="BS90" s="217" t="inlineStr">
        <is>
          <t/>
        </is>
      </c>
      <c r="BT90" s="218" t="inlineStr">
        <is>
          <t>Venture Capital</t>
        </is>
      </c>
      <c r="BU90" s="219" t="inlineStr">
        <is>
          <t/>
        </is>
      </c>
      <c r="BV90" s="220" t="inlineStr">
        <is>
          <t/>
        </is>
      </c>
      <c r="BW90" s="221" t="inlineStr">
        <is>
          <t/>
        </is>
      </c>
      <c r="BX90" s="222" t="inlineStr">
        <is>
          <t>Completed</t>
        </is>
      </c>
      <c r="BY90" s="223" t="n">
        <v>41050.0</v>
      </c>
      <c r="BZ90" s="224" t="inlineStr">
        <is>
          <t/>
        </is>
      </c>
      <c r="CA90" s="225" t="inlineStr">
        <is>
          <t/>
        </is>
      </c>
      <c r="CB90" s="226" t="inlineStr">
        <is>
          <t/>
        </is>
      </c>
      <c r="CC90" s="227" t="inlineStr">
        <is>
          <t/>
        </is>
      </c>
      <c r="CD90" s="228" t="inlineStr">
        <is>
          <t>Buyout/LBO</t>
        </is>
      </c>
      <c r="CE90" s="229" t="inlineStr">
        <is>
          <t>Corporate Divestiture</t>
        </is>
      </c>
      <c r="CF90" s="230" t="inlineStr">
        <is>
          <t/>
        </is>
      </c>
      <c r="CG90" s="231" t="inlineStr">
        <is>
          <t>Venture Capital</t>
        </is>
      </c>
      <c r="CH90" s="232" t="inlineStr">
        <is>
          <t/>
        </is>
      </c>
      <c r="CI90" s="233" t="inlineStr">
        <is>
          <t/>
        </is>
      </c>
      <c r="CJ90" s="234" t="inlineStr">
        <is>
          <t/>
        </is>
      </c>
      <c r="CK90" s="235" t="inlineStr">
        <is>
          <t>Completed</t>
        </is>
      </c>
      <c r="CL90" s="236" t="inlineStr">
        <is>
          <t/>
        </is>
      </c>
      <c r="CM90" s="237" t="inlineStr">
        <is>
          <t/>
        </is>
      </c>
      <c r="CN90" s="238" t="n">
        <v>0.02</v>
      </c>
      <c r="CO90" s="239" t="n">
        <v>79.0</v>
      </c>
      <c r="CP90" s="240" t="n">
        <v>-0.01</v>
      </c>
      <c r="CQ90" s="241" t="n">
        <v>-26.09</v>
      </c>
      <c r="CR90" s="242" t="n">
        <v>0.07</v>
      </c>
      <c r="CS90" s="243" t="n">
        <v>86.0</v>
      </c>
      <c r="CT90" s="244" t="n">
        <v>-0.04</v>
      </c>
      <c r="CU90" s="245" t="n">
        <v>17.0</v>
      </c>
      <c r="CV90" s="246" t="n">
        <v>0.0</v>
      </c>
      <c r="CW90" s="247" t="n">
        <v>33.0</v>
      </c>
      <c r="CX90" s="248" t="n">
        <v>0.14</v>
      </c>
      <c r="CY90" s="249" t="n">
        <v>87.0</v>
      </c>
      <c r="CZ90" s="250" t="n">
        <v>-0.04</v>
      </c>
      <c r="DA90" s="251" t="n">
        <v>21.0</v>
      </c>
      <c r="DB90" s="252" t="n">
        <v>28.21</v>
      </c>
      <c r="DC90" s="253" t="n">
        <v>96.0</v>
      </c>
      <c r="DD90" s="254" t="n">
        <v>5.01</v>
      </c>
      <c r="DE90" s="255" t="n">
        <v>21.61</v>
      </c>
      <c r="DF90" s="256" t="n">
        <v>40.67</v>
      </c>
      <c r="DG90" s="257" t="n">
        <v>98.0</v>
      </c>
      <c r="DH90" s="258" t="n">
        <v>15.76</v>
      </c>
      <c r="DI90" s="259" t="n">
        <v>90.0</v>
      </c>
      <c r="DJ90" s="260" t="n">
        <v>0.43</v>
      </c>
      <c r="DK90" s="261" t="n">
        <v>30.0</v>
      </c>
      <c r="DL90" s="262" t="n">
        <v>80.91</v>
      </c>
      <c r="DM90" s="263" t="n">
        <v>99.0</v>
      </c>
      <c r="DN90" s="264" t="n">
        <v>15.76</v>
      </c>
      <c r="DO90" s="265" t="n">
        <v>91.0</v>
      </c>
      <c r="DP90" s="266" t="n">
        <v>316.0</v>
      </c>
      <c r="DQ90" s="267" t="n">
        <v>-77.0</v>
      </c>
      <c r="DR90" s="268" t="n">
        <v>-19.59</v>
      </c>
      <c r="DS90" s="269" t="n">
        <v>2748.0</v>
      </c>
      <c r="DT90" s="270" t="n">
        <v>4.0</v>
      </c>
      <c r="DU90" s="271" t="n">
        <v>0.15</v>
      </c>
      <c r="DV90" s="272" t="n">
        <v>5659.0</v>
      </c>
      <c r="DW90" s="273" t="n">
        <v>-8.0</v>
      </c>
      <c r="DX90" s="274" t="n">
        <v>-0.14</v>
      </c>
      <c r="DY90" s="275" t="inlineStr">
        <is>
          <t>PitchBook Research</t>
        </is>
      </c>
      <c r="DZ90" s="276" t="n">
        <v>43514.0</v>
      </c>
      <c r="EA90" s="277" t="inlineStr">
        <is>
          <t/>
        </is>
      </c>
      <c r="EB90" s="278" t="inlineStr">
        <is>
          <t/>
        </is>
      </c>
      <c r="EC90" s="279" t="inlineStr">
        <is>
          <t/>
        </is>
      </c>
      <c r="ED90" s="548">
        <f>HYPERLINK("https://my.pitchbook.com?c=111436-30", "View company online")</f>
      </c>
    </row>
    <row r="91">
      <c r="A91" s="13" t="inlineStr">
        <is>
          <t>62163-55</t>
        </is>
      </c>
      <c r="B91" s="14" t="inlineStr">
        <is>
          <t>Shenzhou International (HKG: 02313)</t>
        </is>
      </c>
      <c r="C91" s="15" t="inlineStr">
        <is>
          <t/>
        </is>
      </c>
      <c r="D91" s="16" t="inlineStr">
        <is>
          <t/>
        </is>
      </c>
      <c r="E91" s="17" t="inlineStr">
        <is>
          <t>62163-55</t>
        </is>
      </c>
      <c r="F91" s="18" t="inlineStr">
        <is>
          <t>Shenzhou is the largest vertically integrated knitwear manufacturer in the world. The group mainly produces sportswear (66% of 2017 revenue), casual wear (25% of 2017 revenue), and lingerie (7% of 2017 revenue) for international clients such as Nike, Adidas, Puma, and Uniqlo. Mainland China is the company's largest market, accounting for 26.6% of sales in 2017, with the second- largest market being Europe at 22.3%. Japan comes in third at 17.3%, and U.S.A comes in fourth at 12.9%. The firm has factories in China, Cambodia, and Vietnam.</t>
        </is>
      </c>
      <c r="G91" s="19" t="inlineStr">
        <is>
          <t>Consumer Products and Services (B2C)</t>
        </is>
      </c>
      <c r="H91" s="20" t="inlineStr">
        <is>
          <t>Apparel and Accessories</t>
        </is>
      </c>
      <c r="I91" s="21" t="inlineStr">
        <is>
          <t>Clothing</t>
        </is>
      </c>
      <c r="J91" s="22" t="inlineStr">
        <is>
          <t>Clothing*</t>
        </is>
      </c>
      <c r="K91" s="23" t="inlineStr">
        <is>
          <t>Manufacturing</t>
        </is>
      </c>
      <c r="L91" s="24" t="inlineStr">
        <is>
          <t/>
        </is>
      </c>
      <c r="M91" s="25" t="inlineStr">
        <is>
          <t>Corporation</t>
        </is>
      </c>
      <c r="N91" s="26" t="inlineStr">
        <is>
          <t/>
        </is>
      </c>
      <c r="O91" s="27" t="inlineStr">
        <is>
          <t>Profitable</t>
        </is>
      </c>
      <c r="P91" s="28" t="inlineStr">
        <is>
          <t>Publicly Held</t>
        </is>
      </c>
      <c r="Q91" s="29" t="inlineStr">
        <is>
          <t>Publicly Listed</t>
        </is>
      </c>
      <c r="R91" s="30" t="inlineStr">
        <is>
          <t>www.shenzhouintl.com</t>
        </is>
      </c>
      <c r="S91" s="31" t="n">
        <v>84130.0</v>
      </c>
      <c r="T91" s="32" t="inlineStr">
        <is>
          <t>2008: 37436, 2009: 42000, 2010: 48390, 2011: 49300, 2012: 51400, 2013: 59500, 2014: 62000, 2015: 69100, 2016: 76360, 2017: 81580, 2018: 84130</t>
        </is>
      </c>
      <c r="U91" s="33" t="inlineStr">
        <is>
          <t>HKG</t>
        </is>
      </c>
      <c r="V91" s="34" t="inlineStr">
        <is>
          <t>02313</t>
        </is>
      </c>
      <c r="W91" s="35" t="inlineStr">
        <is>
          <t/>
        </is>
      </c>
      <c r="X91" s="36" t="inlineStr">
        <is>
          <t/>
        </is>
      </c>
      <c r="Y91" s="37" t="inlineStr">
        <is>
          <t/>
        </is>
      </c>
      <c r="Z91" s="38" t="inlineStr">
        <is>
          <t/>
        </is>
      </c>
      <c r="AA91" s="39" t="n">
        <v>2918.18</v>
      </c>
      <c r="AB91" s="40" t="n">
        <v>924.24</v>
      </c>
      <c r="AC91" s="41" t="n">
        <v>636.92</v>
      </c>
      <c r="AD91" s="42" t="n">
        <v>17818.63</v>
      </c>
      <c r="AE91" s="43" t="n">
        <v>813.95</v>
      </c>
      <c r="AF91" s="44" t="inlineStr">
        <is>
          <t>TTM 2Q2018</t>
        </is>
      </c>
      <c r="AG91" s="45" t="n">
        <v>686.48</v>
      </c>
      <c r="AH91" s="46" t="n">
        <v>20590.62</v>
      </c>
      <c r="AI91" s="47" t="n">
        <v>-594.04</v>
      </c>
      <c r="AJ91" s="48" t="inlineStr">
        <is>
          <t>95428-72P</t>
        </is>
      </c>
      <c r="AK91" s="49" t="inlineStr">
        <is>
          <t>Ma Jianrong</t>
        </is>
      </c>
      <c r="AL91" s="50" t="inlineStr">
        <is>
          <t>Chairman &amp; Board Member</t>
        </is>
      </c>
      <c r="AM91" s="51" t="inlineStr">
        <is>
          <t/>
        </is>
      </c>
      <c r="AN91" s="52" t="inlineStr">
        <is>
          <t/>
        </is>
      </c>
      <c r="AO91" s="53" t="inlineStr">
        <is>
          <t>Kowloon, Hong Kong</t>
        </is>
      </c>
      <c r="AP91" s="54" t="inlineStr">
        <is>
          <t/>
        </is>
      </c>
      <c r="AQ91" s="55" t="inlineStr">
        <is>
          <t/>
        </is>
      </c>
      <c r="AR91" s="56" t="inlineStr">
        <is>
          <t>Kowloon</t>
        </is>
      </c>
      <c r="AS91" s="57" t="inlineStr">
        <is>
          <t/>
        </is>
      </c>
      <c r="AT91" s="58" t="inlineStr">
        <is>
          <t/>
        </is>
      </c>
      <c r="AU91" s="59" t="inlineStr">
        <is>
          <t>Hong Kong</t>
        </is>
      </c>
      <c r="AV91" s="60" t="inlineStr">
        <is>
          <t/>
        </is>
      </c>
      <c r="AW91" s="61" t="inlineStr">
        <is>
          <t/>
        </is>
      </c>
      <c r="AX91" s="62" t="inlineStr">
        <is>
          <t/>
        </is>
      </c>
      <c r="AY91" s="63" t="inlineStr">
        <is>
          <t>Asia</t>
        </is>
      </c>
      <c r="AZ91" s="64" t="inlineStr">
        <is>
          <t>East Asia</t>
        </is>
      </c>
      <c r="BA91" s="65" t="inlineStr">
        <is>
          <t/>
        </is>
      </c>
      <c r="BB91" s="66" t="inlineStr">
        <is>
          <t/>
        </is>
      </c>
      <c r="BC91" s="67" t="inlineStr">
        <is>
          <t/>
        </is>
      </c>
      <c r="BD91" s="68" t="inlineStr">
        <is>
          <t/>
        </is>
      </c>
      <c r="BE91" s="69" t="inlineStr">
        <is>
          <t/>
        </is>
      </c>
      <c r="BF91" s="70" t="inlineStr">
        <is>
          <t/>
        </is>
      </c>
      <c r="BG91" s="71" t="inlineStr">
        <is>
          <t/>
        </is>
      </c>
      <c r="BH91" s="72" t="inlineStr">
        <is>
          <t/>
        </is>
      </c>
      <c r="BI91" s="73" t="inlineStr">
        <is>
          <t/>
        </is>
      </c>
      <c r="BJ91" s="74" t="inlineStr">
        <is>
          <t/>
        </is>
      </c>
      <c r="BK91" s="75" t="inlineStr">
        <is>
          <t/>
        </is>
      </c>
      <c r="BL91" s="76" t="inlineStr">
        <is>
          <t/>
        </is>
      </c>
      <c r="BM91" s="77" t="inlineStr">
        <is>
          <t/>
        </is>
      </c>
      <c r="BN91" s="78" t="inlineStr">
        <is>
          <t/>
        </is>
      </c>
      <c r="BO91" s="79" t="inlineStr">
        <is>
          <t/>
        </is>
      </c>
      <c r="BP91" s="80" t="inlineStr">
        <is>
          <t/>
        </is>
      </c>
      <c r="BQ91" s="81" t="inlineStr">
        <is>
          <t/>
        </is>
      </c>
      <c r="BR91" s="82" t="inlineStr">
        <is>
          <t/>
        </is>
      </c>
      <c r="BS91" s="83" t="inlineStr">
        <is>
          <t/>
        </is>
      </c>
      <c r="BT91" s="84" t="inlineStr">
        <is>
          <t/>
        </is>
      </c>
      <c r="BU91" s="85" t="inlineStr">
        <is>
          <t/>
        </is>
      </c>
      <c r="BV91" s="86" t="inlineStr">
        <is>
          <t/>
        </is>
      </c>
      <c r="BW91" s="87" t="inlineStr">
        <is>
          <t/>
        </is>
      </c>
      <c r="BX91" s="88" t="inlineStr">
        <is>
          <t/>
        </is>
      </c>
      <c r="BY91" s="89" t="inlineStr">
        <is>
          <t/>
        </is>
      </c>
      <c r="BZ91" s="90" t="inlineStr">
        <is>
          <t/>
        </is>
      </c>
      <c r="CA91" s="91" t="inlineStr">
        <is>
          <t/>
        </is>
      </c>
      <c r="CB91" s="92" t="inlineStr">
        <is>
          <t/>
        </is>
      </c>
      <c r="CC91" s="93" t="inlineStr">
        <is>
          <t/>
        </is>
      </c>
      <c r="CD91" s="94" t="inlineStr">
        <is>
          <t/>
        </is>
      </c>
      <c r="CE91" s="95" t="inlineStr">
        <is>
          <t/>
        </is>
      </c>
      <c r="CF91" s="96" t="inlineStr">
        <is>
          <t/>
        </is>
      </c>
      <c r="CG91" s="97" t="inlineStr">
        <is>
          <t/>
        </is>
      </c>
      <c r="CH91" s="98" t="inlineStr">
        <is>
          <t/>
        </is>
      </c>
      <c r="CI91" s="99" t="inlineStr">
        <is>
          <t/>
        </is>
      </c>
      <c r="CJ91" s="100" t="inlineStr">
        <is>
          <t/>
        </is>
      </c>
      <c r="CK91" s="101" t="inlineStr">
        <is>
          <t/>
        </is>
      </c>
      <c r="CL91" s="102" t="inlineStr">
        <is>
          <t/>
        </is>
      </c>
      <c r="CM91" s="103" t="inlineStr">
        <is>
          <t/>
        </is>
      </c>
      <c r="CN91" s="104" t="n">
        <v>0.34</v>
      </c>
      <c r="CO91" s="105" t="n">
        <v>92.0</v>
      </c>
      <c r="CP91" s="106" t="n">
        <v>0.0</v>
      </c>
      <c r="CQ91" s="107" t="n">
        <v>-1.17</v>
      </c>
      <c r="CR91" s="108" t="n">
        <v>0.34</v>
      </c>
      <c r="CS91" s="109" t="n">
        <v>92.0</v>
      </c>
      <c r="CT91" s="110" t="inlineStr">
        <is>
          <t/>
        </is>
      </c>
      <c r="CU91" s="111" t="inlineStr">
        <is>
          <t/>
        </is>
      </c>
      <c r="CV91" s="112" t="inlineStr">
        <is>
          <t/>
        </is>
      </c>
      <c r="CW91" s="113" t="inlineStr">
        <is>
          <t/>
        </is>
      </c>
      <c r="CX91" s="114" t="n">
        <v>0.34</v>
      </c>
      <c r="CY91" s="115" t="n">
        <v>92.0</v>
      </c>
      <c r="CZ91" s="116" t="inlineStr">
        <is>
          <t/>
        </is>
      </c>
      <c r="DA91" s="117" t="inlineStr">
        <is>
          <t/>
        </is>
      </c>
      <c r="DB91" s="118" t="n">
        <v>10.18</v>
      </c>
      <c r="DC91" s="119" t="n">
        <v>90.0</v>
      </c>
      <c r="DD91" s="120" t="n">
        <v>2.55</v>
      </c>
      <c r="DE91" s="121" t="n">
        <v>33.51</v>
      </c>
      <c r="DF91" s="122" t="n">
        <v>10.18</v>
      </c>
      <c r="DG91" s="123" t="n">
        <v>90.0</v>
      </c>
      <c r="DH91" s="124" t="inlineStr">
        <is>
          <t/>
        </is>
      </c>
      <c r="DI91" s="125" t="inlineStr">
        <is>
          <t/>
        </is>
      </c>
      <c r="DJ91" s="126" t="inlineStr">
        <is>
          <t/>
        </is>
      </c>
      <c r="DK91" s="127" t="inlineStr">
        <is>
          <t/>
        </is>
      </c>
      <c r="DL91" s="128" t="n">
        <v>10.18</v>
      </c>
      <c r="DM91" s="129" t="n">
        <v>89.0</v>
      </c>
      <c r="DN91" s="130" t="inlineStr">
        <is>
          <t/>
        </is>
      </c>
      <c r="DO91" s="131" t="inlineStr">
        <is>
          <t/>
        </is>
      </c>
      <c r="DP91" s="132" t="inlineStr">
        <is>
          <t/>
        </is>
      </c>
      <c r="DQ91" s="133" t="inlineStr">
        <is>
          <t/>
        </is>
      </c>
      <c r="DR91" s="134" t="inlineStr">
        <is>
          <t/>
        </is>
      </c>
      <c r="DS91" s="135" t="n">
        <v>345.0</v>
      </c>
      <c r="DT91" s="136" t="n">
        <v>4.0</v>
      </c>
      <c r="DU91" s="137" t="n">
        <v>1.17</v>
      </c>
      <c r="DV91" s="138" t="inlineStr">
        <is>
          <t/>
        </is>
      </c>
      <c r="DW91" s="139" t="inlineStr">
        <is>
          <t/>
        </is>
      </c>
      <c r="DX91" s="140" t="inlineStr">
        <is>
          <t/>
        </is>
      </c>
      <c r="DY91" s="141" t="inlineStr">
        <is>
          <t>PitchBook Research</t>
        </is>
      </c>
      <c r="DZ91" s="142" t="n">
        <v>43492.0</v>
      </c>
      <c r="EA91" s="143" t="inlineStr">
        <is>
          <t/>
        </is>
      </c>
      <c r="EB91" s="144" t="inlineStr">
        <is>
          <t/>
        </is>
      </c>
      <c r="EC91" s="145" t="inlineStr">
        <is>
          <t/>
        </is>
      </c>
      <c r="ED91" s="547">
        <f>HYPERLINK("https://my.pitchbook.com?c=62163-55", "View company online")</f>
      </c>
    </row>
    <row r="92">
      <c r="A92" s="147" t="inlineStr">
        <is>
          <t>51421-24</t>
        </is>
      </c>
      <c r="B92" s="148" t="inlineStr">
        <is>
          <t>Gildan Activewear (TSE: GIL)</t>
        </is>
      </c>
      <c r="C92" s="149" t="inlineStr">
        <is>
          <t/>
        </is>
      </c>
      <c r="D92" s="150" t="inlineStr">
        <is>
          <t>Gildan</t>
        </is>
      </c>
      <c r="E92" s="151" t="inlineStr">
        <is>
          <t>51421-24</t>
        </is>
      </c>
      <c r="F92" s="152" t="inlineStr">
        <is>
          <t>Gildan is a vertically integrated designer and manufacturer of basic apparel, including T-shirts, underwear, socks, and hosiery. Its primary market is the sale of blank T-shirts to wholesalers and printers (printwear). Gildan also sells branded clothing through retail and direct-to-consumer channels. Brands include Gildan, American Apparel, Comfort Colors, and Gold Toe. Gildan produces most of its clothing at factories in Latin America. The Montreal-based company generates most of its sales in the U.S. and was incorporated in 1984.</t>
        </is>
      </c>
      <c r="G92" s="153" t="inlineStr">
        <is>
          <t>Consumer Products and Services (B2C)</t>
        </is>
      </c>
      <c r="H92" s="154" t="inlineStr">
        <is>
          <t>Apparel and Accessories</t>
        </is>
      </c>
      <c r="I92" s="155" t="inlineStr">
        <is>
          <t>Clothing</t>
        </is>
      </c>
      <c r="J92" s="156" t="inlineStr">
        <is>
          <t>Clothing*</t>
        </is>
      </c>
      <c r="K92" s="157" t="inlineStr">
        <is>
          <t/>
        </is>
      </c>
      <c r="L92" s="158" t="inlineStr">
        <is>
          <t/>
        </is>
      </c>
      <c r="M92" s="159" t="inlineStr">
        <is>
          <t>Corporation</t>
        </is>
      </c>
      <c r="N92" s="160" t="inlineStr">
        <is>
          <t/>
        </is>
      </c>
      <c r="O92" s="161" t="inlineStr">
        <is>
          <t>Profitable</t>
        </is>
      </c>
      <c r="P92" s="162" t="inlineStr">
        <is>
          <t>Publicly Held</t>
        </is>
      </c>
      <c r="Q92" s="163" t="inlineStr">
        <is>
          <t>Publicly Listed</t>
        </is>
      </c>
      <c r="R92" s="164" t="inlineStr">
        <is>
          <t>www.gildancorp.com</t>
        </is>
      </c>
      <c r="S92" s="165" t="n">
        <v>50000.0</v>
      </c>
      <c r="T92" s="166" t="inlineStr">
        <is>
          <t>1997: 1764, 1998: 1764, 1999: 4500, 2000: 6000, 2001: 7000, 2002: 7000, 2003: 9000, 2004: 9000, 2005: 10193, 2006: 14509, 2007: 15372, 2008: 20116, 2009: 19532, 2010: 28000, 2011: 30000, 2012: 31000, 2013: 34000, 2014: 43000, 2015: 43000, 2016: 48000, 2017: 50000, 2018: 51000</t>
        </is>
      </c>
      <c r="U92" s="167" t="inlineStr">
        <is>
          <t>TSE</t>
        </is>
      </c>
      <c r="V92" s="168" t="inlineStr">
        <is>
          <t>GIL</t>
        </is>
      </c>
      <c r="W92" s="169" t="n">
        <v>1984.0</v>
      </c>
      <c r="X92" s="170" t="inlineStr">
        <is>
          <t/>
        </is>
      </c>
      <c r="Y92" s="171" t="inlineStr">
        <is>
          <t/>
        </is>
      </c>
      <c r="Z92" s="172" t="inlineStr">
        <is>
          <t>News (New) </t>
        </is>
      </c>
      <c r="AA92" s="173" t="n">
        <v>2908.57</v>
      </c>
      <c r="AB92" s="174" t="n">
        <v>805.95</v>
      </c>
      <c r="AC92" s="175" t="n">
        <v>350.77</v>
      </c>
      <c r="AD92" s="176" t="n">
        <v>7111.71</v>
      </c>
      <c r="AE92" s="177" t="n">
        <v>555.27</v>
      </c>
      <c r="AF92" s="178" t="inlineStr">
        <is>
          <t>FY 2018</t>
        </is>
      </c>
      <c r="AG92" s="179" t="n">
        <v>397.19</v>
      </c>
      <c r="AH92" s="180" t="n">
        <v>7576.79</v>
      </c>
      <c r="AI92" s="181" t="n">
        <v>622.34</v>
      </c>
      <c r="AJ92" s="182" t="inlineStr">
        <is>
          <t>140569-39P</t>
        </is>
      </c>
      <c r="AK92" s="183" t="inlineStr">
        <is>
          <t>Glenn Chamandy</t>
        </is>
      </c>
      <c r="AL92" s="184" t="inlineStr">
        <is>
          <t>Co-Founder, President &amp; Chief Executive Officer &amp; Board Member</t>
        </is>
      </c>
      <c r="AM92" s="185" t="inlineStr">
        <is>
          <t>g-chamandy@gildan.com</t>
        </is>
      </c>
      <c r="AN92" s="186" t="inlineStr">
        <is>
          <t>+1 (514) 735-2023</t>
        </is>
      </c>
      <c r="AO92" s="187" t="inlineStr">
        <is>
          <t>Montreal, Canada</t>
        </is>
      </c>
      <c r="AP92" s="188" t="inlineStr">
        <is>
          <t>600 de Maisonneuve West</t>
        </is>
      </c>
      <c r="AQ92" s="189" t="inlineStr">
        <is>
          <t>33rd floor</t>
        </is>
      </c>
      <c r="AR92" s="190" t="inlineStr">
        <is>
          <t>Montreal</t>
        </is>
      </c>
      <c r="AS92" s="191" t="inlineStr">
        <is>
          <t>Quebec</t>
        </is>
      </c>
      <c r="AT92" s="192" t="inlineStr">
        <is>
          <t>H3A 3J2</t>
        </is>
      </c>
      <c r="AU92" s="193" t="inlineStr">
        <is>
          <t>Canada</t>
        </is>
      </c>
      <c r="AV92" s="194" t="inlineStr">
        <is>
          <t>+1 (514) 735-2023</t>
        </is>
      </c>
      <c r="AW92" s="195" t="inlineStr">
        <is>
          <t>+1 (514) 735-6810</t>
        </is>
      </c>
      <c r="AX92" s="196" t="inlineStr">
        <is>
          <t>communications@gildan.com</t>
        </is>
      </c>
      <c r="AY92" s="197" t="inlineStr">
        <is>
          <t>Americas</t>
        </is>
      </c>
      <c r="AZ92" s="198" t="inlineStr">
        <is>
          <t>North America</t>
        </is>
      </c>
      <c r="BA92" s="199" t="inlineStr">
        <is>
          <t/>
        </is>
      </c>
      <c r="BB92" s="200" t="inlineStr">
        <is>
          <t/>
        </is>
      </c>
      <c r="BC92" s="201" t="inlineStr">
        <is>
          <t/>
        </is>
      </c>
      <c r="BD92" s="202" t="inlineStr">
        <is>
          <t/>
        </is>
      </c>
      <c r="BE92" s="203" t="inlineStr">
        <is>
          <t/>
        </is>
      </c>
      <c r="BF92" s="204" t="inlineStr">
        <is>
          <t/>
        </is>
      </c>
      <c r="BG92" s="205" t="inlineStr">
        <is>
          <t/>
        </is>
      </c>
      <c r="BH92" s="206" t="inlineStr">
        <is>
          <t/>
        </is>
      </c>
      <c r="BI92" s="207" t="inlineStr">
        <is>
          <t/>
        </is>
      </c>
      <c r="BJ92" s="208" t="inlineStr">
        <is>
          <t/>
        </is>
      </c>
      <c r="BK92" s="209" t="inlineStr">
        <is>
          <t/>
        </is>
      </c>
      <c r="BL92" s="210" t="inlineStr">
        <is>
          <t/>
        </is>
      </c>
      <c r="BM92" s="211" t="inlineStr">
        <is>
          <t/>
        </is>
      </c>
      <c r="BN92" s="212" t="inlineStr">
        <is>
          <t/>
        </is>
      </c>
      <c r="BO92" s="213" t="inlineStr">
        <is>
          <t/>
        </is>
      </c>
      <c r="BP92" s="214" t="inlineStr">
        <is>
          <t/>
        </is>
      </c>
      <c r="BQ92" s="215" t="inlineStr">
        <is>
          <t/>
        </is>
      </c>
      <c r="BR92" s="216" t="inlineStr">
        <is>
          <t/>
        </is>
      </c>
      <c r="BS92" s="217" t="inlineStr">
        <is>
          <t/>
        </is>
      </c>
      <c r="BT92" s="218" t="inlineStr">
        <is>
          <t/>
        </is>
      </c>
      <c r="BU92" s="219" t="inlineStr">
        <is>
          <t/>
        </is>
      </c>
      <c r="BV92" s="220" t="inlineStr">
        <is>
          <t/>
        </is>
      </c>
      <c r="BW92" s="221" t="inlineStr">
        <is>
          <t/>
        </is>
      </c>
      <c r="BX92" s="222" t="inlineStr">
        <is>
          <t/>
        </is>
      </c>
      <c r="BY92" s="223" t="inlineStr">
        <is>
          <t/>
        </is>
      </c>
      <c r="BZ92" s="224" t="inlineStr">
        <is>
          <t/>
        </is>
      </c>
      <c r="CA92" s="225" t="inlineStr">
        <is>
          <t/>
        </is>
      </c>
      <c r="CB92" s="226" t="inlineStr">
        <is>
          <t/>
        </is>
      </c>
      <c r="CC92" s="227" t="inlineStr">
        <is>
          <t/>
        </is>
      </c>
      <c r="CD92" s="228" t="inlineStr">
        <is>
          <t/>
        </is>
      </c>
      <c r="CE92" s="229" t="inlineStr">
        <is>
          <t/>
        </is>
      </c>
      <c r="CF92" s="230" t="inlineStr">
        <is>
          <t/>
        </is>
      </c>
      <c r="CG92" s="231" t="inlineStr">
        <is>
          <t/>
        </is>
      </c>
      <c r="CH92" s="232" t="inlineStr">
        <is>
          <t/>
        </is>
      </c>
      <c r="CI92" s="233" t="inlineStr">
        <is>
          <t/>
        </is>
      </c>
      <c r="CJ92" s="234" t="inlineStr">
        <is>
          <t/>
        </is>
      </c>
      <c r="CK92" s="235" t="inlineStr">
        <is>
          <t/>
        </is>
      </c>
      <c r="CL92" s="236" t="inlineStr">
        <is>
          <t/>
        </is>
      </c>
      <c r="CM92" s="237" t="inlineStr">
        <is>
          <t/>
        </is>
      </c>
      <c r="CN92" s="238" t="n">
        <v>-1.41</v>
      </c>
      <c r="CO92" s="239" t="n">
        <v>3.0</v>
      </c>
      <c r="CP92" s="240" t="n">
        <v>0.01</v>
      </c>
      <c r="CQ92" s="241" t="n">
        <v>0.46</v>
      </c>
      <c r="CR92" s="242" t="n">
        <v>-4.4</v>
      </c>
      <c r="CS92" s="243" t="n">
        <v>1.0</v>
      </c>
      <c r="CT92" s="244" t="n">
        <v>0.02</v>
      </c>
      <c r="CU92" s="245" t="n">
        <v>58.0</v>
      </c>
      <c r="CV92" s="246" t="n">
        <v>-8.93</v>
      </c>
      <c r="CW92" s="247" t="n">
        <v>2.0</v>
      </c>
      <c r="CX92" s="248" t="n">
        <v>0.12</v>
      </c>
      <c r="CY92" s="249" t="n">
        <v>87.0</v>
      </c>
      <c r="CZ92" s="250" t="n">
        <v>0.02</v>
      </c>
      <c r="DA92" s="251" t="n">
        <v>64.0</v>
      </c>
      <c r="DB92" s="252" t="n">
        <v>69.84</v>
      </c>
      <c r="DC92" s="253" t="n">
        <v>99.0</v>
      </c>
      <c r="DD92" s="254" t="n">
        <v>0.52</v>
      </c>
      <c r="DE92" s="255" t="n">
        <v>0.76</v>
      </c>
      <c r="DF92" s="256" t="n">
        <v>3.79</v>
      </c>
      <c r="DG92" s="257" t="n">
        <v>79.0</v>
      </c>
      <c r="DH92" s="258" t="n">
        <v>16.84</v>
      </c>
      <c r="DI92" s="259" t="n">
        <v>90.0</v>
      </c>
      <c r="DJ92" s="260" t="n">
        <v>1.37</v>
      </c>
      <c r="DK92" s="261" t="n">
        <v>57.0</v>
      </c>
      <c r="DL92" s="262" t="n">
        <v>6.21</v>
      </c>
      <c r="DM92" s="263" t="n">
        <v>84.0</v>
      </c>
      <c r="DN92" s="264" t="n">
        <v>16.84</v>
      </c>
      <c r="DO92" s="265" t="n">
        <v>91.0</v>
      </c>
      <c r="DP92" s="266" t="n">
        <v>981.0</v>
      </c>
      <c r="DQ92" s="267" t="n">
        <v>-60.0</v>
      </c>
      <c r="DR92" s="268" t="n">
        <v>-5.76</v>
      </c>
      <c r="DS92" s="269" t="n">
        <v>209.0</v>
      </c>
      <c r="DT92" s="270" t="n">
        <v>2.0</v>
      </c>
      <c r="DU92" s="271" t="n">
        <v>0.97</v>
      </c>
      <c r="DV92" s="272" t="n">
        <v>6048.0</v>
      </c>
      <c r="DW92" s="273" t="n">
        <v>0.0</v>
      </c>
      <c r="DX92" s="274" t="n">
        <v>0.0</v>
      </c>
      <c r="DY92" s="275" t="inlineStr">
        <is>
          <t>PitchBook Research</t>
        </is>
      </c>
      <c r="DZ92" s="276" t="n">
        <v>43524.0</v>
      </c>
      <c r="EA92" s="277" t="inlineStr">
        <is>
          <t/>
        </is>
      </c>
      <c r="EB92" s="278" t="inlineStr">
        <is>
          <t/>
        </is>
      </c>
      <c r="EC92" s="279" t="inlineStr">
        <is>
          <t/>
        </is>
      </c>
      <c r="ED92" s="548">
        <f>HYPERLINK("https://my.pitchbook.com?c=51421-24", "View company online")</f>
      </c>
    </row>
    <row r="93">
      <c r="A93" s="13" t="inlineStr">
        <is>
          <t>155949-13</t>
        </is>
      </c>
      <c r="B93" s="14" t="inlineStr">
        <is>
          <t>Heilan Home (SHG: 600398)</t>
        </is>
      </c>
      <c r="C93" s="15" t="inlineStr">
        <is>
          <t/>
        </is>
      </c>
      <c r="D93" s="16" t="inlineStr">
        <is>
          <t>HLA</t>
        </is>
      </c>
      <c r="E93" s="17" t="inlineStr">
        <is>
          <t>155949-13</t>
        </is>
      </c>
      <c r="F93" s="18" t="inlineStr">
        <is>
          <t>Hla Corp Ltd is engaged in the management of brand clothing, and production and sale of high-end suits and professional clothes. The company offers men's clothing, women's clothing and accessories.</t>
        </is>
      </c>
      <c r="G93" s="19" t="inlineStr">
        <is>
          <t>Consumer Products and Services (B2C)</t>
        </is>
      </c>
      <c r="H93" s="20" t="inlineStr">
        <is>
          <t>Apparel and Accessories</t>
        </is>
      </c>
      <c r="I93" s="21" t="inlineStr">
        <is>
          <t>Clothing</t>
        </is>
      </c>
      <c r="J93" s="22" t="inlineStr">
        <is>
          <t>Clothing*, Luxury Goods</t>
        </is>
      </c>
      <c r="K93" s="23" t="inlineStr">
        <is>
          <t>Manufacturing</t>
        </is>
      </c>
      <c r="L93" s="24" t="inlineStr">
        <is>
          <t>branding apparel, high end suits, professional clothes, professional clothing, suits, woolen fabrics, worsted wool</t>
        </is>
      </c>
      <c r="M93" s="25" t="inlineStr">
        <is>
          <t>Formerly PE-Backed</t>
        </is>
      </c>
      <c r="N93" s="26" t="inlineStr">
        <is>
          <t/>
        </is>
      </c>
      <c r="O93" s="27" t="inlineStr">
        <is>
          <t>Profitable</t>
        </is>
      </c>
      <c r="P93" s="28" t="inlineStr">
        <is>
          <t>Publicly Held</t>
        </is>
      </c>
      <c r="Q93" s="29" t="inlineStr">
        <is>
          <t>M&amp;A, Private Equity, Publicly Listed</t>
        </is>
      </c>
      <c r="R93" s="30" t="inlineStr">
        <is>
          <t>www.heilan.com.cn</t>
        </is>
      </c>
      <c r="S93" s="31" t="n">
        <v>15656.0</v>
      </c>
      <c r="T93" s="32" t="inlineStr">
        <is>
          <t>2000: 1514, 2001: 2351, 2002: 4088, 2003: 4188, 2004: 5424, 2005: 5631, 2006: 5335, 2007: 5587, 2008: 5693, 2009: 5782, 2010: 6198, 2011: 7317, 2012: 7071, 2013: 7155, 2014: 14162, 2015: 14990, 2016: 15388, 2017: 15656</t>
        </is>
      </c>
      <c r="U93" s="33" t="inlineStr">
        <is>
          <t>SHG</t>
        </is>
      </c>
      <c r="V93" s="34" t="inlineStr">
        <is>
          <t>600398</t>
        </is>
      </c>
      <c r="W93" s="35" t="n">
        <v>1997.0</v>
      </c>
      <c r="X93" s="36" t="inlineStr">
        <is>
          <t/>
        </is>
      </c>
      <c r="Y93" s="37" t="inlineStr">
        <is>
          <t/>
        </is>
      </c>
      <c r="Z93" s="38" t="inlineStr">
        <is>
          <t/>
        </is>
      </c>
      <c r="AA93" s="39" t="n">
        <v>2869.23</v>
      </c>
      <c r="AB93" s="40" t="n">
        <v>1178.11</v>
      </c>
      <c r="AC93" s="41" t="n">
        <v>526.69</v>
      </c>
      <c r="AD93" s="42" t="n">
        <v>6233.89</v>
      </c>
      <c r="AE93" s="43" t="n">
        <v>737.21</v>
      </c>
      <c r="AF93" s="44" t="inlineStr">
        <is>
          <t>TTM 3Q2018</t>
        </is>
      </c>
      <c r="AG93" s="45" t="n">
        <v>697.68</v>
      </c>
      <c r="AH93" s="46" t="n">
        <v>6584.74</v>
      </c>
      <c r="AI93" s="47" t="n">
        <v>-798.82</v>
      </c>
      <c r="AJ93" s="48" t="inlineStr">
        <is>
          <t>176624-47P</t>
        </is>
      </c>
      <c r="AK93" s="49" t="inlineStr">
        <is>
          <t>Yaping Qian</t>
        </is>
      </c>
      <c r="AL93" s="50" t="inlineStr">
        <is>
          <t>Chief Financial Officer &amp; Board Member</t>
        </is>
      </c>
      <c r="AM93" s="51" t="inlineStr">
        <is>
          <t>yaping.qian@hla.com.cn</t>
        </is>
      </c>
      <c r="AN93" s="52" t="inlineStr">
        <is>
          <t>+86 (0)510 8612 5808</t>
        </is>
      </c>
      <c r="AO93" s="53" t="inlineStr">
        <is>
          <t>Jiangyin, China</t>
        </is>
      </c>
      <c r="AP93" s="54" t="inlineStr">
        <is>
          <t>Hailan Group Head Office, No.8</t>
        </is>
      </c>
      <c r="AQ93" s="55" t="inlineStr">
        <is>
          <t>Tao Xin Middle Road, Xinqiao Town</t>
        </is>
      </c>
      <c r="AR93" s="56" t="inlineStr">
        <is>
          <t>Jiangyin</t>
        </is>
      </c>
      <c r="AS93" s="57" t="inlineStr">
        <is>
          <t>Jiangsu</t>
        </is>
      </c>
      <c r="AT93" s="58" t="inlineStr">
        <is>
          <t>214426</t>
        </is>
      </c>
      <c r="AU93" s="59" t="inlineStr">
        <is>
          <t>China</t>
        </is>
      </c>
      <c r="AV93" s="60" t="inlineStr">
        <is>
          <t>+86 (0)510 8612 5808</t>
        </is>
      </c>
      <c r="AW93" s="61" t="inlineStr">
        <is>
          <t/>
        </is>
      </c>
      <c r="AX93" s="62" t="inlineStr">
        <is>
          <t/>
        </is>
      </c>
      <c r="AY93" s="63" t="inlineStr">
        <is>
          <t>Asia</t>
        </is>
      </c>
      <c r="AZ93" s="64" t="inlineStr">
        <is>
          <t>East Asia</t>
        </is>
      </c>
      <c r="BA93" s="65" t="inlineStr">
        <is>
          <t>An undisclosed investor sold a minority stake in the company to Tencent (HKG: 00700) for RMB 10 billion on February 1, 2018. JD.com Inc and online clothing platform Vipshop Holdings Ltd will also be among the group that plans to acquire less than 10 percent of the company for 5 billion yuan.</t>
        </is>
      </c>
      <c r="BB93" s="66" t="inlineStr">
        <is>
          <t>Tencent Holdings</t>
        </is>
      </c>
      <c r="BC93" s="67" t="n">
        <v>1.0</v>
      </c>
      <c r="BD93" s="68" t="inlineStr">
        <is>
          <t/>
        </is>
      </c>
      <c r="BE93" s="69" t="inlineStr">
        <is>
          <t>Temasek Holdings, Trustbridge Partners</t>
        </is>
      </c>
      <c r="BF93" s="70" t="inlineStr">
        <is>
          <t/>
        </is>
      </c>
      <c r="BG93" s="71" t="inlineStr">
        <is>
          <t>Tencent Holdings(www.tencent.com)</t>
        </is>
      </c>
      <c r="BH93" s="72" t="inlineStr">
        <is>
          <t>Temasek Holdings(www.temasek.com.sg), Trustbridge Partners(www.trustbridgepartners.com)</t>
        </is>
      </c>
      <c r="BI93" s="73" t="inlineStr">
        <is>
          <t/>
        </is>
      </c>
      <c r="BJ93" s="74" t="inlineStr">
        <is>
          <t/>
        </is>
      </c>
      <c r="BK93" s="75" t="inlineStr">
        <is>
          <t/>
        </is>
      </c>
      <c r="BL93" s="76" t="inlineStr">
        <is>
          <t/>
        </is>
      </c>
      <c r="BM93" s="77" t="inlineStr">
        <is>
          <t/>
        </is>
      </c>
      <c r="BN93" s="78" t="inlineStr">
        <is>
          <t/>
        </is>
      </c>
      <c r="BO93" s="79" t="inlineStr">
        <is>
          <t/>
        </is>
      </c>
      <c r="BP93" s="80" t="inlineStr">
        <is>
          <t/>
        </is>
      </c>
      <c r="BQ93" s="81" t="inlineStr">
        <is>
          <t>PE Growth/Expansion</t>
        </is>
      </c>
      <c r="BR93" s="82" t="inlineStr">
        <is>
          <t/>
        </is>
      </c>
      <c r="BS93" s="83" t="inlineStr">
        <is>
          <t/>
        </is>
      </c>
      <c r="BT93" s="84" t="inlineStr">
        <is>
          <t>Private Equity</t>
        </is>
      </c>
      <c r="BU93" s="85" t="inlineStr">
        <is>
          <t/>
        </is>
      </c>
      <c r="BV93" s="86" t="inlineStr">
        <is>
          <t/>
        </is>
      </c>
      <c r="BW93" s="87" t="inlineStr">
        <is>
          <t/>
        </is>
      </c>
      <c r="BX93" s="88" t="inlineStr">
        <is>
          <t>Completed</t>
        </is>
      </c>
      <c r="BY93" s="89" t="n">
        <v>43132.0</v>
      </c>
      <c r="BZ93" s="90" t="n">
        <v>1582.38</v>
      </c>
      <c r="CA93" s="91" t="inlineStr">
        <is>
          <t>Actual</t>
        </is>
      </c>
      <c r="CB93" s="92" t="inlineStr">
        <is>
          <t/>
        </is>
      </c>
      <c r="CC93" s="93" t="inlineStr">
        <is>
          <t/>
        </is>
      </c>
      <c r="CD93" s="94" t="inlineStr">
        <is>
          <t>Secondary Transaction - Private</t>
        </is>
      </c>
      <c r="CE93" s="95" t="inlineStr">
        <is>
          <t/>
        </is>
      </c>
      <c r="CF93" s="96" t="inlineStr">
        <is>
          <t/>
        </is>
      </c>
      <c r="CG93" s="97" t="inlineStr">
        <is>
          <t>Corporate</t>
        </is>
      </c>
      <c r="CH93" s="98" t="inlineStr">
        <is>
          <t/>
        </is>
      </c>
      <c r="CI93" s="99" t="inlineStr">
        <is>
          <t/>
        </is>
      </c>
      <c r="CJ93" s="100" t="inlineStr">
        <is>
          <t/>
        </is>
      </c>
      <c r="CK93" s="101" t="inlineStr">
        <is>
          <t>Completed</t>
        </is>
      </c>
      <c r="CL93" s="102" t="inlineStr">
        <is>
          <t/>
        </is>
      </c>
      <c r="CM93" s="103" t="inlineStr">
        <is>
          <t/>
        </is>
      </c>
      <c r="CN93" s="104" t="n">
        <v>0.02</v>
      </c>
      <c r="CO93" s="105" t="n">
        <v>79.0</v>
      </c>
      <c r="CP93" s="106" t="n">
        <v>0.03</v>
      </c>
      <c r="CQ93" s="107" t="n">
        <v>418.19</v>
      </c>
      <c r="CR93" s="108" t="n">
        <v>0.02</v>
      </c>
      <c r="CS93" s="109" t="n">
        <v>86.0</v>
      </c>
      <c r="CT93" s="110" t="inlineStr">
        <is>
          <t/>
        </is>
      </c>
      <c r="CU93" s="111" t="inlineStr">
        <is>
          <t/>
        </is>
      </c>
      <c r="CV93" s="112" t="inlineStr">
        <is>
          <t/>
        </is>
      </c>
      <c r="CW93" s="113" t="inlineStr">
        <is>
          <t/>
        </is>
      </c>
      <c r="CX93" s="114" t="n">
        <v>0.02</v>
      </c>
      <c r="CY93" s="115" t="n">
        <v>85.0</v>
      </c>
      <c r="CZ93" s="116" t="inlineStr">
        <is>
          <t/>
        </is>
      </c>
      <c r="DA93" s="117" t="inlineStr">
        <is>
          <t/>
        </is>
      </c>
      <c r="DB93" s="118" t="n">
        <v>46.88</v>
      </c>
      <c r="DC93" s="119" t="n">
        <v>98.0</v>
      </c>
      <c r="DD93" s="120" t="n">
        <v>11.5</v>
      </c>
      <c r="DE93" s="121" t="n">
        <v>32.52</v>
      </c>
      <c r="DF93" s="122" t="n">
        <v>46.88</v>
      </c>
      <c r="DG93" s="123" t="n">
        <v>98.0</v>
      </c>
      <c r="DH93" s="124" t="inlineStr">
        <is>
          <t/>
        </is>
      </c>
      <c r="DI93" s="125" t="inlineStr">
        <is>
          <t/>
        </is>
      </c>
      <c r="DJ93" s="126" t="inlineStr">
        <is>
          <t/>
        </is>
      </c>
      <c r="DK93" s="127" t="inlineStr">
        <is>
          <t/>
        </is>
      </c>
      <c r="DL93" s="128" t="n">
        <v>46.88</v>
      </c>
      <c r="DM93" s="129" t="n">
        <v>98.0</v>
      </c>
      <c r="DN93" s="130" t="inlineStr">
        <is>
          <t/>
        </is>
      </c>
      <c r="DO93" s="131" t="inlineStr">
        <is>
          <t/>
        </is>
      </c>
      <c r="DP93" s="132" t="n">
        <v>103.0</v>
      </c>
      <c r="DQ93" s="133" t="n">
        <v>-3.0</v>
      </c>
      <c r="DR93" s="134" t="n">
        <v>-2.83</v>
      </c>
      <c r="DS93" s="135" t="n">
        <v>1593.0</v>
      </c>
      <c r="DT93" s="136" t="n">
        <v>3.0</v>
      </c>
      <c r="DU93" s="137" t="n">
        <v>0.19</v>
      </c>
      <c r="DV93" s="138" t="inlineStr">
        <is>
          <t/>
        </is>
      </c>
      <c r="DW93" s="139" t="inlineStr">
        <is>
          <t/>
        </is>
      </c>
      <c r="DX93" s="140" t="inlineStr">
        <is>
          <t/>
        </is>
      </c>
      <c r="DY93" s="141" t="inlineStr">
        <is>
          <t>PitchBook Research</t>
        </is>
      </c>
      <c r="DZ93" s="142" t="n">
        <v>43491.0</v>
      </c>
      <c r="EA93" s="143" t="inlineStr">
        <is>
          <t/>
        </is>
      </c>
      <c r="EB93" s="144" t="inlineStr">
        <is>
          <t/>
        </is>
      </c>
      <c r="EC93" s="145" t="inlineStr">
        <is>
          <t/>
        </is>
      </c>
      <c r="ED93" s="547">
        <f>HYPERLINK("https://my.pitchbook.com?c=155949-13", "View company online")</f>
      </c>
    </row>
    <row r="94">
      <c r="A94" s="147" t="inlineStr">
        <is>
          <t>41269-78</t>
        </is>
      </c>
      <c r="B94" s="148" t="inlineStr">
        <is>
          <t>Caleres (NYS: CAL)</t>
        </is>
      </c>
      <c r="C94" s="149" t="inlineStr">
        <is>
          <t>Brown Shoe</t>
        </is>
      </c>
      <c r="D94" s="150" t="inlineStr">
        <is>
          <t/>
        </is>
      </c>
      <c r="E94" s="151" t="inlineStr">
        <is>
          <t>41269-78</t>
        </is>
      </c>
      <c r="F94" s="152" t="inlineStr">
        <is>
          <t>Caleres Inc is a footwear retailer in the United States. The company is engaged in the operation of retail shoe stores and e-commerce websites, as well as the design, sourcing and marketing of footwear for women and men. It offers products under Naturalizer, Dr. Scholl's, LifeStride, Ryka, and Franco Sarto brands. It operates over 1,100 retail shoe stores in the United States, Canada and Guam. Calares majorly derives its business from the United States.</t>
        </is>
      </c>
      <c r="G94" s="153" t="inlineStr">
        <is>
          <t>Consumer Products and Services (B2C)</t>
        </is>
      </c>
      <c r="H94" s="154" t="inlineStr">
        <is>
          <t>Apparel and Accessories</t>
        </is>
      </c>
      <c r="I94" s="155" t="inlineStr">
        <is>
          <t>Footwear</t>
        </is>
      </c>
      <c r="J94" s="156" t="inlineStr">
        <is>
          <t>Distributors/Wholesale (B2C), Footwear*</t>
        </is>
      </c>
      <c r="K94" s="157" t="inlineStr">
        <is>
          <t>Manufacturing</t>
        </is>
      </c>
      <c r="L94" s="158" t="inlineStr">
        <is>
          <t>footwear retail, footwear wholesale, jewelry and handbags</t>
        </is>
      </c>
      <c r="M94" s="159" t="inlineStr">
        <is>
          <t>Corporation</t>
        </is>
      </c>
      <c r="N94" s="160" t="inlineStr">
        <is>
          <t/>
        </is>
      </c>
      <c r="O94" s="161" t="inlineStr">
        <is>
          <t>Generating Revenue/Not Profitable</t>
        </is>
      </c>
      <c r="P94" s="162" t="inlineStr">
        <is>
          <t>Publicly Held</t>
        </is>
      </c>
      <c r="Q94" s="163" t="inlineStr">
        <is>
          <t>Debt Financed, Publicly Listed</t>
        </is>
      </c>
      <c r="R94" s="164" t="inlineStr">
        <is>
          <t>www.caleres.com</t>
        </is>
      </c>
      <c r="S94" s="165" t="n">
        <v>12020.0</v>
      </c>
      <c r="T94" s="166" t="inlineStr">
        <is>
          <t>1989: 28000, 1990: 28000, 1991: 27500, 1992: 25500, 1993: 25500, 1994: 22000, 1995: 14500, 1996: 11000, 1997: 11500, 1998: 11500, 1999: 11000, 2000: 11500, 2001: 11900, 2002: 11500, 2003: 12000, 2004: 11600, 2005: 12000, 2006: 12800, 2007: 12700, 2008: 13100, 2009: 12400, 2010: 12100, 2011: 13400, 2012: 15300, 2013: 14100, 2014: 11200, 2015: 11000, 2016: 11000, 2017: 12000, 2018: 12020</t>
        </is>
      </c>
      <c r="U94" s="167" t="inlineStr">
        <is>
          <t>NYS</t>
        </is>
      </c>
      <c r="V94" s="168" t="inlineStr">
        <is>
          <t>CAL</t>
        </is>
      </c>
      <c r="W94" s="169" t="n">
        <v>1878.0</v>
      </c>
      <c r="X94" s="170" t="inlineStr">
        <is>
          <t/>
        </is>
      </c>
      <c r="Y94" s="171" t="inlineStr">
        <is>
          <t/>
        </is>
      </c>
      <c r="Z94" s="172" t="inlineStr">
        <is>
          <t>News (New) , Filing (New) , Competitor (New) PVH</t>
        </is>
      </c>
      <c r="AA94" s="173" t="n">
        <v>2834.85</v>
      </c>
      <c r="AB94" s="174" t="n">
        <v>1156.34</v>
      </c>
      <c r="AC94" s="175" t="n">
        <v>-5.44</v>
      </c>
      <c r="AD94" s="176" t="n">
        <v>1738.12</v>
      </c>
      <c r="AE94" s="177" t="n">
        <v>12.52</v>
      </c>
      <c r="AF94" s="178" t="inlineStr">
        <is>
          <t>FY 2019</t>
        </is>
      </c>
      <c r="AG94" s="179" t="n">
        <v>12.52</v>
      </c>
      <c r="AH94" s="180" t="n">
        <v>1008.05</v>
      </c>
      <c r="AI94" s="181" t="n">
        <v>502.73</v>
      </c>
      <c r="AJ94" s="182" t="inlineStr">
        <is>
          <t>16180-93P</t>
        </is>
      </c>
      <c r="AK94" s="183" t="inlineStr">
        <is>
          <t>Kenneth Hannah</t>
        </is>
      </c>
      <c r="AL94" s="184" t="inlineStr">
        <is>
          <t>Chief Financial Officer &amp; Senior Vice President</t>
        </is>
      </c>
      <c r="AM94" s="185" t="inlineStr">
        <is>
          <t/>
        </is>
      </c>
      <c r="AN94" s="186" t="inlineStr">
        <is>
          <t>+1 (314) 854-4000</t>
        </is>
      </c>
      <c r="AO94" s="187" t="inlineStr">
        <is>
          <t>Saint Louis, MO</t>
        </is>
      </c>
      <c r="AP94" s="188" t="inlineStr">
        <is>
          <t>8300 Maryland Avenue</t>
        </is>
      </c>
      <c r="AQ94" s="189" t="inlineStr">
        <is>
          <t/>
        </is>
      </c>
      <c r="AR94" s="190" t="inlineStr">
        <is>
          <t>Saint Louis</t>
        </is>
      </c>
      <c r="AS94" s="191" t="inlineStr">
        <is>
          <t>Missouri</t>
        </is>
      </c>
      <c r="AT94" s="192" t="inlineStr">
        <is>
          <t>63105</t>
        </is>
      </c>
      <c r="AU94" s="193" t="inlineStr">
        <is>
          <t>United States</t>
        </is>
      </c>
      <c r="AV94" s="194" t="inlineStr">
        <is>
          <t>+1 (314) 854-4000</t>
        </is>
      </c>
      <c r="AW94" s="195" t="inlineStr">
        <is>
          <t/>
        </is>
      </c>
      <c r="AX94" s="196" t="inlineStr">
        <is>
          <t>info@brownshoe.com</t>
        </is>
      </c>
      <c r="AY94" s="197" t="inlineStr">
        <is>
          <t>Americas</t>
        </is>
      </c>
      <c r="AZ94" s="198" t="inlineStr">
        <is>
          <t>North America</t>
        </is>
      </c>
      <c r="BA94" s="199" t="inlineStr">
        <is>
          <t>The company (NYSE: CAL) received $50 million of revolving credit facility from Bank of America and Wells Fargo on December 18, 2014. Previously, the company raised an undisclosed amount in its initial public offering on the NYSE stock exchange under the ticker symbol of BWS on September 7, 1984.</t>
        </is>
      </c>
      <c r="BB94" s="200" t="inlineStr">
        <is>
          <t/>
        </is>
      </c>
      <c r="BC94" s="201" t="inlineStr">
        <is>
          <t/>
        </is>
      </c>
      <c r="BD94" s="202" t="inlineStr">
        <is>
          <t/>
        </is>
      </c>
      <c r="BE94" s="203" t="inlineStr">
        <is>
          <t/>
        </is>
      </c>
      <c r="BF94" s="204" t="inlineStr">
        <is>
          <t/>
        </is>
      </c>
      <c r="BG94" s="205" t="inlineStr">
        <is>
          <t/>
        </is>
      </c>
      <c r="BH94" s="206" t="inlineStr">
        <is>
          <t/>
        </is>
      </c>
      <c r="BI94" s="207" t="inlineStr">
        <is>
          <t/>
        </is>
      </c>
      <c r="BJ94" s="208" t="inlineStr">
        <is>
          <t>CL King &amp; Associates(Advisor: General)</t>
        </is>
      </c>
      <c r="BK94" s="209" t="inlineStr">
        <is>
          <t>Bank of America(Debt Financing), J.P. Morgan(Lead Manager or Arranger), Merrill Lynch Pierce Fenner &amp; Smith(Lead Manager or Arranger), SunTrust Banks(Lead Manager or Arranger), Wells Fargo(Debt Financing)</t>
        </is>
      </c>
      <c r="BL94" s="210" t="n">
        <v>30932.0</v>
      </c>
      <c r="BM94" s="211" t="inlineStr">
        <is>
          <t/>
        </is>
      </c>
      <c r="BN94" s="212" t="inlineStr">
        <is>
          <t/>
        </is>
      </c>
      <c r="BO94" s="213" t="inlineStr">
        <is>
          <t/>
        </is>
      </c>
      <c r="BP94" s="214" t="inlineStr">
        <is>
          <t/>
        </is>
      </c>
      <c r="BQ94" s="215" t="inlineStr">
        <is>
          <t>IPO</t>
        </is>
      </c>
      <c r="BR94" s="216" t="inlineStr">
        <is>
          <t/>
        </is>
      </c>
      <c r="BS94" s="217" t="inlineStr">
        <is>
          <t/>
        </is>
      </c>
      <c r="BT94" s="218" t="inlineStr">
        <is>
          <t>Public Investment</t>
        </is>
      </c>
      <c r="BU94" s="219" t="inlineStr">
        <is>
          <t/>
        </is>
      </c>
      <c r="BV94" s="220" t="inlineStr">
        <is>
          <t/>
        </is>
      </c>
      <c r="BW94" s="221" t="inlineStr">
        <is>
          <t/>
        </is>
      </c>
      <c r="BX94" s="222" t="inlineStr">
        <is>
          <t>Completed</t>
        </is>
      </c>
      <c r="BY94" s="223" t="n">
        <v>41991.0</v>
      </c>
      <c r="BZ94" s="224" t="inlineStr">
        <is>
          <t/>
        </is>
      </c>
      <c r="CA94" s="225" t="inlineStr">
        <is>
          <t/>
        </is>
      </c>
      <c r="CB94" s="226" t="inlineStr">
        <is>
          <t/>
        </is>
      </c>
      <c r="CC94" s="227" t="inlineStr">
        <is>
          <t/>
        </is>
      </c>
      <c r="CD94" s="228" t="inlineStr">
        <is>
          <t>Debt - General</t>
        </is>
      </c>
      <c r="CE94" s="229" t="inlineStr">
        <is>
          <t/>
        </is>
      </c>
      <c r="CF94" s="230" t="inlineStr">
        <is>
          <t/>
        </is>
      </c>
      <c r="CG94" s="231" t="inlineStr">
        <is>
          <t>Debt</t>
        </is>
      </c>
      <c r="CH94" s="232" t="inlineStr">
        <is>
          <t>Revolving Credit Line</t>
        </is>
      </c>
      <c r="CI94" s="233" t="inlineStr">
        <is>
          <t/>
        </is>
      </c>
      <c r="CJ94" s="234" t="inlineStr">
        <is>
          <t/>
        </is>
      </c>
      <c r="CK94" s="235" t="inlineStr">
        <is>
          <t>Completed</t>
        </is>
      </c>
      <c r="CL94" s="236" t="n">
        <v>41991.0</v>
      </c>
      <c r="CM94" s="237" t="n">
        <v>50.0</v>
      </c>
      <c r="CN94" s="238" t="n">
        <v>-0.44</v>
      </c>
      <c r="CO94" s="239" t="n">
        <v>7.0</v>
      </c>
      <c r="CP94" s="240" t="n">
        <v>0.07</v>
      </c>
      <c r="CQ94" s="241" t="n">
        <v>13.5</v>
      </c>
      <c r="CR94" s="242" t="n">
        <v>-0.97</v>
      </c>
      <c r="CS94" s="243" t="n">
        <v>6.0</v>
      </c>
      <c r="CT94" s="244" t="n">
        <v>0.09</v>
      </c>
      <c r="CU94" s="245" t="n">
        <v>71.0</v>
      </c>
      <c r="CV94" s="246" t="n">
        <v>-2.04</v>
      </c>
      <c r="CW94" s="247" t="n">
        <v>20.0</v>
      </c>
      <c r="CX94" s="248" t="n">
        <v>0.1</v>
      </c>
      <c r="CY94" s="249" t="n">
        <v>86.0</v>
      </c>
      <c r="CZ94" s="250" t="n">
        <v>0.12</v>
      </c>
      <c r="DA94" s="251" t="n">
        <v>79.0</v>
      </c>
      <c r="DB94" s="252" t="n">
        <v>3.45</v>
      </c>
      <c r="DC94" s="253" t="n">
        <v>78.0</v>
      </c>
      <c r="DD94" s="254" t="n">
        <v>0.3</v>
      </c>
      <c r="DE94" s="255" t="n">
        <v>9.65</v>
      </c>
      <c r="DF94" s="256" t="n">
        <v>4.36</v>
      </c>
      <c r="DG94" s="257" t="n">
        <v>81.0</v>
      </c>
      <c r="DH94" s="258" t="n">
        <v>2.53</v>
      </c>
      <c r="DI94" s="259" t="n">
        <v>67.0</v>
      </c>
      <c r="DJ94" s="260" t="n">
        <v>4.2</v>
      </c>
      <c r="DK94" s="261" t="n">
        <v>76.0</v>
      </c>
      <c r="DL94" s="262" t="n">
        <v>4.53</v>
      </c>
      <c r="DM94" s="263" t="n">
        <v>80.0</v>
      </c>
      <c r="DN94" s="264" t="n">
        <v>1.7</v>
      </c>
      <c r="DO94" s="265" t="n">
        <v>61.0</v>
      </c>
      <c r="DP94" s="266" t="n">
        <v>2994.0</v>
      </c>
      <c r="DQ94" s="267" t="n">
        <v>0.0</v>
      </c>
      <c r="DR94" s="268" t="n">
        <v>0.0</v>
      </c>
      <c r="DS94" s="269" t="n">
        <v>152.0</v>
      </c>
      <c r="DT94" s="270" t="n">
        <v>4.0</v>
      </c>
      <c r="DU94" s="271" t="n">
        <v>2.7</v>
      </c>
      <c r="DV94" s="272" t="n">
        <v>609.0</v>
      </c>
      <c r="DW94" s="273" t="n">
        <v>2.0</v>
      </c>
      <c r="DX94" s="274" t="n">
        <v>0.33</v>
      </c>
      <c r="DY94" s="275" t="inlineStr">
        <is>
          <t>PitchBook Research</t>
        </is>
      </c>
      <c r="DZ94" s="276" t="n">
        <v>43547.0</v>
      </c>
      <c r="EA94" s="277" t="inlineStr">
        <is>
          <t/>
        </is>
      </c>
      <c r="EB94" s="278" t="inlineStr">
        <is>
          <t/>
        </is>
      </c>
      <c r="EC94" s="279" t="inlineStr">
        <is>
          <t/>
        </is>
      </c>
      <c r="ED94" s="548">
        <f>HYPERLINK("https://my.pitchbook.com?c=41269-78", "View company online")</f>
      </c>
    </row>
    <row r="95">
      <c r="A95" s="13" t="inlineStr">
        <is>
          <t>41252-14</t>
        </is>
      </c>
      <c r="B95" s="14" t="inlineStr">
        <is>
          <t>Columbia Sportswear (NAS: COLM)</t>
        </is>
      </c>
      <c r="C95" s="15" t="inlineStr">
        <is>
          <t/>
        </is>
      </c>
      <c r="D95" s="16" t="inlineStr">
        <is>
          <t>Columbia</t>
        </is>
      </c>
      <c r="E95" s="17" t="inlineStr">
        <is>
          <t>41252-14</t>
        </is>
      </c>
      <c r="F95" s="18" t="inlineStr">
        <is>
          <t>Columbia makes outdoor and active-lifestyle apparel, footwear, equipment, and accessories that it sells under four primary brands: Columbia, Sorel, Mountain Hardwear, and prAna. The majority of sales are in the United States, but the company also has significant sales in its three other geographic segments: Latin American and Asia-Pacific; Europe, Middle East, and Africa; and Canada. Most sales are through wholesale channels, including sporting goods and department stores, but the company also operates its own branded stores in each of its geographic segments. Columbia sources products from around the world and uses contract manufacturers outside the United States, predominantly in Asia, to manufacture its products.</t>
        </is>
      </c>
      <c r="G95" s="19" t="inlineStr">
        <is>
          <t>Consumer Products and Services (B2C)</t>
        </is>
      </c>
      <c r="H95" s="20" t="inlineStr">
        <is>
          <t>Apparel and Accessories</t>
        </is>
      </c>
      <c r="I95" s="21" t="inlineStr">
        <is>
          <t>Clothing</t>
        </is>
      </c>
      <c r="J95" s="22" t="inlineStr">
        <is>
          <t>Clothing*, Distributors/Wholesale (B2C), Footwear</t>
        </is>
      </c>
      <c r="K95" s="23" t="inlineStr">
        <is>
          <t>Manufacturing</t>
        </is>
      </c>
      <c r="L95" s="24" t="inlineStr">
        <is>
          <t>outdoor apparel, sportswear distributor</t>
        </is>
      </c>
      <c r="M95" s="25" t="inlineStr">
        <is>
          <t>Corporation</t>
        </is>
      </c>
      <c r="N95" s="26" t="n">
        <v>100.8</v>
      </c>
      <c r="O95" s="27" t="inlineStr">
        <is>
          <t>Profitable</t>
        </is>
      </c>
      <c r="P95" s="28" t="inlineStr">
        <is>
          <t>Publicly Held</t>
        </is>
      </c>
      <c r="Q95" s="29" t="inlineStr">
        <is>
          <t>Publicly Listed</t>
        </is>
      </c>
      <c r="R95" s="30" t="inlineStr">
        <is>
          <t/>
        </is>
      </c>
      <c r="S95" s="31" t="n">
        <v>6511.0</v>
      </c>
      <c r="T95" s="32" t="inlineStr">
        <is>
          <t>1997: 1234, 1998: 1357, 1999: 1379, 2000: 1445, 2001: 1636, 2002: 1809, 2003: 2092, 2004: 2387, 2005: 2712, 2006: 2810, 2007: 3057, 2008: 3163, 2009: 3113, 2010: 3626, 2011: 4161, 2012: 4166, 2013: 4320, 2014: 5326, 2015: 5978, 2016: 6023, 2017: 6188, 2018: 6511</t>
        </is>
      </c>
      <c r="U95" s="33" t="inlineStr">
        <is>
          <t>NAS</t>
        </is>
      </c>
      <c r="V95" s="34" t="inlineStr">
        <is>
          <t>COLM</t>
        </is>
      </c>
      <c r="W95" s="35" t="n">
        <v>1938.0</v>
      </c>
      <c r="X95" s="36" t="inlineStr">
        <is>
          <t/>
        </is>
      </c>
      <c r="Y95" s="37" t="inlineStr">
        <is>
          <t/>
        </is>
      </c>
      <c r="Z95" s="38" t="inlineStr">
        <is>
          <t>News (New) </t>
        </is>
      </c>
      <c r="AA95" s="39" t="n">
        <v>2802.33</v>
      </c>
      <c r="AB95" s="40" t="n">
        <v>1386.35</v>
      </c>
      <c r="AC95" s="41" t="n">
        <v>268.26</v>
      </c>
      <c r="AD95" s="42" t="n">
        <v>5375.71</v>
      </c>
      <c r="AE95" s="43" t="n">
        <v>409.07</v>
      </c>
      <c r="AF95" s="44" t="inlineStr">
        <is>
          <t>FY 2018</t>
        </is>
      </c>
      <c r="AG95" s="45" t="n">
        <v>350.84</v>
      </c>
      <c r="AH95" s="46" t="n">
        <v>6894.11</v>
      </c>
      <c r="AI95" s="47" t="n">
        <v>-700.63</v>
      </c>
      <c r="AJ95" s="48" t="inlineStr">
        <is>
          <t>94001-86P</t>
        </is>
      </c>
      <c r="AK95" s="49" t="inlineStr">
        <is>
          <t>Stuart Redsun</t>
        </is>
      </c>
      <c r="AL95" s="50" t="inlineStr">
        <is>
          <t>Chief Marketing Officer</t>
        </is>
      </c>
      <c r="AM95" s="51" t="inlineStr">
        <is>
          <t>sredsun@columbia.com</t>
        </is>
      </c>
      <c r="AN95" s="52" t="inlineStr">
        <is>
          <t>+1 (503) 985-4000</t>
        </is>
      </c>
      <c r="AO95" s="53" t="inlineStr">
        <is>
          <t>Portland, OR</t>
        </is>
      </c>
      <c r="AP95" s="54" t="inlineStr">
        <is>
          <t>14375 Northwest Science Park Drive</t>
        </is>
      </c>
      <c r="AQ95" s="55" t="inlineStr">
        <is>
          <t/>
        </is>
      </c>
      <c r="AR95" s="56" t="inlineStr">
        <is>
          <t>Portland</t>
        </is>
      </c>
      <c r="AS95" s="57" t="inlineStr">
        <is>
          <t>Oregon</t>
        </is>
      </c>
      <c r="AT95" s="58" t="inlineStr">
        <is>
          <t>97229</t>
        </is>
      </c>
      <c r="AU95" s="59" t="inlineStr">
        <is>
          <t>United States</t>
        </is>
      </c>
      <c r="AV95" s="60" t="inlineStr">
        <is>
          <t>+1 (503) 985-4000</t>
        </is>
      </c>
      <c r="AW95" s="61" t="inlineStr">
        <is>
          <t/>
        </is>
      </c>
      <c r="AX95" s="62" t="inlineStr">
        <is>
          <t>cr@columbia.com</t>
        </is>
      </c>
      <c r="AY95" s="63" t="inlineStr">
        <is>
          <t>Americas</t>
        </is>
      </c>
      <c r="AZ95" s="64" t="inlineStr">
        <is>
          <t>North America</t>
        </is>
      </c>
      <c r="BA95" s="65" t="inlineStr">
        <is>
          <t>The company raised $100.8 million in its initial public offering on the Nasdaq stock exchange under the ticker symbol of COLM on March 27, 1998. A total of 5,600,000 shares were sold at $18 per share. After the offering, there was a total of 24,392,176 outstanding shares at $18 per share, valuing the company at $439.06 million. The underwriters were granted an option to purchase up to an additional 672,000 shares from the company to cover over-allotments, if any.</t>
        </is>
      </c>
      <c r="BB95" s="66" t="inlineStr">
        <is>
          <t/>
        </is>
      </c>
      <c r="BC95" s="67" t="inlineStr">
        <is>
          <t/>
        </is>
      </c>
      <c r="BD95" s="68" t="inlineStr">
        <is>
          <t/>
        </is>
      </c>
      <c r="BE95" s="69" t="inlineStr">
        <is>
          <t/>
        </is>
      </c>
      <c r="BF95" s="70" t="inlineStr">
        <is>
          <t/>
        </is>
      </c>
      <c r="BG95" s="71" t="inlineStr">
        <is>
          <t/>
        </is>
      </c>
      <c r="BH95" s="72" t="inlineStr">
        <is>
          <t/>
        </is>
      </c>
      <c r="BI95" s="73" t="inlineStr">
        <is>
          <t/>
        </is>
      </c>
      <c r="BJ95" s="74" t="inlineStr">
        <is>
          <t/>
        </is>
      </c>
      <c r="BK95" s="75" t="inlineStr">
        <is>
          <t/>
        </is>
      </c>
      <c r="BL95" s="76" t="n">
        <v>35881.0</v>
      </c>
      <c r="BM95" s="77" t="n">
        <v>100.8</v>
      </c>
      <c r="BN95" s="78" t="inlineStr">
        <is>
          <t>Actual</t>
        </is>
      </c>
      <c r="BO95" s="79" t="n">
        <v>439.06</v>
      </c>
      <c r="BP95" s="80" t="inlineStr">
        <is>
          <t>Estimated</t>
        </is>
      </c>
      <c r="BQ95" s="81" t="inlineStr">
        <is>
          <t>IPO</t>
        </is>
      </c>
      <c r="BR95" s="82" t="inlineStr">
        <is>
          <t/>
        </is>
      </c>
      <c r="BS95" s="83" t="inlineStr">
        <is>
          <t/>
        </is>
      </c>
      <c r="BT95" s="84" t="inlineStr">
        <is>
          <t>Public Investment</t>
        </is>
      </c>
      <c r="BU95" s="85" t="inlineStr">
        <is>
          <t/>
        </is>
      </c>
      <c r="BV95" s="86" t="inlineStr">
        <is>
          <t/>
        </is>
      </c>
      <c r="BW95" s="87" t="inlineStr">
        <is>
          <t/>
        </is>
      </c>
      <c r="BX95" s="88" t="inlineStr">
        <is>
          <t>Completed</t>
        </is>
      </c>
      <c r="BY95" s="89" t="n">
        <v>35881.0</v>
      </c>
      <c r="BZ95" s="90" t="n">
        <v>100.8</v>
      </c>
      <c r="CA95" s="91" t="inlineStr">
        <is>
          <t>Actual</t>
        </is>
      </c>
      <c r="CB95" s="92" t="n">
        <v>439.06</v>
      </c>
      <c r="CC95" s="93" t="inlineStr">
        <is>
          <t>Estimated</t>
        </is>
      </c>
      <c r="CD95" s="94" t="inlineStr">
        <is>
          <t>IPO</t>
        </is>
      </c>
      <c r="CE95" s="95" t="inlineStr">
        <is>
          <t/>
        </is>
      </c>
      <c r="CF95" s="96" t="inlineStr">
        <is>
          <t/>
        </is>
      </c>
      <c r="CG95" s="97" t="inlineStr">
        <is>
          <t>Public Investment</t>
        </is>
      </c>
      <c r="CH95" s="98" t="inlineStr">
        <is>
          <t/>
        </is>
      </c>
      <c r="CI95" s="99" t="inlineStr">
        <is>
          <t/>
        </is>
      </c>
      <c r="CJ95" s="100" t="inlineStr">
        <is>
          <t/>
        </is>
      </c>
      <c r="CK95" s="101" t="inlineStr">
        <is>
          <t>Completed</t>
        </is>
      </c>
      <c r="CL95" s="102" t="inlineStr">
        <is>
          <t/>
        </is>
      </c>
      <c r="CM95" s="103" t="inlineStr">
        <is>
          <t/>
        </is>
      </c>
      <c r="CN95" s="104" t="n">
        <v>0.64</v>
      </c>
      <c r="CO95" s="105" t="n">
        <v>96.0</v>
      </c>
      <c r="CP95" s="106" t="n">
        <v>0.21</v>
      </c>
      <c r="CQ95" s="107" t="n">
        <v>47.83</v>
      </c>
      <c r="CR95" s="108" t="n">
        <v>1.21</v>
      </c>
      <c r="CS95" s="109" t="n">
        <v>97.0</v>
      </c>
      <c r="CT95" s="110" t="n">
        <v>0.07</v>
      </c>
      <c r="CU95" s="111" t="n">
        <v>68.0</v>
      </c>
      <c r="CV95" s="112" t="n">
        <v>2.34</v>
      </c>
      <c r="CW95" s="113" t="n">
        <v>92.0</v>
      </c>
      <c r="CX95" s="114" t="n">
        <v>0.07</v>
      </c>
      <c r="CY95" s="115" t="n">
        <v>85.0</v>
      </c>
      <c r="CZ95" s="116" t="n">
        <v>0.07</v>
      </c>
      <c r="DA95" s="117" t="n">
        <v>72.0</v>
      </c>
      <c r="DB95" s="118" t="n">
        <v>608.61</v>
      </c>
      <c r="DC95" s="119" t="n">
        <v>100.0</v>
      </c>
      <c r="DD95" s="120" t="n">
        <v>214.74</v>
      </c>
      <c r="DE95" s="121" t="n">
        <v>54.52</v>
      </c>
      <c r="DF95" s="122" t="n">
        <v>872.16</v>
      </c>
      <c r="DG95" s="123" t="n">
        <v>100.0</v>
      </c>
      <c r="DH95" s="124" t="n">
        <v>345.05</v>
      </c>
      <c r="DI95" s="125" t="n">
        <v>99.0</v>
      </c>
      <c r="DJ95" s="126" t="n">
        <v>1417.05</v>
      </c>
      <c r="DK95" s="127" t="n">
        <v>100.0</v>
      </c>
      <c r="DL95" s="128" t="n">
        <v>327.26</v>
      </c>
      <c r="DM95" s="129" t="n">
        <v>100.0</v>
      </c>
      <c r="DN95" s="130" t="n">
        <v>345.05</v>
      </c>
      <c r="DO95" s="131" t="n">
        <v>100.0</v>
      </c>
      <c r="DP95" s="132" t="n">
        <v>1017583.0</v>
      </c>
      <c r="DQ95" s="133" t="n">
        <v>-65025.0</v>
      </c>
      <c r="DR95" s="134" t="n">
        <v>-6.01</v>
      </c>
      <c r="DS95" s="135" t="n">
        <v>11045.0</v>
      </c>
      <c r="DT95" s="136" t="n">
        <v>155.0</v>
      </c>
      <c r="DU95" s="137" t="n">
        <v>1.42</v>
      </c>
      <c r="DV95" s="138" t="n">
        <v>123828.0</v>
      </c>
      <c r="DW95" s="139" t="n">
        <v>68.0</v>
      </c>
      <c r="DX95" s="140" t="n">
        <v>0.05</v>
      </c>
      <c r="DY95" s="141" t="inlineStr">
        <is>
          <t>PitchBook Research</t>
        </is>
      </c>
      <c r="DZ95" s="142" t="n">
        <v>43540.0</v>
      </c>
      <c r="EA95" s="143" t="n">
        <v>439.06</v>
      </c>
      <c r="EB95" s="144" t="n">
        <v>35881.0</v>
      </c>
      <c r="EC95" s="145" t="inlineStr">
        <is>
          <t>IPO</t>
        </is>
      </c>
      <c r="ED95" s="547">
        <f>HYPERLINK("https://my.pitchbook.com?c=41252-14", "View company online")</f>
      </c>
    </row>
    <row r="96">
      <c r="A96" s="147" t="inlineStr">
        <is>
          <t>11998-81</t>
        </is>
      </c>
      <c r="B96" s="148" t="inlineStr">
        <is>
          <t>Gitanjali Gems (BOM: 532715)</t>
        </is>
      </c>
      <c r="C96" s="149" t="inlineStr">
        <is>
          <t/>
        </is>
      </c>
      <c r="D96" s="150" t="inlineStr">
        <is>
          <t>GGL</t>
        </is>
      </c>
      <c r="E96" s="151" t="inlineStr">
        <is>
          <t>11998-81</t>
        </is>
      </c>
      <c r="F96" s="152" t="inlineStr">
        <is>
          <t>Gitanjali Gems Ltd is an integrated branded jewelry manufacturer and retailer. The business activity of the group includes rough diamond sourcing, cutting, polishing, and distribution, to diamond and gold jewelry. It has as an extensive global retail network of about 3,000 points of sale including own stores, shop-in-shops, retailers and franchise outlets. Geographically, the group operates through Indian market; however, it is also expanding its presence across the globe and holds operation in USA, UK, Belgium, Italy, the Middle East, China, Singapore, and Japan. In addition, the group is also engaged in infratech, financial securities, and investment activities.</t>
        </is>
      </c>
      <c r="G96" s="153" t="inlineStr">
        <is>
          <t>Consumer Products and Services (B2C)</t>
        </is>
      </c>
      <c r="H96" s="154" t="inlineStr">
        <is>
          <t>Apparel and Accessories</t>
        </is>
      </c>
      <c r="I96" s="155" t="inlineStr">
        <is>
          <t>Accessories</t>
        </is>
      </c>
      <c r="J96" s="156" t="inlineStr">
        <is>
          <t>Accessories*, Luxury Goods</t>
        </is>
      </c>
      <c r="K96" s="157" t="inlineStr">
        <is>
          <t>Manufacturing</t>
        </is>
      </c>
      <c r="L96" s="158" t="inlineStr">
        <is>
          <t>accessories and lifestyle product, diamond jewelry, gold jewelry, jewelry</t>
        </is>
      </c>
      <c r="M96" s="159" t="inlineStr">
        <is>
          <t>Corporation</t>
        </is>
      </c>
      <c r="N96" s="160" t="n">
        <v>74.9</v>
      </c>
      <c r="O96" s="161" t="inlineStr">
        <is>
          <t>Profitable</t>
        </is>
      </c>
      <c r="P96" s="162" t="inlineStr">
        <is>
          <t>Publicly Held</t>
        </is>
      </c>
      <c r="Q96" s="163" t="inlineStr">
        <is>
          <t>Private Equity, Publicly Listed</t>
        </is>
      </c>
      <c r="R96" s="164" t="inlineStr">
        <is>
          <t>www.gitanjaligroup.com</t>
        </is>
      </c>
      <c r="S96" s="165" t="n">
        <v>648.0</v>
      </c>
      <c r="T96" s="166" t="inlineStr">
        <is>
          <t>2012: 6400, 2015: 512, 2016: 423, 2017: 648</t>
        </is>
      </c>
      <c r="U96" s="167" t="inlineStr">
        <is>
          <t>BOM</t>
        </is>
      </c>
      <c r="V96" s="168" t="inlineStr">
        <is>
          <t>532715</t>
        </is>
      </c>
      <c r="W96" s="169" t="n">
        <v>1966.0</v>
      </c>
      <c r="X96" s="170" t="inlineStr">
        <is>
          <t/>
        </is>
      </c>
      <c r="Y96" s="171" t="inlineStr">
        <is>
          <t/>
        </is>
      </c>
      <c r="Z96" s="172" t="inlineStr">
        <is>
          <t/>
        </is>
      </c>
      <c r="AA96" s="173" t="n">
        <v>2779.43</v>
      </c>
      <c r="AB96" s="174" t="n">
        <v>196.29</v>
      </c>
      <c r="AC96" s="175" t="n">
        <v>29.85</v>
      </c>
      <c r="AD96" s="176" t="n">
        <v>118.6</v>
      </c>
      <c r="AE96" s="177" t="n">
        <v>39.31</v>
      </c>
      <c r="AF96" s="178" t="inlineStr">
        <is>
          <t>TTM 2Q2018</t>
        </is>
      </c>
      <c r="AG96" s="179" t="inlineStr">
        <is>
          <t/>
        </is>
      </c>
      <c r="AH96" s="180" t="n">
        <v>1.82</v>
      </c>
      <c r="AI96" s="181" t="inlineStr">
        <is>
          <t/>
        </is>
      </c>
      <c r="AJ96" s="182" t="inlineStr">
        <is>
          <t>69157-09P</t>
        </is>
      </c>
      <c r="AK96" s="183" t="inlineStr">
        <is>
          <t>Sunil Varma</t>
        </is>
      </c>
      <c r="AL96" s="184" t="inlineStr">
        <is>
          <t>Co-Chief Financial Officer</t>
        </is>
      </c>
      <c r="AM96" s="185" t="inlineStr">
        <is>
          <t>svarma@gitanjaligroup.com</t>
        </is>
      </c>
      <c r="AN96" s="186" t="inlineStr">
        <is>
          <t>+91 (0)22 2363 0272</t>
        </is>
      </c>
      <c r="AO96" s="187" t="inlineStr">
        <is>
          <t>Mumbai, India</t>
        </is>
      </c>
      <c r="AP96" s="188" t="inlineStr">
        <is>
          <t>801 802 Prasad Chambers</t>
        </is>
      </c>
      <c r="AQ96" s="189" t="inlineStr">
        <is>
          <t>Opposite Opera House</t>
        </is>
      </c>
      <c r="AR96" s="190" t="inlineStr">
        <is>
          <t>Mumbai</t>
        </is>
      </c>
      <c r="AS96" s="191" t="inlineStr">
        <is>
          <t>Maharashtra</t>
        </is>
      </c>
      <c r="AT96" s="192" t="inlineStr">
        <is>
          <t>400004</t>
        </is>
      </c>
      <c r="AU96" s="193" t="inlineStr">
        <is>
          <t>India</t>
        </is>
      </c>
      <c r="AV96" s="194" t="inlineStr">
        <is>
          <t>+91 (0)22 2363 0272</t>
        </is>
      </c>
      <c r="AW96" s="195" t="inlineStr">
        <is>
          <t>+91 (0)22 2363 0363</t>
        </is>
      </c>
      <c r="AX96" s="196" t="inlineStr">
        <is>
          <t/>
        </is>
      </c>
      <c r="AY96" s="197" t="inlineStr">
        <is>
          <t>Asia</t>
        </is>
      </c>
      <c r="AZ96" s="198" t="inlineStr">
        <is>
          <t>South Asia</t>
        </is>
      </c>
      <c r="BA96" s="199" t="inlineStr">
        <is>
          <t>The company was in talks to be acquired by Advent International, APax Partners, Brand Capital, Bain Capital, CX Partners, L Capital and The Blackstone Group on January 5, 2011 for $100 million. Subsequently the deal was cancelled. The company is no longer actively tracked by PitchBook.</t>
        </is>
      </c>
      <c r="BB96" s="200" t="inlineStr">
        <is>
          <t>Brand Capital</t>
        </is>
      </c>
      <c r="BC96" s="201" t="n">
        <v>1.0</v>
      </c>
      <c r="BD96" s="202" t="inlineStr">
        <is>
          <t/>
        </is>
      </c>
      <c r="BE96" s="203" t="inlineStr">
        <is>
          <t/>
        </is>
      </c>
      <c r="BF96" s="204" t="inlineStr">
        <is>
          <t>Advent International, Apax Partners, Bain Capital, CX Partners, L Capital, The Blackstone Group</t>
        </is>
      </c>
      <c r="BG96" s="205" t="inlineStr">
        <is>
          <t>Brand Capital(www.brandcapital.co.in)</t>
        </is>
      </c>
      <c r="BH96" s="206" t="inlineStr">
        <is>
          <t/>
        </is>
      </c>
      <c r="BI96" s="207" t="inlineStr">
        <is>
          <t>Advent International(www.adventinternational.com), Apax Partners(www.apax.com), Bain Capital(www.baincapital.com), CX Partners(www.cxpartners.in), The Blackstone Group(www.blackstone.com)</t>
        </is>
      </c>
      <c r="BJ96" s="208" t="inlineStr">
        <is>
          <t>CapitalSquare Group(Advisor: General)</t>
        </is>
      </c>
      <c r="BK96" s="209" t="inlineStr">
        <is>
          <t>Keynote Corporate Services(Advisor: General)</t>
        </is>
      </c>
      <c r="BL96" s="210" t="n">
        <v>38764.0</v>
      </c>
      <c r="BM96" s="211" t="n">
        <v>74.9</v>
      </c>
      <c r="BN96" s="212" t="inlineStr">
        <is>
          <t>Actual</t>
        </is>
      </c>
      <c r="BO96" s="213" t="inlineStr">
        <is>
          <t/>
        </is>
      </c>
      <c r="BP96" s="214" t="inlineStr">
        <is>
          <t/>
        </is>
      </c>
      <c r="BQ96" s="215" t="inlineStr">
        <is>
          <t>IPO</t>
        </is>
      </c>
      <c r="BR96" s="216" t="inlineStr">
        <is>
          <t/>
        </is>
      </c>
      <c r="BS96" s="217" t="inlineStr">
        <is>
          <t/>
        </is>
      </c>
      <c r="BT96" s="218" t="inlineStr">
        <is>
          <t>Public Investment</t>
        </is>
      </c>
      <c r="BU96" s="219" t="inlineStr">
        <is>
          <t/>
        </is>
      </c>
      <c r="BV96" s="220" t="inlineStr">
        <is>
          <t/>
        </is>
      </c>
      <c r="BW96" s="221" t="inlineStr">
        <is>
          <t/>
        </is>
      </c>
      <c r="BX96" s="222" t="inlineStr">
        <is>
          <t>Completed</t>
        </is>
      </c>
      <c r="BY96" s="223" t="n">
        <v>40548.0</v>
      </c>
      <c r="BZ96" s="224" t="n">
        <v>100.0</v>
      </c>
      <c r="CA96" s="225" t="inlineStr">
        <is>
          <t>Actual</t>
        </is>
      </c>
      <c r="CB96" s="226" t="n">
        <v>100.0</v>
      </c>
      <c r="CC96" s="227" t="inlineStr">
        <is>
          <t/>
        </is>
      </c>
      <c r="CD96" s="228" t="inlineStr">
        <is>
          <t>Buyout/LBO</t>
        </is>
      </c>
      <c r="CE96" s="229" t="inlineStr">
        <is>
          <t/>
        </is>
      </c>
      <c r="CF96" s="230" t="inlineStr">
        <is>
          <t/>
        </is>
      </c>
      <c r="CG96" s="231" t="inlineStr">
        <is>
          <t>Private Equity</t>
        </is>
      </c>
      <c r="CH96" s="232" t="inlineStr">
        <is>
          <t/>
        </is>
      </c>
      <c r="CI96" s="233" t="inlineStr">
        <is>
          <t/>
        </is>
      </c>
      <c r="CJ96" s="234" t="inlineStr">
        <is>
          <t/>
        </is>
      </c>
      <c r="CK96" s="235" t="inlineStr">
        <is>
          <t>Failed/Cancelled</t>
        </is>
      </c>
      <c r="CL96" s="236" t="inlineStr">
        <is>
          <t/>
        </is>
      </c>
      <c r="CM96" s="237" t="inlineStr">
        <is>
          <t/>
        </is>
      </c>
      <c r="CN96" s="238" t="n">
        <v>0.06</v>
      </c>
      <c r="CO96" s="239" t="n">
        <v>82.0</v>
      </c>
      <c r="CP96" s="240" t="n">
        <v>0.0</v>
      </c>
      <c r="CQ96" s="241" t="n">
        <v>0.0</v>
      </c>
      <c r="CR96" s="242" t="n">
        <v>0.06</v>
      </c>
      <c r="CS96" s="243" t="n">
        <v>86.0</v>
      </c>
      <c r="CT96" s="244" t="inlineStr">
        <is>
          <t/>
        </is>
      </c>
      <c r="CU96" s="245" t="inlineStr">
        <is>
          <t/>
        </is>
      </c>
      <c r="CV96" s="246" t="inlineStr">
        <is>
          <t/>
        </is>
      </c>
      <c r="CW96" s="247" t="inlineStr">
        <is>
          <t/>
        </is>
      </c>
      <c r="CX96" s="248" t="n">
        <v>0.06</v>
      </c>
      <c r="CY96" s="249" t="n">
        <v>85.0</v>
      </c>
      <c r="CZ96" s="250" t="inlineStr">
        <is>
          <t/>
        </is>
      </c>
      <c r="DA96" s="251" t="inlineStr">
        <is>
          <t/>
        </is>
      </c>
      <c r="DB96" s="252" t="n">
        <v>26.21</v>
      </c>
      <c r="DC96" s="253" t="n">
        <v>96.0</v>
      </c>
      <c r="DD96" s="254" t="n">
        <v>6.43</v>
      </c>
      <c r="DE96" s="255" t="n">
        <v>32.5</v>
      </c>
      <c r="DF96" s="256" t="n">
        <v>26.21</v>
      </c>
      <c r="DG96" s="257" t="n">
        <v>96.0</v>
      </c>
      <c r="DH96" s="258" t="inlineStr">
        <is>
          <t/>
        </is>
      </c>
      <c r="DI96" s="259" t="inlineStr">
        <is>
          <t/>
        </is>
      </c>
      <c r="DJ96" s="260" t="inlineStr">
        <is>
          <t/>
        </is>
      </c>
      <c r="DK96" s="261" t="inlineStr">
        <is>
          <t/>
        </is>
      </c>
      <c r="DL96" s="262" t="n">
        <v>26.21</v>
      </c>
      <c r="DM96" s="263" t="n">
        <v>95.0</v>
      </c>
      <c r="DN96" s="264" t="inlineStr">
        <is>
          <t/>
        </is>
      </c>
      <c r="DO96" s="265" t="inlineStr">
        <is>
          <t/>
        </is>
      </c>
      <c r="DP96" s="266" t="n">
        <v>218.0</v>
      </c>
      <c r="DQ96" s="267" t="n">
        <v>-293.0</v>
      </c>
      <c r="DR96" s="268" t="n">
        <v>-57.34</v>
      </c>
      <c r="DS96" s="269" t="n">
        <v>890.0</v>
      </c>
      <c r="DT96" s="270" t="n">
        <v>0.0</v>
      </c>
      <c r="DU96" s="271" t="n">
        <v>0.0</v>
      </c>
      <c r="DV96" s="272" t="inlineStr">
        <is>
          <t/>
        </is>
      </c>
      <c r="DW96" s="273" t="inlineStr">
        <is>
          <t/>
        </is>
      </c>
      <c r="DX96" s="274" t="inlineStr">
        <is>
          <t/>
        </is>
      </c>
      <c r="DY96" s="275" t="inlineStr">
        <is>
          <t>PitchBook Research</t>
        </is>
      </c>
      <c r="DZ96" s="276" t="n">
        <v>43492.0</v>
      </c>
      <c r="EA96" s="277" t="n">
        <v>100.0</v>
      </c>
      <c r="EB96" s="278" t="n">
        <v>40548.0</v>
      </c>
      <c r="EC96" s="279" t="inlineStr">
        <is>
          <t>Buyout/LBO</t>
        </is>
      </c>
      <c r="ED96" s="548">
        <f>HYPERLINK("https://my.pitchbook.com?c=11998-81", "View company online")</f>
      </c>
    </row>
    <row r="97">
      <c r="A97" s="13" t="inlineStr">
        <is>
          <t>106957-63</t>
        </is>
      </c>
      <c r="B97" s="14" t="inlineStr">
        <is>
          <t>Titan Company (NSE: TITAN)</t>
        </is>
      </c>
      <c r="C97" s="15" t="inlineStr">
        <is>
          <t>Titan Industries Limited</t>
        </is>
      </c>
      <c r="D97" s="16" t="inlineStr">
        <is>
          <t/>
        </is>
      </c>
      <c r="E97" s="17" t="inlineStr">
        <is>
          <t>106957-63</t>
        </is>
      </c>
      <c r="F97" s="18" t="inlineStr">
        <is>
          <t>Titan Co Ltd is a watch manufacturing industry. It operates in various business segments such as Watches, Jewellery, Eyewear and other accessories in India and internationally under the brand Fastrack, Tanishq, Titan eye plus, Xylys, Sonata, Skinn, and others. Group operates more than 1200 stores with approximately 1.7 million square feet of retail space. the company generates maximum revenue from Jewellery segment.</t>
        </is>
      </c>
      <c r="G97" s="19" t="inlineStr">
        <is>
          <t>Consumer Products and Services (B2C)</t>
        </is>
      </c>
      <c r="H97" s="20" t="inlineStr">
        <is>
          <t>Apparel and Accessories</t>
        </is>
      </c>
      <c r="I97" s="21" t="inlineStr">
        <is>
          <t>Accessories</t>
        </is>
      </c>
      <c r="J97" s="22" t="inlineStr">
        <is>
          <t>Accessories*, Luxury Goods</t>
        </is>
      </c>
      <c r="K97" s="23" t="inlineStr">
        <is>
          <t/>
        </is>
      </c>
      <c r="L97" s="24" t="inlineStr">
        <is>
          <t>eyewear frames, platinum jewelry</t>
        </is>
      </c>
      <c r="M97" s="25" t="inlineStr">
        <is>
          <t>Corporation</t>
        </is>
      </c>
      <c r="N97" s="26" t="inlineStr">
        <is>
          <t/>
        </is>
      </c>
      <c r="O97" s="27" t="inlineStr">
        <is>
          <t>Profitable</t>
        </is>
      </c>
      <c r="P97" s="28" t="inlineStr">
        <is>
          <t>Publicly Held</t>
        </is>
      </c>
      <c r="Q97" s="29" t="inlineStr">
        <is>
          <t>Publicly Listed</t>
        </is>
      </c>
      <c r="R97" s="30" t="inlineStr">
        <is>
          <t>www.titan.co.in</t>
        </is>
      </c>
      <c r="S97" s="31" t="n">
        <v>6856.0</v>
      </c>
      <c r="T97" s="32" t="inlineStr">
        <is>
          <t>2010: 4353, 2011: 5204, 2013: 6851, 2014: 7363, 2015: 7558, 2016: 7859, 2017: 7437, 2018: 6856</t>
        </is>
      </c>
      <c r="U97" s="33" t="inlineStr">
        <is>
          <t>NSE</t>
        </is>
      </c>
      <c r="V97" s="34" t="inlineStr">
        <is>
          <t>TITAN</t>
        </is>
      </c>
      <c r="W97" s="35" t="n">
        <v>1984.0</v>
      </c>
      <c r="X97" s="36" t="inlineStr">
        <is>
          <t/>
        </is>
      </c>
      <c r="Y97" s="37" t="inlineStr">
        <is>
          <t/>
        </is>
      </c>
      <c r="Z97" s="38" t="inlineStr">
        <is>
          <t/>
        </is>
      </c>
      <c r="AA97" s="39" t="n">
        <v>2773.77</v>
      </c>
      <c r="AB97" s="40" t="n">
        <v>763.56</v>
      </c>
      <c r="AC97" s="41" t="n">
        <v>199.45</v>
      </c>
      <c r="AD97" s="42" t="n">
        <v>11999.15</v>
      </c>
      <c r="AE97" s="43" t="n">
        <v>308.99</v>
      </c>
      <c r="AF97" s="44" t="inlineStr">
        <is>
          <t>TTM 3Q2019</t>
        </is>
      </c>
      <c r="AG97" s="45" t="n">
        <v>285.92</v>
      </c>
      <c r="AH97" s="46" t="n">
        <v>14191.06</v>
      </c>
      <c r="AI97" s="47" t="inlineStr">
        <is>
          <t/>
        </is>
      </c>
      <c r="AJ97" s="48" t="inlineStr">
        <is>
          <t/>
        </is>
      </c>
      <c r="AK97" s="49" t="inlineStr">
        <is>
          <t/>
        </is>
      </c>
      <c r="AL97" s="50" t="inlineStr">
        <is>
          <t/>
        </is>
      </c>
      <c r="AM97" s="51" t="inlineStr">
        <is>
          <t/>
        </is>
      </c>
      <c r="AN97" s="52" t="inlineStr">
        <is>
          <t/>
        </is>
      </c>
      <c r="AO97" s="53" t="inlineStr">
        <is>
          <t>Bengaluru, India</t>
        </is>
      </c>
      <c r="AP97" s="54" t="inlineStr">
        <is>
          <t>132/133, Divyashree Technopolis</t>
        </is>
      </c>
      <c r="AQ97" s="55" t="inlineStr">
        <is>
          <t>Off Old Airport Road</t>
        </is>
      </c>
      <c r="AR97" s="56" t="inlineStr">
        <is>
          <t>Bengaluru</t>
        </is>
      </c>
      <c r="AS97" s="57" t="inlineStr">
        <is>
          <t>Yemalur</t>
        </is>
      </c>
      <c r="AT97" s="58" t="inlineStr">
        <is>
          <t>560037</t>
        </is>
      </c>
      <c r="AU97" s="59" t="inlineStr">
        <is>
          <t>India</t>
        </is>
      </c>
      <c r="AV97" s="60" t="inlineStr">
        <is>
          <t>+91 (0)80 6660 9000</t>
        </is>
      </c>
      <c r="AW97" s="61" t="inlineStr">
        <is>
          <t>+91 (0)80 2526 9923</t>
        </is>
      </c>
      <c r="AX97" s="62" t="inlineStr">
        <is>
          <t/>
        </is>
      </c>
      <c r="AY97" s="63" t="inlineStr">
        <is>
          <t>Asia</t>
        </is>
      </c>
      <c r="AZ97" s="64" t="inlineStr">
        <is>
          <t>South Asia</t>
        </is>
      </c>
      <c r="BA97" s="65" t="inlineStr">
        <is>
          <t/>
        </is>
      </c>
      <c r="BB97" s="66" t="inlineStr">
        <is>
          <t/>
        </is>
      </c>
      <c r="BC97" s="67" t="inlineStr">
        <is>
          <t/>
        </is>
      </c>
      <c r="BD97" s="68" t="inlineStr">
        <is>
          <t/>
        </is>
      </c>
      <c r="BE97" s="69" t="inlineStr">
        <is>
          <t/>
        </is>
      </c>
      <c r="BF97" s="70" t="inlineStr">
        <is>
          <t/>
        </is>
      </c>
      <c r="BG97" s="71" t="inlineStr">
        <is>
          <t/>
        </is>
      </c>
      <c r="BH97" s="72" t="inlineStr">
        <is>
          <t/>
        </is>
      </c>
      <c r="BI97" s="73" t="inlineStr">
        <is>
          <t/>
        </is>
      </c>
      <c r="BJ97" s="74" t="inlineStr">
        <is>
          <t/>
        </is>
      </c>
      <c r="BK97" s="75" t="inlineStr">
        <is>
          <t/>
        </is>
      </c>
      <c r="BL97" s="76" t="inlineStr">
        <is>
          <t/>
        </is>
      </c>
      <c r="BM97" s="77" t="inlineStr">
        <is>
          <t/>
        </is>
      </c>
      <c r="BN97" s="78" t="inlineStr">
        <is>
          <t/>
        </is>
      </c>
      <c r="BO97" s="79" t="inlineStr">
        <is>
          <t/>
        </is>
      </c>
      <c r="BP97" s="80" t="inlineStr">
        <is>
          <t/>
        </is>
      </c>
      <c r="BQ97" s="81" t="inlineStr">
        <is>
          <t/>
        </is>
      </c>
      <c r="BR97" s="82" t="inlineStr">
        <is>
          <t/>
        </is>
      </c>
      <c r="BS97" s="83" t="inlineStr">
        <is>
          <t/>
        </is>
      </c>
      <c r="BT97" s="84" t="inlineStr">
        <is>
          <t/>
        </is>
      </c>
      <c r="BU97" s="85" t="inlineStr">
        <is>
          <t/>
        </is>
      </c>
      <c r="BV97" s="86" t="inlineStr">
        <is>
          <t/>
        </is>
      </c>
      <c r="BW97" s="87" t="inlineStr">
        <is>
          <t/>
        </is>
      </c>
      <c r="BX97" s="88" t="inlineStr">
        <is>
          <t/>
        </is>
      </c>
      <c r="BY97" s="89" t="inlineStr">
        <is>
          <t/>
        </is>
      </c>
      <c r="BZ97" s="90" t="inlineStr">
        <is>
          <t/>
        </is>
      </c>
      <c r="CA97" s="91" t="inlineStr">
        <is>
          <t/>
        </is>
      </c>
      <c r="CB97" s="92" t="inlineStr">
        <is>
          <t/>
        </is>
      </c>
      <c r="CC97" s="93" t="inlineStr">
        <is>
          <t/>
        </is>
      </c>
      <c r="CD97" s="94" t="inlineStr">
        <is>
          <t/>
        </is>
      </c>
      <c r="CE97" s="95" t="inlineStr">
        <is>
          <t/>
        </is>
      </c>
      <c r="CF97" s="96" t="inlineStr">
        <is>
          <t/>
        </is>
      </c>
      <c r="CG97" s="97" t="inlineStr">
        <is>
          <t/>
        </is>
      </c>
      <c r="CH97" s="98" t="inlineStr">
        <is>
          <t/>
        </is>
      </c>
      <c r="CI97" s="99" t="inlineStr">
        <is>
          <t/>
        </is>
      </c>
      <c r="CJ97" s="100" t="inlineStr">
        <is>
          <t/>
        </is>
      </c>
      <c r="CK97" s="101" t="inlineStr">
        <is>
          <t/>
        </is>
      </c>
      <c r="CL97" s="102" t="inlineStr">
        <is>
          <t/>
        </is>
      </c>
      <c r="CM97" s="103" t="inlineStr">
        <is>
          <t/>
        </is>
      </c>
      <c r="CN97" s="104" t="n">
        <v>-2.13</v>
      </c>
      <c r="CO97" s="105" t="n">
        <v>2.0</v>
      </c>
      <c r="CP97" s="106" t="n">
        <v>0.07</v>
      </c>
      <c r="CQ97" s="107" t="n">
        <v>3.13</v>
      </c>
      <c r="CR97" s="108" t="n">
        <v>-4.25</v>
      </c>
      <c r="CS97" s="109" t="n">
        <v>2.0</v>
      </c>
      <c r="CT97" s="110" t="n">
        <v>-0.01</v>
      </c>
      <c r="CU97" s="111" t="n">
        <v>25.0</v>
      </c>
      <c r="CV97" s="112" t="n">
        <v>-8.88</v>
      </c>
      <c r="CW97" s="113" t="n">
        <v>2.0</v>
      </c>
      <c r="CX97" s="114" t="n">
        <v>0.37</v>
      </c>
      <c r="CY97" s="115" t="n">
        <v>92.0</v>
      </c>
      <c r="CZ97" s="116" t="n">
        <v>-0.03</v>
      </c>
      <c r="DA97" s="117" t="n">
        <v>23.0</v>
      </c>
      <c r="DB97" s="118" t="n">
        <v>81.51</v>
      </c>
      <c r="DC97" s="119" t="n">
        <v>99.0</v>
      </c>
      <c r="DD97" s="120" t="n">
        <v>3.25</v>
      </c>
      <c r="DE97" s="121" t="n">
        <v>4.15</v>
      </c>
      <c r="DF97" s="122" t="n">
        <v>28.2</v>
      </c>
      <c r="DG97" s="123" t="n">
        <v>96.0</v>
      </c>
      <c r="DH97" s="124" t="n">
        <v>134.82</v>
      </c>
      <c r="DI97" s="125" t="n">
        <v>98.0</v>
      </c>
      <c r="DJ97" s="126" t="n">
        <v>6.65</v>
      </c>
      <c r="DK97" s="127" t="n">
        <v>82.0</v>
      </c>
      <c r="DL97" s="128" t="n">
        <v>49.74</v>
      </c>
      <c r="DM97" s="129" t="n">
        <v>98.0</v>
      </c>
      <c r="DN97" s="130" t="n">
        <v>6.17</v>
      </c>
      <c r="DO97" s="131" t="n">
        <v>82.0</v>
      </c>
      <c r="DP97" s="132" t="n">
        <v>4838.0</v>
      </c>
      <c r="DQ97" s="133" t="n">
        <v>-838.0</v>
      </c>
      <c r="DR97" s="134" t="n">
        <v>-14.76</v>
      </c>
      <c r="DS97" s="135" t="n">
        <v>1687.0</v>
      </c>
      <c r="DT97" s="136" t="n">
        <v>8.0</v>
      </c>
      <c r="DU97" s="137" t="n">
        <v>0.48</v>
      </c>
      <c r="DV97" s="138" t="n">
        <v>2214.0</v>
      </c>
      <c r="DW97" s="139" t="n">
        <v>2.0</v>
      </c>
      <c r="DX97" s="140" t="n">
        <v>0.09</v>
      </c>
      <c r="DY97" s="141" t="inlineStr">
        <is>
          <t>PitchBook Research</t>
        </is>
      </c>
      <c r="DZ97" s="142" t="n">
        <v>43492.0</v>
      </c>
      <c r="EA97" s="143" t="inlineStr">
        <is>
          <t/>
        </is>
      </c>
      <c r="EB97" s="144" t="inlineStr">
        <is>
          <t/>
        </is>
      </c>
      <c r="EC97" s="145" t="inlineStr">
        <is>
          <t/>
        </is>
      </c>
      <c r="ED97" s="547">
        <f>HYPERLINK("https://my.pitchbook.com?c=106957-63", "View company online")</f>
      </c>
    </row>
    <row r="98">
      <c r="A98" s="147" t="inlineStr">
        <is>
          <t>10217-98</t>
        </is>
      </c>
      <c r="B98" s="148" t="inlineStr">
        <is>
          <t>Fila Korea (KRX: 081660)</t>
        </is>
      </c>
      <c r="C98" s="149" t="inlineStr">
        <is>
          <t/>
        </is>
      </c>
      <c r="D98" s="150" t="inlineStr">
        <is>
          <t/>
        </is>
      </c>
      <c r="E98" s="151" t="inlineStr">
        <is>
          <t>10217-98</t>
        </is>
      </c>
      <c r="F98" s="152" t="inlineStr">
        <is>
          <t>Fila Korea Ltd is one of the leading players in the footwear industry. It deals primarily in footwear of all kinds and sportswear brands. The company owns the global Fila footwear, sportswear, intimates, and accessories business. It positions its products particularly for the age group of 18-34. Fila Korea markets its products through a network of about 500 distribution facilities, as well as nearly 300 franchised retail stores.</t>
        </is>
      </c>
      <c r="G98" s="153" t="inlineStr">
        <is>
          <t>Consumer Products and Services (B2C)</t>
        </is>
      </c>
      <c r="H98" s="154" t="inlineStr">
        <is>
          <t>Apparel and Accessories</t>
        </is>
      </c>
      <c r="I98" s="155" t="inlineStr">
        <is>
          <t>Clothing</t>
        </is>
      </c>
      <c r="J98" s="156" t="inlineStr">
        <is>
          <t>Clothing*, Distributors/Wholesale (B2C), Footwear</t>
        </is>
      </c>
      <c r="K98" s="157" t="inlineStr">
        <is>
          <t/>
        </is>
      </c>
      <c r="L98" s="158" t="inlineStr">
        <is>
          <t>sports shoes, sportswear, swimwear</t>
        </is>
      </c>
      <c r="M98" s="159" t="inlineStr">
        <is>
          <t>Corporation</t>
        </is>
      </c>
      <c r="N98" s="160" t="inlineStr">
        <is>
          <t/>
        </is>
      </c>
      <c r="O98" s="161" t="inlineStr">
        <is>
          <t>Profitable</t>
        </is>
      </c>
      <c r="P98" s="162" t="inlineStr">
        <is>
          <t>Publicly Held</t>
        </is>
      </c>
      <c r="Q98" s="163" t="inlineStr">
        <is>
          <t>Publicly Listed</t>
        </is>
      </c>
      <c r="R98" s="164" t="inlineStr">
        <is>
          <t>info.fila.co.kr</t>
        </is>
      </c>
      <c r="S98" s="165" t="n">
        <v>294.0</v>
      </c>
      <c r="T98" s="166" t="inlineStr">
        <is>
          <t>2010: 266, 2011: 283, 2012: 295, 2013: 312, 2014: 322, 2015: 318, 2016: 331, 2017: 319, 2018: 294</t>
        </is>
      </c>
      <c r="U98" s="167" t="inlineStr">
        <is>
          <t>KRX</t>
        </is>
      </c>
      <c r="V98" s="168" t="inlineStr">
        <is>
          <t>081660</t>
        </is>
      </c>
      <c r="W98" s="169" t="n">
        <v>1991.0</v>
      </c>
      <c r="X98" s="170" t="inlineStr">
        <is>
          <t/>
        </is>
      </c>
      <c r="Y98" s="171" t="inlineStr">
        <is>
          <t/>
        </is>
      </c>
      <c r="Z98" s="172" t="inlineStr">
        <is>
          <t/>
        </is>
      </c>
      <c r="AA98" s="173" t="n">
        <v>2688.21</v>
      </c>
      <c r="AB98" s="174" t="n">
        <v>1335.2</v>
      </c>
      <c r="AC98" s="175" t="n">
        <v>130.6</v>
      </c>
      <c r="AD98" s="176" t="n">
        <v>4117.82</v>
      </c>
      <c r="AE98" s="177" t="n">
        <v>413.87</v>
      </c>
      <c r="AF98" s="178" t="inlineStr">
        <is>
          <t>FY 2018</t>
        </is>
      </c>
      <c r="AG98" s="179" t="n">
        <v>354.32</v>
      </c>
      <c r="AH98" s="180" t="n">
        <v>3958.71</v>
      </c>
      <c r="AI98" s="181" t="n">
        <v>733.71</v>
      </c>
      <c r="AJ98" s="182" t="inlineStr">
        <is>
          <t>11607-49P</t>
        </is>
      </c>
      <c r="AK98" s="183" t="inlineStr">
        <is>
          <t>Gene Yoon</t>
        </is>
      </c>
      <c r="AL98" s="184" t="inlineStr">
        <is>
          <t>Chairman &amp; Chief Executive Officer</t>
        </is>
      </c>
      <c r="AM98" s="185" t="inlineStr">
        <is>
          <t>geneyoon@fila.co.kr</t>
        </is>
      </c>
      <c r="AN98" s="186" t="inlineStr">
        <is>
          <t>+82 (0)25 236 1009</t>
        </is>
      </c>
      <c r="AO98" s="187" t="inlineStr">
        <is>
          <t>Seoul, South Korea</t>
        </is>
      </c>
      <c r="AP98" s="188" t="inlineStr">
        <is>
          <t>1467-10, Seocho-Dong</t>
        </is>
      </c>
      <c r="AQ98" s="189" t="inlineStr">
        <is>
          <t/>
        </is>
      </c>
      <c r="AR98" s="190" t="inlineStr">
        <is>
          <t>Seoul</t>
        </is>
      </c>
      <c r="AS98" s="191" t="inlineStr">
        <is>
          <t>Seocho-Gu</t>
        </is>
      </c>
      <c r="AT98" s="192" t="inlineStr">
        <is>
          <t>137-070</t>
        </is>
      </c>
      <c r="AU98" s="193" t="inlineStr">
        <is>
          <t>South Korea</t>
        </is>
      </c>
      <c r="AV98" s="194" t="inlineStr">
        <is>
          <t>+82 (0)25 236 1009</t>
        </is>
      </c>
      <c r="AW98" s="195" t="inlineStr">
        <is>
          <t>+82 (0)2 523 3897</t>
        </is>
      </c>
      <c r="AX98" s="196" t="inlineStr">
        <is>
          <t/>
        </is>
      </c>
      <c r="AY98" s="197" t="inlineStr">
        <is>
          <t>Asia</t>
        </is>
      </c>
      <c r="AZ98" s="198" t="inlineStr">
        <is>
          <t>East Asia</t>
        </is>
      </c>
      <c r="BA98" s="199" t="inlineStr">
        <is>
          <t/>
        </is>
      </c>
      <c r="BB98" s="200" t="inlineStr">
        <is>
          <t/>
        </is>
      </c>
      <c r="BC98" s="201" t="inlineStr">
        <is>
          <t/>
        </is>
      </c>
      <c r="BD98" s="202" t="inlineStr">
        <is>
          <t/>
        </is>
      </c>
      <c r="BE98" s="203" t="inlineStr">
        <is>
          <t/>
        </is>
      </c>
      <c r="BF98" s="204" t="inlineStr">
        <is>
          <t/>
        </is>
      </c>
      <c r="BG98" s="205" t="inlineStr">
        <is>
          <t/>
        </is>
      </c>
      <c r="BH98" s="206" t="inlineStr">
        <is>
          <t/>
        </is>
      </c>
      <c r="BI98" s="207" t="inlineStr">
        <is>
          <t/>
        </is>
      </c>
      <c r="BJ98" s="208" t="inlineStr">
        <is>
          <t/>
        </is>
      </c>
      <c r="BK98" s="209" t="inlineStr">
        <is>
          <t/>
        </is>
      </c>
      <c r="BL98" s="210" t="inlineStr">
        <is>
          <t/>
        </is>
      </c>
      <c r="BM98" s="211" t="inlineStr">
        <is>
          <t/>
        </is>
      </c>
      <c r="BN98" s="212" t="inlineStr">
        <is>
          <t/>
        </is>
      </c>
      <c r="BO98" s="213" t="inlineStr">
        <is>
          <t/>
        </is>
      </c>
      <c r="BP98" s="214" t="inlineStr">
        <is>
          <t/>
        </is>
      </c>
      <c r="BQ98" s="215" t="inlineStr">
        <is>
          <t/>
        </is>
      </c>
      <c r="BR98" s="216" t="inlineStr">
        <is>
          <t/>
        </is>
      </c>
      <c r="BS98" s="217" t="inlineStr">
        <is>
          <t/>
        </is>
      </c>
      <c r="BT98" s="218" t="inlineStr">
        <is>
          <t/>
        </is>
      </c>
      <c r="BU98" s="219" t="inlineStr">
        <is>
          <t/>
        </is>
      </c>
      <c r="BV98" s="220" t="inlineStr">
        <is>
          <t/>
        </is>
      </c>
      <c r="BW98" s="221" t="inlineStr">
        <is>
          <t/>
        </is>
      </c>
      <c r="BX98" s="222" t="inlineStr">
        <is>
          <t/>
        </is>
      </c>
      <c r="BY98" s="223" t="inlineStr">
        <is>
          <t/>
        </is>
      </c>
      <c r="BZ98" s="224" t="inlineStr">
        <is>
          <t/>
        </is>
      </c>
      <c r="CA98" s="225" t="inlineStr">
        <is>
          <t/>
        </is>
      </c>
      <c r="CB98" s="226" t="inlineStr">
        <is>
          <t/>
        </is>
      </c>
      <c r="CC98" s="227" t="inlineStr">
        <is>
          <t/>
        </is>
      </c>
      <c r="CD98" s="228" t="inlineStr">
        <is>
          <t/>
        </is>
      </c>
      <c r="CE98" s="229" t="inlineStr">
        <is>
          <t/>
        </is>
      </c>
      <c r="CF98" s="230" t="inlineStr">
        <is>
          <t/>
        </is>
      </c>
      <c r="CG98" s="231" t="inlineStr">
        <is>
          <t/>
        </is>
      </c>
      <c r="CH98" s="232" t="inlineStr">
        <is>
          <t/>
        </is>
      </c>
      <c r="CI98" s="233" t="inlineStr">
        <is>
          <t/>
        </is>
      </c>
      <c r="CJ98" s="234" t="inlineStr">
        <is>
          <t/>
        </is>
      </c>
      <c r="CK98" s="235" t="inlineStr">
        <is>
          <t/>
        </is>
      </c>
      <c r="CL98" s="236" t="inlineStr">
        <is>
          <t/>
        </is>
      </c>
      <c r="CM98" s="237" t="inlineStr">
        <is>
          <t/>
        </is>
      </c>
      <c r="CN98" s="238" t="n">
        <v>-0.13</v>
      </c>
      <c r="CO98" s="239" t="n">
        <v>11.0</v>
      </c>
      <c r="CP98" s="240" t="n">
        <v>0.01</v>
      </c>
      <c r="CQ98" s="241" t="n">
        <v>5.47</v>
      </c>
      <c r="CR98" s="242" t="n">
        <v>0.0</v>
      </c>
      <c r="CS98" s="243" t="n">
        <v>14.0</v>
      </c>
      <c r="CT98" s="244" t="n">
        <v>-0.25</v>
      </c>
      <c r="CU98" s="245" t="n">
        <v>2.0</v>
      </c>
      <c r="CV98" s="246" t="n">
        <v>0.0</v>
      </c>
      <c r="CW98" s="247" t="n">
        <v>33.0</v>
      </c>
      <c r="CX98" s="248" t="inlineStr">
        <is>
          <t/>
        </is>
      </c>
      <c r="CY98" s="249" t="inlineStr">
        <is>
          <t/>
        </is>
      </c>
      <c r="CZ98" s="250" t="n">
        <v>-0.68</v>
      </c>
      <c r="DA98" s="251" t="n">
        <v>1.0</v>
      </c>
      <c r="DB98" s="252" t="n">
        <v>114.13</v>
      </c>
      <c r="DC98" s="253" t="n">
        <v>99.0</v>
      </c>
      <c r="DD98" s="254" t="n">
        <v>0.28</v>
      </c>
      <c r="DE98" s="255" t="n">
        <v>0.25</v>
      </c>
      <c r="DF98" s="256" t="n">
        <v>0.56</v>
      </c>
      <c r="DG98" s="257" t="n">
        <v>36.0</v>
      </c>
      <c r="DH98" s="258" t="n">
        <v>227.69</v>
      </c>
      <c r="DI98" s="259" t="n">
        <v>99.0</v>
      </c>
      <c r="DJ98" s="260" t="n">
        <v>0.56</v>
      </c>
      <c r="DK98" s="261" t="n">
        <v>37.0</v>
      </c>
      <c r="DL98" s="262" t="inlineStr">
        <is>
          <t/>
        </is>
      </c>
      <c r="DM98" s="263" t="inlineStr">
        <is>
          <t/>
        </is>
      </c>
      <c r="DN98" s="264" t="n">
        <v>49.16</v>
      </c>
      <c r="DO98" s="265" t="n">
        <v>96.0</v>
      </c>
      <c r="DP98" s="266" t="n">
        <v>410.0</v>
      </c>
      <c r="DQ98" s="267" t="n">
        <v>-85.0</v>
      </c>
      <c r="DR98" s="268" t="n">
        <v>-17.17</v>
      </c>
      <c r="DS98" s="269" t="inlineStr">
        <is>
          <t/>
        </is>
      </c>
      <c r="DT98" s="270" t="inlineStr">
        <is>
          <t/>
        </is>
      </c>
      <c r="DU98" s="271" t="inlineStr">
        <is>
          <t/>
        </is>
      </c>
      <c r="DV98" s="272" t="n">
        <v>17652.0</v>
      </c>
      <c r="DW98" s="273" t="n">
        <v>-71.0</v>
      </c>
      <c r="DX98" s="274" t="n">
        <v>-0.4</v>
      </c>
      <c r="DY98" s="275" t="inlineStr">
        <is>
          <t>PitchBook Research</t>
        </is>
      </c>
      <c r="DZ98" s="276" t="n">
        <v>43491.0</v>
      </c>
      <c r="EA98" s="277" t="inlineStr">
        <is>
          <t/>
        </is>
      </c>
      <c r="EB98" s="278" t="inlineStr">
        <is>
          <t/>
        </is>
      </c>
      <c r="EC98" s="279" t="inlineStr">
        <is>
          <t/>
        </is>
      </c>
      <c r="ED98" s="548">
        <f>HYPERLINK("https://my.pitchbook.com?c=10217-98", "View company online")</f>
      </c>
    </row>
    <row r="99">
      <c r="A99" s="13" t="inlineStr">
        <is>
          <t>41038-84</t>
        </is>
      </c>
      <c r="B99" s="14" t="inlineStr">
        <is>
          <t>Guess (NYS: GES)</t>
        </is>
      </c>
      <c r="C99" s="15" t="inlineStr">
        <is>
          <t>Guess Inc Et Al</t>
        </is>
      </c>
      <c r="D99" s="16" t="inlineStr">
        <is>
          <t/>
        </is>
      </c>
      <c r="E99" s="17" t="inlineStr">
        <is>
          <t>41038-84</t>
        </is>
      </c>
      <c r="F99" s="18" t="inlineStr">
        <is>
          <t>Guess designs, markets, distributes, and licenses contemporary apparel and accessories that reflect European fashion sensibilities under brands including Guess, Marciano, and G by Guess. Apparel is sold both through wholesale accounts and retail storefronts with nearly 1,700 stores (as of the third quarter of fiscal 2019) and concessions, operated directly and through licensees. The company has a global presence, with about 40% of revenue generated in the Americas.</t>
        </is>
      </c>
      <c r="G99" s="19" t="inlineStr">
        <is>
          <t>Consumer Products and Services (B2C)</t>
        </is>
      </c>
      <c r="H99" s="20" t="inlineStr">
        <is>
          <t>Apparel and Accessories</t>
        </is>
      </c>
      <c r="I99" s="21" t="inlineStr">
        <is>
          <t>Clothing</t>
        </is>
      </c>
      <c r="J99" s="22" t="inlineStr">
        <is>
          <t>Clothing*</t>
        </is>
      </c>
      <c r="K99" s="23" t="inlineStr">
        <is>
          <t/>
        </is>
      </c>
      <c r="L99" s="24" t="inlineStr">
        <is>
          <t>customer service, quality assurance</t>
        </is>
      </c>
      <c r="M99" s="25" t="inlineStr">
        <is>
          <t>Corporation</t>
        </is>
      </c>
      <c r="N99" s="26" t="inlineStr">
        <is>
          <t/>
        </is>
      </c>
      <c r="O99" s="27" t="inlineStr">
        <is>
          <t>Profitable</t>
        </is>
      </c>
      <c r="P99" s="28" t="inlineStr">
        <is>
          <t>Publicly Held</t>
        </is>
      </c>
      <c r="Q99" s="29" t="inlineStr">
        <is>
          <t>Publicly Listed</t>
        </is>
      </c>
      <c r="R99" s="30" t="inlineStr">
        <is>
          <t>www.guess.com</t>
        </is>
      </c>
      <c r="S99" s="31" t="n">
        <v>14700.0</v>
      </c>
      <c r="T99" s="32" t="inlineStr">
        <is>
          <t>1995: 2600, 1996: 3000, 1997: 2800, 1998: 3200, 1999: 3600, 2000: 4100, 2001: 4400, 2002: 4900, 2003: 4800, 2004: 6800, 2005: 7300, 2006: 8800, 2008: 9900, 2009: 10800, 2010: 12700, 2011: 15000, 2012: 14300, 2013: 15200, 2014: 14600, 2015: 13700, 2016: 13500, 2017: 14300, 2018: 14700</t>
        </is>
      </c>
      <c r="U99" s="33" t="inlineStr">
        <is>
          <t>NYS</t>
        </is>
      </c>
      <c r="V99" s="34" t="inlineStr">
        <is>
          <t>GES</t>
        </is>
      </c>
      <c r="W99" s="35" t="n">
        <v>1981.0</v>
      </c>
      <c r="X99" s="36" t="inlineStr">
        <is>
          <t/>
        </is>
      </c>
      <c r="Y99" s="37" t="inlineStr">
        <is>
          <t/>
        </is>
      </c>
      <c r="Z99" s="38" t="inlineStr">
        <is>
          <t>News (New) , Filing (New) </t>
        </is>
      </c>
      <c r="AA99" s="39" t="n">
        <v>2609.69</v>
      </c>
      <c r="AB99" s="40" t="n">
        <v>939.6</v>
      </c>
      <c r="AC99" s="41" t="n">
        <v>14.1</v>
      </c>
      <c r="AD99" s="42" t="n">
        <v>1500.4</v>
      </c>
      <c r="AE99" s="43" t="n">
        <v>45.62</v>
      </c>
      <c r="AF99" s="44" t="inlineStr">
        <is>
          <t>FY 2019</t>
        </is>
      </c>
      <c r="AG99" s="45" t="n">
        <v>45.62</v>
      </c>
      <c r="AH99" s="46" t="n">
        <v>1488.68</v>
      </c>
      <c r="AI99" s="47" t="n">
        <v>35.01</v>
      </c>
      <c r="AJ99" s="48" t="inlineStr">
        <is>
          <t>84002-50P</t>
        </is>
      </c>
      <c r="AK99" s="49" t="inlineStr">
        <is>
          <t>Sandeep Reddy</t>
        </is>
      </c>
      <c r="AL99" s="50" t="inlineStr">
        <is>
          <t>Chief Financial Officer &amp; Chief Accounting Officer</t>
        </is>
      </c>
      <c r="AM99" s="51" t="inlineStr">
        <is>
          <t>sreddy@guess.com</t>
        </is>
      </c>
      <c r="AN99" s="52" t="inlineStr">
        <is>
          <t>+1 (213) 765-3100</t>
        </is>
      </c>
      <c r="AO99" s="53" t="inlineStr">
        <is>
          <t>Los Angeles, CA</t>
        </is>
      </c>
      <c r="AP99" s="54" t="inlineStr">
        <is>
          <t>1444 South Alameda Street</t>
        </is>
      </c>
      <c r="AQ99" s="55" t="inlineStr">
        <is>
          <t/>
        </is>
      </c>
      <c r="AR99" s="56" t="inlineStr">
        <is>
          <t>Los Angeles</t>
        </is>
      </c>
      <c r="AS99" s="57" t="inlineStr">
        <is>
          <t>California</t>
        </is>
      </c>
      <c r="AT99" s="58" t="inlineStr">
        <is>
          <t>90021</t>
        </is>
      </c>
      <c r="AU99" s="59" t="inlineStr">
        <is>
          <t>United States</t>
        </is>
      </c>
      <c r="AV99" s="60" t="inlineStr">
        <is>
          <t>+1 (213) 765-3100</t>
        </is>
      </c>
      <c r="AW99" s="61" t="inlineStr">
        <is>
          <t/>
        </is>
      </c>
      <c r="AX99" s="62" t="inlineStr">
        <is>
          <t/>
        </is>
      </c>
      <c r="AY99" s="63" t="inlineStr">
        <is>
          <t>Americas</t>
        </is>
      </c>
      <c r="AZ99" s="64" t="inlineStr">
        <is>
          <t>North America</t>
        </is>
      </c>
      <c r="BA99" s="65" t="inlineStr">
        <is>
          <t/>
        </is>
      </c>
      <c r="BB99" s="66" t="inlineStr">
        <is>
          <t/>
        </is>
      </c>
      <c r="BC99" s="67" t="inlineStr">
        <is>
          <t/>
        </is>
      </c>
      <c r="BD99" s="68" t="inlineStr">
        <is>
          <t/>
        </is>
      </c>
      <c r="BE99" s="69" t="inlineStr">
        <is>
          <t/>
        </is>
      </c>
      <c r="BF99" s="70" t="inlineStr">
        <is>
          <t/>
        </is>
      </c>
      <c r="BG99" s="71" t="inlineStr">
        <is>
          <t/>
        </is>
      </c>
      <c r="BH99" s="72" t="inlineStr">
        <is>
          <t/>
        </is>
      </c>
      <c r="BI99" s="73" t="inlineStr">
        <is>
          <t/>
        </is>
      </c>
      <c r="BJ99" s="74" t="inlineStr">
        <is>
          <t/>
        </is>
      </c>
      <c r="BK99" s="75" t="inlineStr">
        <is>
          <t/>
        </is>
      </c>
      <c r="BL99" s="76" t="inlineStr">
        <is>
          <t/>
        </is>
      </c>
      <c r="BM99" s="77" t="inlineStr">
        <is>
          <t/>
        </is>
      </c>
      <c r="BN99" s="78" t="inlineStr">
        <is>
          <t/>
        </is>
      </c>
      <c r="BO99" s="79" t="inlineStr">
        <is>
          <t/>
        </is>
      </c>
      <c r="BP99" s="80" t="inlineStr">
        <is>
          <t/>
        </is>
      </c>
      <c r="BQ99" s="81" t="inlineStr">
        <is>
          <t/>
        </is>
      </c>
      <c r="BR99" s="82" t="inlineStr">
        <is>
          <t/>
        </is>
      </c>
      <c r="BS99" s="83" t="inlineStr">
        <is>
          <t/>
        </is>
      </c>
      <c r="BT99" s="84" t="inlineStr">
        <is>
          <t/>
        </is>
      </c>
      <c r="BU99" s="85" t="inlineStr">
        <is>
          <t/>
        </is>
      </c>
      <c r="BV99" s="86" t="inlineStr">
        <is>
          <t/>
        </is>
      </c>
      <c r="BW99" s="87" t="inlineStr">
        <is>
          <t/>
        </is>
      </c>
      <c r="BX99" s="88" t="inlineStr">
        <is>
          <t/>
        </is>
      </c>
      <c r="BY99" s="89" t="inlineStr">
        <is>
          <t/>
        </is>
      </c>
      <c r="BZ99" s="90" t="inlineStr">
        <is>
          <t/>
        </is>
      </c>
      <c r="CA99" s="91" t="inlineStr">
        <is>
          <t/>
        </is>
      </c>
      <c r="CB99" s="92" t="inlineStr">
        <is>
          <t/>
        </is>
      </c>
      <c r="CC99" s="93" t="inlineStr">
        <is>
          <t/>
        </is>
      </c>
      <c r="CD99" s="94" t="inlineStr">
        <is>
          <t/>
        </is>
      </c>
      <c r="CE99" s="95" t="inlineStr">
        <is>
          <t/>
        </is>
      </c>
      <c r="CF99" s="96" t="inlineStr">
        <is>
          <t/>
        </is>
      </c>
      <c r="CG99" s="97" t="inlineStr">
        <is>
          <t/>
        </is>
      </c>
      <c r="CH99" s="98" t="inlineStr">
        <is>
          <t/>
        </is>
      </c>
      <c r="CI99" s="99" t="inlineStr">
        <is>
          <t/>
        </is>
      </c>
      <c r="CJ99" s="100" t="inlineStr">
        <is>
          <t/>
        </is>
      </c>
      <c r="CK99" s="101" t="inlineStr">
        <is>
          <t/>
        </is>
      </c>
      <c r="CL99" s="102" t="inlineStr">
        <is>
          <t/>
        </is>
      </c>
      <c r="CM99" s="103" t="inlineStr">
        <is>
          <t/>
        </is>
      </c>
      <c r="CN99" s="104" t="n">
        <v>0.0</v>
      </c>
      <c r="CO99" s="105" t="n">
        <v>18.0</v>
      </c>
      <c r="CP99" s="106" t="n">
        <v>0.0</v>
      </c>
      <c r="CQ99" s="107" t="n">
        <v>-1199.81</v>
      </c>
      <c r="CR99" s="108" t="n">
        <v>0.0</v>
      </c>
      <c r="CS99" s="109" t="n">
        <v>14.0</v>
      </c>
      <c r="CT99" s="110" t="n">
        <v>-0.01</v>
      </c>
      <c r="CU99" s="111" t="n">
        <v>25.0</v>
      </c>
      <c r="CV99" s="112" t="inlineStr">
        <is>
          <t/>
        </is>
      </c>
      <c r="CW99" s="113" t="inlineStr">
        <is>
          <t/>
        </is>
      </c>
      <c r="CX99" s="114" t="n">
        <v>0.0</v>
      </c>
      <c r="CY99" s="115" t="n">
        <v>11.0</v>
      </c>
      <c r="CZ99" s="116" t="n">
        <v>-0.01</v>
      </c>
      <c r="DA99" s="117" t="n">
        <v>27.0</v>
      </c>
      <c r="DB99" s="118" t="n">
        <v>572.32</v>
      </c>
      <c r="DC99" s="119" t="n">
        <v>100.0</v>
      </c>
      <c r="DD99" s="120" t="n">
        <v>3.0</v>
      </c>
      <c r="DE99" s="121" t="n">
        <v>0.53</v>
      </c>
      <c r="DF99" s="122" t="n">
        <v>2.0</v>
      </c>
      <c r="DG99" s="123" t="n">
        <v>67.0</v>
      </c>
      <c r="DH99" s="124" t="n">
        <v>1142.63</v>
      </c>
      <c r="DI99" s="125" t="n">
        <v>100.0</v>
      </c>
      <c r="DJ99" s="126" t="inlineStr">
        <is>
          <t/>
        </is>
      </c>
      <c r="DK99" s="127" t="inlineStr">
        <is>
          <t/>
        </is>
      </c>
      <c r="DL99" s="128" t="n">
        <v>2.0</v>
      </c>
      <c r="DM99" s="129" t="n">
        <v>66.0</v>
      </c>
      <c r="DN99" s="130" t="n">
        <v>1142.63</v>
      </c>
      <c r="DO99" s="131" t="n">
        <v>100.0</v>
      </c>
      <c r="DP99" s="132" t="inlineStr">
        <is>
          <t/>
        </is>
      </c>
      <c r="DQ99" s="133" t="inlineStr">
        <is>
          <t/>
        </is>
      </c>
      <c r="DR99" s="134" t="inlineStr">
        <is>
          <t/>
        </is>
      </c>
      <c r="DS99" s="135" t="n">
        <v>68.0</v>
      </c>
      <c r="DT99" s="136" t="n">
        <v>0.0</v>
      </c>
      <c r="DU99" s="137" t="n">
        <v>0.0</v>
      </c>
      <c r="DV99" s="138" t="n">
        <v>410365.0</v>
      </c>
      <c r="DW99" s="139" t="n">
        <v>-277.0</v>
      </c>
      <c r="DX99" s="140" t="n">
        <v>-0.07</v>
      </c>
      <c r="DY99" s="141" t="inlineStr">
        <is>
          <t>PitchBook Research</t>
        </is>
      </c>
      <c r="DZ99" s="142" t="n">
        <v>43547.0</v>
      </c>
      <c r="EA99" s="143" t="inlineStr">
        <is>
          <t/>
        </is>
      </c>
      <c r="EB99" s="144" t="inlineStr">
        <is>
          <t/>
        </is>
      </c>
      <c r="EC99" s="145" t="inlineStr">
        <is>
          <t/>
        </is>
      </c>
      <c r="ED99" s="547">
        <f>HYPERLINK("https://my.pitchbook.com?c=41038-84", "View company online")</f>
      </c>
    </row>
    <row r="100">
      <c r="A100" s="147" t="inlineStr">
        <is>
          <t>94862-08</t>
        </is>
      </c>
      <c r="B100" s="148" t="inlineStr">
        <is>
          <t>REI</t>
        </is>
      </c>
      <c r="C100" s="149" t="inlineStr">
        <is>
          <t/>
        </is>
      </c>
      <c r="D100" s="150" t="inlineStr">
        <is>
          <t/>
        </is>
      </c>
      <c r="E100" s="151" t="inlineStr">
        <is>
          <t>94862-08</t>
        </is>
      </c>
      <c r="F100" s="152" t="inlineStr">
        <is>
          <t>Operator of an outdoor gear and apparel retailing store intended sell women's and men's clothing and outwear. The company's store designs and sells customized gears and apparel for camping, hiking, cycling and other outdoor sports and activities and contribute the earnings for some charitable causes through a connected co-operative, enabling adventure enthusiasts to browse and buy adventure sports products</t>
        </is>
      </c>
      <c r="G100" s="153" t="inlineStr">
        <is>
          <t>Consumer Products and Services (B2C)</t>
        </is>
      </c>
      <c r="H100" s="154" t="inlineStr">
        <is>
          <t>Apparel and Accessories</t>
        </is>
      </c>
      <c r="I100" s="155" t="inlineStr">
        <is>
          <t>Accessories</t>
        </is>
      </c>
      <c r="J100" s="156" t="inlineStr">
        <is>
          <t>Accessories*, Other Apparel, Recreational Goods</t>
        </is>
      </c>
      <c r="K100" s="157" t="inlineStr">
        <is>
          <t/>
        </is>
      </c>
      <c r="L100" s="158" t="inlineStr">
        <is>
          <t>adventure gear, e-retail stores, sports apparel</t>
        </is>
      </c>
      <c r="M100" s="159" t="inlineStr">
        <is>
          <t>Corporation</t>
        </is>
      </c>
      <c r="N100" s="160" t="inlineStr">
        <is>
          <t/>
        </is>
      </c>
      <c r="O100" s="161" t="inlineStr">
        <is>
          <t>Profitable</t>
        </is>
      </c>
      <c r="P100" s="162" t="inlineStr">
        <is>
          <t>Privately Held (no backing)</t>
        </is>
      </c>
      <c r="Q100" s="163" t="inlineStr">
        <is>
          <t>Other Private Companies</t>
        </is>
      </c>
      <c r="R100" s="164" t="inlineStr">
        <is>
          <t>www.rei.com</t>
        </is>
      </c>
      <c r="S100" s="165" t="n">
        <v>12000.0</v>
      </c>
      <c r="T100" s="166" t="inlineStr">
        <is>
          <t>2015: 12000, 2016: 12287, 2018: 12000</t>
        </is>
      </c>
      <c r="U100" s="167" t="inlineStr">
        <is>
          <t/>
        </is>
      </c>
      <c r="V100" s="168" t="inlineStr">
        <is>
          <t/>
        </is>
      </c>
      <c r="W100" s="169" t="n">
        <v>1938.0</v>
      </c>
      <c r="X100" s="170" t="inlineStr">
        <is>
          <t/>
        </is>
      </c>
      <c r="Y100" s="171" t="inlineStr">
        <is>
          <t>News (New) </t>
        </is>
      </c>
      <c r="Z100" s="172" t="inlineStr">
        <is>
          <t>News (New) </t>
        </is>
      </c>
      <c r="AA100" s="173" t="n">
        <v>2600.0</v>
      </c>
      <c r="AB100" s="174" t="inlineStr">
        <is>
          <t/>
        </is>
      </c>
      <c r="AC100" s="175" t="inlineStr">
        <is>
          <t/>
        </is>
      </c>
      <c r="AD100" s="176" t="inlineStr">
        <is>
          <t/>
        </is>
      </c>
      <c r="AE100" s="177" t="inlineStr">
        <is>
          <t/>
        </is>
      </c>
      <c r="AF100" s="178" t="inlineStr">
        <is>
          <t>FY 2016</t>
        </is>
      </c>
      <c r="AG100" s="179" t="inlineStr">
        <is>
          <t/>
        </is>
      </c>
      <c r="AH100" s="180" t="inlineStr">
        <is>
          <t/>
        </is>
      </c>
      <c r="AI100" s="181" t="inlineStr">
        <is>
          <t/>
        </is>
      </c>
      <c r="AJ100" s="182" t="inlineStr">
        <is>
          <t>61229-62P</t>
        </is>
      </c>
      <c r="AK100" s="183" t="inlineStr">
        <is>
          <t>Tracie Winbigler</t>
        </is>
      </c>
      <c r="AL100" s="184" t="inlineStr">
        <is>
          <t>Co-Chief Financial Officer</t>
        </is>
      </c>
      <c r="AM100" s="185" t="inlineStr">
        <is>
          <t>tracie.winbigler@rei-outlet.com</t>
        </is>
      </c>
      <c r="AN100" s="186" t="inlineStr">
        <is>
          <t>+1 (800) 426-4840</t>
        </is>
      </c>
      <c r="AO100" s="187" t="inlineStr">
        <is>
          <t>Kent, WA</t>
        </is>
      </c>
      <c r="AP100" s="188" t="inlineStr">
        <is>
          <t>6750 South 228th Street</t>
        </is>
      </c>
      <c r="AQ100" s="189" t="inlineStr">
        <is>
          <t/>
        </is>
      </c>
      <c r="AR100" s="190" t="inlineStr">
        <is>
          <t>Kent</t>
        </is>
      </c>
      <c r="AS100" s="191" t="inlineStr">
        <is>
          <t>Washington</t>
        </is>
      </c>
      <c r="AT100" s="192" t="inlineStr">
        <is>
          <t>98032</t>
        </is>
      </c>
      <c r="AU100" s="193" t="inlineStr">
        <is>
          <t>United States</t>
        </is>
      </c>
      <c r="AV100" s="194" t="inlineStr">
        <is>
          <t>+1 (800) 426-4840</t>
        </is>
      </c>
      <c r="AW100" s="195" t="inlineStr">
        <is>
          <t/>
        </is>
      </c>
      <c r="AX100" s="196" t="inlineStr">
        <is>
          <t/>
        </is>
      </c>
      <c r="AY100" s="197" t="inlineStr">
        <is>
          <t>Americas</t>
        </is>
      </c>
      <c r="AZ100" s="198" t="inlineStr">
        <is>
          <t>North America</t>
        </is>
      </c>
      <c r="BA100" s="199" t="inlineStr">
        <is>
          <t/>
        </is>
      </c>
      <c r="BB100" s="200" t="inlineStr">
        <is>
          <t/>
        </is>
      </c>
      <c r="BC100" s="201" t="inlineStr">
        <is>
          <t/>
        </is>
      </c>
      <c r="BD100" s="202" t="inlineStr">
        <is>
          <t/>
        </is>
      </c>
      <c r="BE100" s="203" t="inlineStr">
        <is>
          <t/>
        </is>
      </c>
      <c r="BF100" s="204" t="inlineStr">
        <is>
          <t/>
        </is>
      </c>
      <c r="BG100" s="205" t="inlineStr">
        <is>
          <t/>
        </is>
      </c>
      <c r="BH100" s="206" t="inlineStr">
        <is>
          <t/>
        </is>
      </c>
      <c r="BI100" s="207" t="inlineStr">
        <is>
          <t/>
        </is>
      </c>
      <c r="BJ100" s="208" t="inlineStr">
        <is>
          <t>Edelman(Advisor: Communications), Herd Freed Hartz(Advisor: General), hrQ(Consulting), The Brownestone Group(Consulting)</t>
        </is>
      </c>
      <c r="BK100" s="209" t="inlineStr">
        <is>
          <t/>
        </is>
      </c>
      <c r="BL100" s="210" t="inlineStr">
        <is>
          <t/>
        </is>
      </c>
      <c r="BM100" s="211" t="inlineStr">
        <is>
          <t/>
        </is>
      </c>
      <c r="BN100" s="212" t="inlineStr">
        <is>
          <t/>
        </is>
      </c>
      <c r="BO100" s="213" t="inlineStr">
        <is>
          <t/>
        </is>
      </c>
      <c r="BP100" s="214" t="inlineStr">
        <is>
          <t/>
        </is>
      </c>
      <c r="BQ100" s="215" t="inlineStr">
        <is>
          <t/>
        </is>
      </c>
      <c r="BR100" s="216" t="inlineStr">
        <is>
          <t/>
        </is>
      </c>
      <c r="BS100" s="217" t="inlineStr">
        <is>
          <t/>
        </is>
      </c>
      <c r="BT100" s="218" t="inlineStr">
        <is>
          <t/>
        </is>
      </c>
      <c r="BU100" s="219" t="inlineStr">
        <is>
          <t/>
        </is>
      </c>
      <c r="BV100" s="220" t="inlineStr">
        <is>
          <t/>
        </is>
      </c>
      <c r="BW100" s="221" t="inlineStr">
        <is>
          <t/>
        </is>
      </c>
      <c r="BX100" s="222" t="inlineStr">
        <is>
          <t/>
        </is>
      </c>
      <c r="BY100" s="223" t="inlineStr">
        <is>
          <t/>
        </is>
      </c>
      <c r="BZ100" s="224" t="inlineStr">
        <is>
          <t/>
        </is>
      </c>
      <c r="CA100" s="225" t="inlineStr">
        <is>
          <t/>
        </is>
      </c>
      <c r="CB100" s="226" t="inlineStr">
        <is>
          <t/>
        </is>
      </c>
      <c r="CC100" s="227" t="inlineStr">
        <is>
          <t/>
        </is>
      </c>
      <c r="CD100" s="228" t="inlineStr">
        <is>
          <t/>
        </is>
      </c>
      <c r="CE100" s="229" t="inlineStr">
        <is>
          <t/>
        </is>
      </c>
      <c r="CF100" s="230" t="inlineStr">
        <is>
          <t/>
        </is>
      </c>
      <c r="CG100" s="231" t="inlineStr">
        <is>
          <t/>
        </is>
      </c>
      <c r="CH100" s="232" t="inlineStr">
        <is>
          <t/>
        </is>
      </c>
      <c r="CI100" s="233" t="inlineStr">
        <is>
          <t/>
        </is>
      </c>
      <c r="CJ100" s="234" t="inlineStr">
        <is>
          <t/>
        </is>
      </c>
      <c r="CK100" s="235" t="inlineStr">
        <is>
          <t/>
        </is>
      </c>
      <c r="CL100" s="236" t="inlineStr">
        <is>
          <t/>
        </is>
      </c>
      <c r="CM100" s="237" t="inlineStr">
        <is>
          <t/>
        </is>
      </c>
      <c r="CN100" s="238" t="n">
        <v>0.52</v>
      </c>
      <c r="CO100" s="239" t="n">
        <v>95.0</v>
      </c>
      <c r="CP100" s="240" t="n">
        <v>0.01</v>
      </c>
      <c r="CQ100" s="241" t="n">
        <v>1.72</v>
      </c>
      <c r="CR100" s="242" t="n">
        <v>1.5</v>
      </c>
      <c r="CS100" s="243" t="n">
        <v>98.0</v>
      </c>
      <c r="CT100" s="244" t="n">
        <v>0.03</v>
      </c>
      <c r="CU100" s="245" t="n">
        <v>60.0</v>
      </c>
      <c r="CV100" s="246" t="n">
        <v>3.07</v>
      </c>
      <c r="CW100" s="247" t="n">
        <v>94.0</v>
      </c>
      <c r="CX100" s="248" t="n">
        <v>-0.06</v>
      </c>
      <c r="CY100" s="249" t="n">
        <v>11.0</v>
      </c>
      <c r="CZ100" s="250" t="n">
        <v>0.01</v>
      </c>
      <c r="DA100" s="251" t="n">
        <v>63.0</v>
      </c>
      <c r="DB100" s="252" t="n">
        <v>2006.39</v>
      </c>
      <c r="DC100" s="253" t="n">
        <v>100.0</v>
      </c>
      <c r="DD100" s="254" t="n">
        <v>61.5</v>
      </c>
      <c r="DE100" s="255" t="n">
        <v>3.16</v>
      </c>
      <c r="DF100" s="256" t="n">
        <v>4188.23</v>
      </c>
      <c r="DG100" s="257" t="n">
        <v>100.0</v>
      </c>
      <c r="DH100" s="258" t="n">
        <v>1724.28</v>
      </c>
      <c r="DI100" s="259" t="n">
        <v>100.0</v>
      </c>
      <c r="DJ100" s="260" t="n">
        <v>6984.11</v>
      </c>
      <c r="DK100" s="261" t="n">
        <v>100.0</v>
      </c>
      <c r="DL100" s="262" t="n">
        <v>1392.35</v>
      </c>
      <c r="DM100" s="263" t="n">
        <v>100.0</v>
      </c>
      <c r="DN100" s="264" t="n">
        <v>1149.18</v>
      </c>
      <c r="DO100" s="265" t="n">
        <v>100.0</v>
      </c>
      <c r="DP100" s="266" t="n">
        <v>4985061.0</v>
      </c>
      <c r="DQ100" s="267" t="n">
        <v>-48549.0</v>
      </c>
      <c r="DR100" s="268" t="n">
        <v>-0.96</v>
      </c>
      <c r="DS100" s="269" t="n">
        <v>47201.0</v>
      </c>
      <c r="DT100" s="270" t="n">
        <v>294.0</v>
      </c>
      <c r="DU100" s="271" t="n">
        <v>0.63</v>
      </c>
      <c r="DV100" s="272" t="n">
        <v>412612.0</v>
      </c>
      <c r="DW100" s="273" t="n">
        <v>-62.0</v>
      </c>
      <c r="DX100" s="274" t="n">
        <v>-0.02</v>
      </c>
      <c r="DY100" s="275" t="inlineStr">
        <is>
          <t>PitchBook Research</t>
        </is>
      </c>
      <c r="DZ100" s="276" t="n">
        <v>43370.0</v>
      </c>
      <c r="EA100" s="277" t="inlineStr">
        <is>
          <t/>
        </is>
      </c>
      <c r="EB100" s="278" t="inlineStr">
        <is>
          <t/>
        </is>
      </c>
      <c r="EC100" s="279" t="inlineStr">
        <is>
          <t/>
        </is>
      </c>
      <c r="ED100" s="548">
        <f>HYPERLINK("https://my.pitchbook.com?c=94862-08", "View company online")</f>
      </c>
    </row>
    <row r="101">
      <c r="A101" s="13" t="inlineStr">
        <is>
          <t>235052-92</t>
        </is>
      </c>
      <c r="B101" s="14" t="inlineStr">
        <is>
          <t>Kontoor Brands</t>
        </is>
      </c>
      <c r="C101" s="15" t="inlineStr">
        <is>
          <t/>
        </is>
      </c>
      <c r="D101" s="16" t="inlineStr">
        <is>
          <t/>
        </is>
      </c>
      <c r="E101" s="17" t="inlineStr">
        <is>
          <t>235052-92</t>
        </is>
      </c>
      <c r="F101" s="18" t="inlineStr">
        <is>
          <t>Operator of Wrangler, Lee and Rock &amp; Republic brands, and the VF Outlet business in North Carolina.</t>
        </is>
      </c>
      <c r="G101" s="19" t="inlineStr">
        <is>
          <t>Consumer Products and Services (B2C)</t>
        </is>
      </c>
      <c r="H101" s="20" t="inlineStr">
        <is>
          <t>Apparel and Accessories</t>
        </is>
      </c>
      <c r="I101" s="21" t="inlineStr">
        <is>
          <t>Clothing</t>
        </is>
      </c>
      <c r="J101" s="22" t="inlineStr">
        <is>
          <t>Clothing*</t>
        </is>
      </c>
      <c r="K101" s="23" t="inlineStr">
        <is>
          <t/>
        </is>
      </c>
      <c r="L101" s="24" t="inlineStr">
        <is>
          <t>apparel wear, clothing, jeans branding, jeanswear</t>
        </is>
      </c>
      <c r="M101" s="25" t="inlineStr">
        <is>
          <t>Pending Transaction (M&amp;A)</t>
        </is>
      </c>
      <c r="N101" s="26" t="inlineStr">
        <is>
          <t/>
        </is>
      </c>
      <c r="O101" s="27" t="inlineStr">
        <is>
          <t>Profitable</t>
        </is>
      </c>
      <c r="P101" s="28" t="inlineStr">
        <is>
          <t>Privately Held (no backing)</t>
        </is>
      </c>
      <c r="Q101" s="29" t="inlineStr">
        <is>
          <t>M&amp;A</t>
        </is>
      </c>
      <c r="R101" s="30" t="inlineStr">
        <is>
          <t/>
        </is>
      </c>
      <c r="S101" s="31" t="inlineStr">
        <is>
          <t/>
        </is>
      </c>
      <c r="T101" s="32" t="inlineStr">
        <is>
          <t/>
        </is>
      </c>
      <c r="U101" s="33" t="inlineStr">
        <is>
          <t/>
        </is>
      </c>
      <c r="V101" s="34" t="inlineStr">
        <is>
          <t/>
        </is>
      </c>
      <c r="W101" s="35" t="inlineStr">
        <is>
          <t/>
        </is>
      </c>
      <c r="X101" s="36" t="inlineStr">
        <is>
          <t/>
        </is>
      </c>
      <c r="Y101" s="37" t="inlineStr">
        <is>
          <t/>
        </is>
      </c>
      <c r="Z101" s="38" t="inlineStr">
        <is>
          <t/>
        </is>
      </c>
      <c r="AA101" s="39" t="n">
        <v>2600.0</v>
      </c>
      <c r="AB101" s="40" t="inlineStr">
        <is>
          <t/>
        </is>
      </c>
      <c r="AC101" s="41" t="inlineStr">
        <is>
          <t/>
        </is>
      </c>
      <c r="AD101" s="42" t="inlineStr">
        <is>
          <t/>
        </is>
      </c>
      <c r="AE101" s="43" t="inlineStr">
        <is>
          <t/>
        </is>
      </c>
      <c r="AF101" s="44" t="inlineStr">
        <is>
          <t>FY 2017</t>
        </is>
      </c>
      <c r="AG101" s="45" t="inlineStr">
        <is>
          <t/>
        </is>
      </c>
      <c r="AH101" s="46" t="inlineStr">
        <is>
          <t/>
        </is>
      </c>
      <c r="AI101" s="47" t="inlineStr">
        <is>
          <t/>
        </is>
      </c>
      <c r="AJ101" s="48" t="inlineStr">
        <is>
          <t>197744-23P</t>
        </is>
      </c>
      <c r="AK101" s="49" t="inlineStr">
        <is>
          <t>Scott Baxter</t>
        </is>
      </c>
      <c r="AL101" s="50" t="inlineStr">
        <is>
          <t>Chief Executive Officer</t>
        </is>
      </c>
      <c r="AM101" s="51" t="inlineStr">
        <is>
          <t/>
        </is>
      </c>
      <c r="AN101" s="52" t="inlineStr">
        <is>
          <t/>
        </is>
      </c>
      <c r="AO101" s="53" t="inlineStr">
        <is>
          <t>Greensboro, NC</t>
        </is>
      </c>
      <c r="AP101" s="54" t="inlineStr">
        <is>
          <t>105 Corporate Center Boulevard</t>
        </is>
      </c>
      <c r="AQ101" s="55" t="inlineStr">
        <is>
          <t/>
        </is>
      </c>
      <c r="AR101" s="56" t="inlineStr">
        <is>
          <t>Greensboro</t>
        </is>
      </c>
      <c r="AS101" s="57" t="inlineStr">
        <is>
          <t>North Carolina</t>
        </is>
      </c>
      <c r="AT101" s="58" t="inlineStr">
        <is>
          <t>27408</t>
        </is>
      </c>
      <c r="AU101" s="59" t="inlineStr">
        <is>
          <t>United States</t>
        </is>
      </c>
      <c r="AV101" s="60" t="inlineStr">
        <is>
          <t/>
        </is>
      </c>
      <c r="AW101" s="61" t="inlineStr">
        <is>
          <t/>
        </is>
      </c>
      <c r="AX101" s="62" t="inlineStr">
        <is>
          <t/>
        </is>
      </c>
      <c r="AY101" s="63" t="inlineStr">
        <is>
          <t>Americas</t>
        </is>
      </c>
      <c r="AZ101" s="64" t="inlineStr">
        <is>
          <t>North America</t>
        </is>
      </c>
      <c r="BA101" s="65" t="inlineStr">
        <is>
          <t>VF Corporation is planning on spinning out Kontor Brands through an initial public offering as of December 6, 2018. The new company will comprise the Wrangler, Lee and Rock &amp; Republic brands and the VF Outlet business. The company is being actively tracked by PitchBook.</t>
        </is>
      </c>
      <c r="BB101" s="66" t="inlineStr">
        <is>
          <t>VF Corporation</t>
        </is>
      </c>
      <c r="BC101" s="67" t="n">
        <v>1.0</v>
      </c>
      <c r="BD101" s="68" t="inlineStr">
        <is>
          <t/>
        </is>
      </c>
      <c r="BE101" s="69" t="inlineStr">
        <is>
          <t/>
        </is>
      </c>
      <c r="BF101" s="70" t="inlineStr">
        <is>
          <t/>
        </is>
      </c>
      <c r="BG101" s="71" t="inlineStr">
        <is>
          <t>VF Corporation(www.vfc.com)</t>
        </is>
      </c>
      <c r="BH101" s="72" t="inlineStr">
        <is>
          <t/>
        </is>
      </c>
      <c r="BI101" s="73" t="inlineStr">
        <is>
          <t/>
        </is>
      </c>
      <c r="BJ101" s="74" t="inlineStr">
        <is>
          <t/>
        </is>
      </c>
      <c r="BK101" s="75" t="inlineStr">
        <is>
          <t/>
        </is>
      </c>
      <c r="BL101" s="76" t="n">
        <v>43555.0</v>
      </c>
      <c r="BM101" s="77" t="inlineStr">
        <is>
          <t/>
        </is>
      </c>
      <c r="BN101" s="78" t="inlineStr">
        <is>
          <t/>
        </is>
      </c>
      <c r="BO101" s="79" t="inlineStr">
        <is>
          <t/>
        </is>
      </c>
      <c r="BP101" s="80" t="inlineStr">
        <is>
          <t/>
        </is>
      </c>
      <c r="BQ101" s="81" t="inlineStr">
        <is>
          <t>IPO</t>
        </is>
      </c>
      <c r="BR101" s="82" t="inlineStr">
        <is>
          <t>Spin-Off</t>
        </is>
      </c>
      <c r="BS101" s="83" t="inlineStr">
        <is>
          <t/>
        </is>
      </c>
      <c r="BT101" s="84" t="inlineStr">
        <is>
          <t>Public Investment</t>
        </is>
      </c>
      <c r="BU101" s="85" t="inlineStr">
        <is>
          <t/>
        </is>
      </c>
      <c r="BV101" s="86" t="inlineStr">
        <is>
          <t/>
        </is>
      </c>
      <c r="BW101" s="87" t="inlineStr">
        <is>
          <t/>
        </is>
      </c>
      <c r="BX101" s="88" t="inlineStr">
        <is>
          <t>Upcoming</t>
        </is>
      </c>
      <c r="BY101" s="89" t="n">
        <v>43555.0</v>
      </c>
      <c r="BZ101" s="90" t="inlineStr">
        <is>
          <t/>
        </is>
      </c>
      <c r="CA101" s="91" t="inlineStr">
        <is>
          <t/>
        </is>
      </c>
      <c r="CB101" s="92" t="inlineStr">
        <is>
          <t/>
        </is>
      </c>
      <c r="CC101" s="93" t="inlineStr">
        <is>
          <t/>
        </is>
      </c>
      <c r="CD101" s="94" t="inlineStr">
        <is>
          <t>IPO</t>
        </is>
      </c>
      <c r="CE101" s="95" t="inlineStr">
        <is>
          <t>Spin-Off</t>
        </is>
      </c>
      <c r="CF101" s="96" t="inlineStr">
        <is>
          <t/>
        </is>
      </c>
      <c r="CG101" s="97" t="inlineStr">
        <is>
          <t>Public Investment</t>
        </is>
      </c>
      <c r="CH101" s="98" t="inlineStr">
        <is>
          <t/>
        </is>
      </c>
      <c r="CI101" s="99" t="inlineStr">
        <is>
          <t/>
        </is>
      </c>
      <c r="CJ101" s="100" t="inlineStr">
        <is>
          <t/>
        </is>
      </c>
      <c r="CK101" s="101" t="inlineStr">
        <is>
          <t>Upcoming</t>
        </is>
      </c>
      <c r="CL101" s="102" t="inlineStr">
        <is>
          <t/>
        </is>
      </c>
      <c r="CM101" s="103" t="inlineStr">
        <is>
          <t/>
        </is>
      </c>
      <c r="CN101" s="104" t="inlineStr">
        <is>
          <t/>
        </is>
      </c>
      <c r="CO101" s="105" t="inlineStr">
        <is>
          <t/>
        </is>
      </c>
      <c r="CP101" s="106" t="inlineStr">
        <is>
          <t/>
        </is>
      </c>
      <c r="CQ101" s="107" t="inlineStr">
        <is>
          <t/>
        </is>
      </c>
      <c r="CR101" s="108" t="inlineStr">
        <is>
          <t/>
        </is>
      </c>
      <c r="CS101" s="109" t="inlineStr">
        <is>
          <t/>
        </is>
      </c>
      <c r="CT101" s="110" t="inlineStr">
        <is>
          <t/>
        </is>
      </c>
      <c r="CU101" s="111" t="inlineStr">
        <is>
          <t/>
        </is>
      </c>
      <c r="CV101" s="112" t="inlineStr">
        <is>
          <t/>
        </is>
      </c>
      <c r="CW101" s="113" t="inlineStr">
        <is>
          <t/>
        </is>
      </c>
      <c r="CX101" s="114" t="inlineStr">
        <is>
          <t/>
        </is>
      </c>
      <c r="CY101" s="115" t="inlineStr">
        <is>
          <t/>
        </is>
      </c>
      <c r="CZ101" s="116" t="inlineStr">
        <is>
          <t/>
        </is>
      </c>
      <c r="DA101" s="117" t="inlineStr">
        <is>
          <t/>
        </is>
      </c>
      <c r="DB101" s="118" t="inlineStr">
        <is>
          <t/>
        </is>
      </c>
      <c r="DC101" s="119" t="inlineStr">
        <is>
          <t/>
        </is>
      </c>
      <c r="DD101" s="120" t="inlineStr">
        <is>
          <t/>
        </is>
      </c>
      <c r="DE101" s="121" t="inlineStr">
        <is>
          <t/>
        </is>
      </c>
      <c r="DF101" s="122" t="inlineStr">
        <is>
          <t/>
        </is>
      </c>
      <c r="DG101" s="123" t="inlineStr">
        <is>
          <t/>
        </is>
      </c>
      <c r="DH101" s="124" t="inlineStr">
        <is>
          <t/>
        </is>
      </c>
      <c r="DI101" s="125" t="inlineStr">
        <is>
          <t/>
        </is>
      </c>
      <c r="DJ101" s="126" t="inlineStr">
        <is>
          <t/>
        </is>
      </c>
      <c r="DK101" s="127" t="inlineStr">
        <is>
          <t/>
        </is>
      </c>
      <c r="DL101" s="128" t="inlineStr">
        <is>
          <t/>
        </is>
      </c>
      <c r="DM101" s="129" t="inlineStr">
        <is>
          <t/>
        </is>
      </c>
      <c r="DN101" s="130" t="inlineStr">
        <is>
          <t/>
        </is>
      </c>
      <c r="DO101" s="131" t="inlineStr">
        <is>
          <t/>
        </is>
      </c>
      <c r="DP101" s="132" t="inlineStr">
        <is>
          <t/>
        </is>
      </c>
      <c r="DQ101" s="133" t="inlineStr">
        <is>
          <t/>
        </is>
      </c>
      <c r="DR101" s="134" t="inlineStr">
        <is>
          <t/>
        </is>
      </c>
      <c r="DS101" s="135" t="inlineStr">
        <is>
          <t/>
        </is>
      </c>
      <c r="DT101" s="136" t="inlineStr">
        <is>
          <t/>
        </is>
      </c>
      <c r="DU101" s="137" t="inlineStr">
        <is>
          <t/>
        </is>
      </c>
      <c r="DV101" s="138" t="inlineStr">
        <is>
          <t/>
        </is>
      </c>
      <c r="DW101" s="139" t="inlineStr">
        <is>
          <t/>
        </is>
      </c>
      <c r="DX101" s="140" t="inlineStr">
        <is>
          <t/>
        </is>
      </c>
      <c r="DY101" s="141" t="inlineStr">
        <is>
          <t>PitchBook Research</t>
        </is>
      </c>
      <c r="DZ101" s="142" t="n">
        <v>43451.0</v>
      </c>
      <c r="EA101" s="143" t="inlineStr">
        <is>
          <t/>
        </is>
      </c>
      <c r="EB101" s="144" t="inlineStr">
        <is>
          <t/>
        </is>
      </c>
      <c r="EC101" s="145" t="inlineStr">
        <is>
          <t/>
        </is>
      </c>
      <c r="ED101" s="547">
        <f>HYPERLINK("https://my.pitchbook.com?c=235052-92", "View company online")</f>
      </c>
    </row>
    <row r="102">
      <c r="A102" s="147" t="inlineStr">
        <is>
          <t>41322-61</t>
        </is>
      </c>
      <c r="B102" s="148" t="inlineStr">
        <is>
          <t>Fossil Group (NAS: FOSL)</t>
        </is>
      </c>
      <c r="C102" s="149" t="inlineStr">
        <is>
          <t/>
        </is>
      </c>
      <c r="D102" s="150" t="inlineStr">
        <is>
          <t>Fossil</t>
        </is>
      </c>
      <c r="E102" s="151" t="inlineStr">
        <is>
          <t>41322-61</t>
        </is>
      </c>
      <c r="F102" s="152" t="inlineStr">
        <is>
          <t>Fossil Group Inc designs and sells watches and other fashion accessories, including jewelry, handbags, and small leather goods. Watches make up the majority of company revenue. Roughly half of sales occur in the Americas, with the rest coming from Europe and Asia. Fossil primarily sells its products through third-party retailers but also has company-owned stores in the United States. Its products target a wide range of ages and income levels with both owned and licensed brands. Fossil sources almost all of its products internationally, and the company itself is involved in the manufacture of roughly half of its non-Swiss-made watches. The remaining products are produced by third-party manufacturers.</t>
        </is>
      </c>
      <c r="G102" s="153" t="inlineStr">
        <is>
          <t>Consumer Products and Services (B2C)</t>
        </is>
      </c>
      <c r="H102" s="154" t="inlineStr">
        <is>
          <t>Apparel and Accessories</t>
        </is>
      </c>
      <c r="I102" s="155" t="inlineStr">
        <is>
          <t>Accessories</t>
        </is>
      </c>
      <c r="J102" s="156" t="inlineStr">
        <is>
          <t>Accessories*, Clothing</t>
        </is>
      </c>
      <c r="K102" s="157" t="inlineStr">
        <is>
          <t>Manufacturing</t>
        </is>
      </c>
      <c r="L102" s="158" t="inlineStr">
        <is>
          <t>accessories, high fashion, watches, wearables</t>
        </is>
      </c>
      <c r="M102" s="159" t="inlineStr">
        <is>
          <t>Corporation</t>
        </is>
      </c>
      <c r="N102" s="160" t="inlineStr">
        <is>
          <t/>
        </is>
      </c>
      <c r="O102" s="161" t="inlineStr">
        <is>
          <t>Generating Revenue/Not Profitable</t>
        </is>
      </c>
      <c r="P102" s="162" t="inlineStr">
        <is>
          <t>Publicly Held</t>
        </is>
      </c>
      <c r="Q102" s="163" t="inlineStr">
        <is>
          <t>Private Equity, Publicly Listed</t>
        </is>
      </c>
      <c r="R102" s="164" t="inlineStr">
        <is>
          <t/>
        </is>
      </c>
      <c r="S102" s="165" t="n">
        <v>10800.0</v>
      </c>
      <c r="T102" s="166" t="inlineStr">
        <is>
          <t>1993: 130, 1994: 130, 1995: 430, 1996: 689, 1997: 722, 1998: 535, 1999: 1217, 2000: 2044, 2001: 2389, 2002: 2233, 2003: 2568, 2004: 5400, 2005: 7160, 2007: 7400, 2008: 7355, 2009: 7900, 2011: 13100, 2012: 14000, 2013: 14600, 2015: 15200, 2016: 15100, 2017: 12300, 2018: 10800</t>
        </is>
      </c>
      <c r="U102" s="167" t="inlineStr">
        <is>
          <t>NAS</t>
        </is>
      </c>
      <c r="V102" s="168" t="inlineStr">
        <is>
          <t>FOSL</t>
        </is>
      </c>
      <c r="W102" s="169" t="n">
        <v>1984.0</v>
      </c>
      <c r="X102" s="170" t="inlineStr">
        <is>
          <t/>
        </is>
      </c>
      <c r="Y102" s="171" t="inlineStr">
        <is>
          <t/>
        </is>
      </c>
      <c r="Z102" s="172" t="inlineStr">
        <is>
          <t>News (New) </t>
        </is>
      </c>
      <c r="AA102" s="173" t="n">
        <v>2541.49</v>
      </c>
      <c r="AB102" s="174" t="n">
        <v>1340.14</v>
      </c>
      <c r="AC102" s="175" t="n">
        <v>-3.48</v>
      </c>
      <c r="AD102" s="176" t="n">
        <v>941.74</v>
      </c>
      <c r="AE102" s="177" t="n">
        <v>127.65</v>
      </c>
      <c r="AF102" s="178" t="inlineStr">
        <is>
          <t>FY 2018</t>
        </is>
      </c>
      <c r="AG102" s="179" t="n">
        <v>60.07</v>
      </c>
      <c r="AH102" s="180" t="n">
        <v>688.56</v>
      </c>
      <c r="AI102" s="181" t="n">
        <v>-8.03</v>
      </c>
      <c r="AJ102" s="182" t="inlineStr">
        <is>
          <t>12143-17P</t>
        </is>
      </c>
      <c r="AK102" s="183" t="inlineStr">
        <is>
          <t>Jeffrey Boyer</t>
        </is>
      </c>
      <c r="AL102" s="184" t="inlineStr">
        <is>
          <t>Chief Financial Officer, Executive Vice President &amp; Treasurer</t>
        </is>
      </c>
      <c r="AM102" s="185" t="inlineStr">
        <is>
          <t>jeffrey.boyer@fossilgroup.com</t>
        </is>
      </c>
      <c r="AN102" s="186" t="inlineStr">
        <is>
          <t>+1 (972) 234-2525</t>
        </is>
      </c>
      <c r="AO102" s="187" t="inlineStr">
        <is>
          <t>Richardson, TX</t>
        </is>
      </c>
      <c r="AP102" s="188" t="inlineStr">
        <is>
          <t>901 South Central Expressway</t>
        </is>
      </c>
      <c r="AQ102" s="189" t="inlineStr">
        <is>
          <t/>
        </is>
      </c>
      <c r="AR102" s="190" t="inlineStr">
        <is>
          <t>Richardson</t>
        </is>
      </c>
      <c r="AS102" s="191" t="inlineStr">
        <is>
          <t>Texas</t>
        </is>
      </c>
      <c r="AT102" s="192" t="inlineStr">
        <is>
          <t>75080</t>
        </is>
      </c>
      <c r="AU102" s="193" t="inlineStr">
        <is>
          <t>United States</t>
        </is>
      </c>
      <c r="AV102" s="194" t="inlineStr">
        <is>
          <t>+1 (972) 234-2525</t>
        </is>
      </c>
      <c r="AW102" s="195" t="inlineStr">
        <is>
          <t/>
        </is>
      </c>
      <c r="AX102" s="196" t="inlineStr">
        <is>
          <t/>
        </is>
      </c>
      <c r="AY102" s="197" t="inlineStr">
        <is>
          <t>Americas</t>
        </is>
      </c>
      <c r="AZ102" s="198" t="inlineStr">
        <is>
          <t>North America</t>
        </is>
      </c>
      <c r="BA102" s="199" t="inlineStr">
        <is>
          <t>The company is rumored to be in talks with Thoma Bravo regarding a potential acquisition for an undisclosed amount on January 19, 2018. Previously, the company (NAS:FOSL) received an undisclosed amount of development capital from BlackRock and Fidelity Management &amp; Research on January 19, 2018 through a private placement. The company is being actively tracked by PitchBook.</t>
        </is>
      </c>
      <c r="BB102" s="200" t="inlineStr">
        <is>
          <t>BlackRock, Fidelity Management &amp; Research</t>
        </is>
      </c>
      <c r="BC102" s="201" t="n">
        <v>2.0</v>
      </c>
      <c r="BD102" s="202" t="inlineStr">
        <is>
          <t/>
        </is>
      </c>
      <c r="BE102" s="203" t="inlineStr">
        <is>
          <t/>
        </is>
      </c>
      <c r="BF102" s="204" t="inlineStr">
        <is>
          <t/>
        </is>
      </c>
      <c r="BG102" s="205" t="inlineStr">
        <is>
          <t>BlackRock(www.blackrock.com)</t>
        </is>
      </c>
      <c r="BH102" s="206" t="inlineStr">
        <is>
          <t/>
        </is>
      </c>
      <c r="BI102" s="207" t="inlineStr">
        <is>
          <t/>
        </is>
      </c>
      <c r="BJ102" s="208" t="inlineStr">
        <is>
          <t>Telsey Advisory Group(Advisor: General)</t>
        </is>
      </c>
      <c r="BK102" s="209" t="inlineStr">
        <is>
          <t/>
        </is>
      </c>
      <c r="BL102" s="210" t="n">
        <v>34060.0</v>
      </c>
      <c r="BM102" s="211" t="inlineStr">
        <is>
          <t/>
        </is>
      </c>
      <c r="BN102" s="212" t="inlineStr">
        <is>
          <t/>
        </is>
      </c>
      <c r="BO102" s="213" t="inlineStr">
        <is>
          <t/>
        </is>
      </c>
      <c r="BP102" s="214" t="inlineStr">
        <is>
          <t/>
        </is>
      </c>
      <c r="BQ102" s="215" t="inlineStr">
        <is>
          <t>IPO</t>
        </is>
      </c>
      <c r="BR102" s="216" t="inlineStr">
        <is>
          <t/>
        </is>
      </c>
      <c r="BS102" s="217" t="inlineStr">
        <is>
          <t/>
        </is>
      </c>
      <c r="BT102" s="218" t="inlineStr">
        <is>
          <t>Public Investment</t>
        </is>
      </c>
      <c r="BU102" s="219" t="inlineStr">
        <is>
          <t/>
        </is>
      </c>
      <c r="BV102" s="220" t="inlineStr">
        <is>
          <t/>
        </is>
      </c>
      <c r="BW102" s="221" t="inlineStr">
        <is>
          <t/>
        </is>
      </c>
      <c r="BX102" s="222" t="inlineStr">
        <is>
          <t>Completed</t>
        </is>
      </c>
      <c r="BY102" s="223" t="inlineStr">
        <is>
          <t/>
        </is>
      </c>
      <c r="BZ102" s="224" t="inlineStr">
        <is>
          <t/>
        </is>
      </c>
      <c r="CA102" s="225" t="inlineStr">
        <is>
          <t/>
        </is>
      </c>
      <c r="CB102" s="226" t="inlineStr">
        <is>
          <t/>
        </is>
      </c>
      <c r="CC102" s="227" t="inlineStr">
        <is>
          <t/>
        </is>
      </c>
      <c r="CD102" s="228" t="inlineStr">
        <is>
          <t>Buyout/LBO</t>
        </is>
      </c>
      <c r="CE102" s="229" t="inlineStr">
        <is>
          <t/>
        </is>
      </c>
      <c r="CF102" s="230" t="inlineStr">
        <is>
          <t/>
        </is>
      </c>
      <c r="CG102" s="231" t="inlineStr">
        <is>
          <t>Private Equity</t>
        </is>
      </c>
      <c r="CH102" s="232" t="inlineStr">
        <is>
          <t/>
        </is>
      </c>
      <c r="CI102" s="233" t="inlineStr">
        <is>
          <t/>
        </is>
      </c>
      <c r="CJ102" s="234" t="inlineStr">
        <is>
          <t/>
        </is>
      </c>
      <c r="CK102" s="235" t="inlineStr">
        <is>
          <t>Upcoming</t>
        </is>
      </c>
      <c r="CL102" s="236" t="inlineStr">
        <is>
          <t/>
        </is>
      </c>
      <c r="CM102" s="237" t="inlineStr">
        <is>
          <t/>
        </is>
      </c>
      <c r="CN102" s="238" t="n">
        <v>-0.91</v>
      </c>
      <c r="CO102" s="239" t="n">
        <v>5.0</v>
      </c>
      <c r="CP102" s="240" t="n">
        <v>0.02</v>
      </c>
      <c r="CQ102" s="241" t="n">
        <v>2.15</v>
      </c>
      <c r="CR102" s="242" t="n">
        <v>-2.02</v>
      </c>
      <c r="CS102" s="243" t="n">
        <v>4.0</v>
      </c>
      <c r="CT102" s="244" t="n">
        <v>0.2</v>
      </c>
      <c r="CU102" s="245" t="n">
        <v>84.0</v>
      </c>
      <c r="CV102" s="246" t="n">
        <v>-5.02</v>
      </c>
      <c r="CW102" s="247" t="n">
        <v>9.0</v>
      </c>
      <c r="CX102" s="248" t="n">
        <v>0.98</v>
      </c>
      <c r="CY102" s="249" t="n">
        <v>97.0</v>
      </c>
      <c r="CZ102" s="250" t="n">
        <v>0.14</v>
      </c>
      <c r="DA102" s="251" t="n">
        <v>81.0</v>
      </c>
      <c r="DB102" s="252" t="n">
        <v>1098.25</v>
      </c>
      <c r="DC102" s="253" t="n">
        <v>100.0</v>
      </c>
      <c r="DD102" s="254" t="n">
        <v>5.55</v>
      </c>
      <c r="DE102" s="255" t="n">
        <v>0.51</v>
      </c>
      <c r="DF102" s="256" t="n">
        <v>26.48</v>
      </c>
      <c r="DG102" s="257" t="n">
        <v>96.0</v>
      </c>
      <c r="DH102" s="258" t="n">
        <v>2170.01</v>
      </c>
      <c r="DI102" s="259" t="n">
        <v>100.0</v>
      </c>
      <c r="DJ102" s="260" t="n">
        <v>5.85</v>
      </c>
      <c r="DK102" s="261" t="n">
        <v>81.0</v>
      </c>
      <c r="DL102" s="262" t="n">
        <v>47.12</v>
      </c>
      <c r="DM102" s="263" t="n">
        <v>98.0</v>
      </c>
      <c r="DN102" s="264" t="n">
        <v>233.25</v>
      </c>
      <c r="DO102" s="265" t="n">
        <v>99.0</v>
      </c>
      <c r="DP102" s="266" t="n">
        <v>4217.0</v>
      </c>
      <c r="DQ102" s="267" t="n">
        <v>-429.0</v>
      </c>
      <c r="DR102" s="268" t="n">
        <v>-9.23</v>
      </c>
      <c r="DS102" s="269" t="n">
        <v>1595.0</v>
      </c>
      <c r="DT102" s="270" t="n">
        <v>23.0</v>
      </c>
      <c r="DU102" s="271" t="n">
        <v>1.46</v>
      </c>
      <c r="DV102" s="272" t="n">
        <v>83758.0</v>
      </c>
      <c r="DW102" s="273" t="n">
        <v>-77.0</v>
      </c>
      <c r="DX102" s="274" t="n">
        <v>-0.09</v>
      </c>
      <c r="DY102" s="275" t="inlineStr">
        <is>
          <t>PitchBook Research</t>
        </is>
      </c>
      <c r="DZ102" s="276" t="n">
        <v>43540.0</v>
      </c>
      <c r="EA102" s="277" t="inlineStr">
        <is>
          <t/>
        </is>
      </c>
      <c r="EB102" s="278" t="inlineStr">
        <is>
          <t/>
        </is>
      </c>
      <c r="EC102" s="279" t="inlineStr">
        <is>
          <t/>
        </is>
      </c>
      <c r="ED102" s="548">
        <f>HYPERLINK("https://my.pitchbook.com?c=41322-61", "View company online")</f>
      </c>
    </row>
    <row r="103">
      <c r="A103" s="13" t="inlineStr">
        <is>
          <t>41356-63</t>
        </is>
      </c>
      <c r="B103" s="14" t="inlineStr">
        <is>
          <t>Ann</t>
        </is>
      </c>
      <c r="C103" s="15" t="inlineStr">
        <is>
          <t>ANNTAYLOR STORES, TAYLOR ANN STORES</t>
        </is>
      </c>
      <c r="D103" s="16" t="inlineStr">
        <is>
          <t/>
        </is>
      </c>
      <c r="E103" s="17" t="inlineStr">
        <is>
          <t>41356-63</t>
        </is>
      </c>
      <c r="F103" s="18" t="inlineStr">
        <is>
          <t>Retailer of women's apparel. The company engages in selling casual separates, dresses, tops, shoes and accessories for women via its fashion stores located in the United States.</t>
        </is>
      </c>
      <c r="G103" s="19" t="inlineStr">
        <is>
          <t>Consumer Products and Services (B2C)</t>
        </is>
      </c>
      <c r="H103" s="20" t="inlineStr">
        <is>
          <t>Apparel and Accessories</t>
        </is>
      </c>
      <c r="I103" s="21" t="inlineStr">
        <is>
          <t>Clothing</t>
        </is>
      </c>
      <c r="J103" s="22" t="inlineStr">
        <is>
          <t>Accessories, Clothing*, Specialty Retail</t>
        </is>
      </c>
      <c r="K103" s="23" t="inlineStr">
        <is>
          <t/>
        </is>
      </c>
      <c r="L103" s="24" t="inlineStr">
        <is>
          <t>casual wear</t>
        </is>
      </c>
      <c r="M103" s="25" t="inlineStr">
        <is>
          <t>Formerly PE-Backed</t>
        </is>
      </c>
      <c r="N103" s="26" t="n">
        <v>156.2</v>
      </c>
      <c r="O103" s="27" t="inlineStr">
        <is>
          <t>Generating Revenue</t>
        </is>
      </c>
      <c r="P103" s="28" t="inlineStr">
        <is>
          <t>Acquired/Merged (Operating Subsidiary)</t>
        </is>
      </c>
      <c r="Q103" s="29" t="inlineStr">
        <is>
          <t>Private Equity, Publicly Listed</t>
        </is>
      </c>
      <c r="R103" s="30" t="inlineStr">
        <is>
          <t/>
        </is>
      </c>
      <c r="S103" s="31" t="n">
        <v>18800.0</v>
      </c>
      <c r="T103" s="32" t="inlineStr">
        <is>
          <t>1991: 2959, 1992: 3133, 1993: 3099, 1994: 2508, 1995: 5258, 1996: 5962, 1997: 6400, 1998: 6300, 1999: 7300, 2000: 7980, 2001: 9000, 2002: 9500, 2003: 17500, 2004: 13000, 2005: 14900, 2006: 16900, 2007: 17700, 2008: 18400, 2009: 18400, 2010: 18800, 2011: 19400, 2012: 19900, 2013: 19600, 2014: 19800, 2015: 18800</t>
        </is>
      </c>
      <c r="U103" s="33" t="inlineStr">
        <is>
          <t/>
        </is>
      </c>
      <c r="V103" s="34" t="inlineStr">
        <is>
          <t/>
        </is>
      </c>
      <c r="W103" s="35" t="n">
        <v>1954.0</v>
      </c>
      <c r="X103" s="36" t="inlineStr">
        <is>
          <t>Ascena Retail Group</t>
        </is>
      </c>
      <c r="Y103" s="37" t="inlineStr">
        <is>
          <t/>
        </is>
      </c>
      <c r="Z103" s="38" t="inlineStr">
        <is>
          <t/>
        </is>
      </c>
      <c r="AA103" s="39" t="n">
        <v>2540.59</v>
      </c>
      <c r="AB103" s="40" t="n">
        <v>1288.42</v>
      </c>
      <c r="AC103" s="41" t="n">
        <v>76.35</v>
      </c>
      <c r="AD103" s="42" t="n">
        <v>1531.48</v>
      </c>
      <c r="AE103" s="43" t="n">
        <v>234.41</v>
      </c>
      <c r="AF103" s="44" t="inlineStr">
        <is>
          <t>TTM 1Q2016</t>
        </is>
      </c>
      <c r="AG103" s="45" t="inlineStr">
        <is>
          <t/>
        </is>
      </c>
      <c r="AH103" s="46" t="inlineStr">
        <is>
          <t/>
        </is>
      </c>
      <c r="AI103" s="47" t="inlineStr">
        <is>
          <t/>
        </is>
      </c>
      <c r="AJ103" s="48" t="inlineStr">
        <is>
          <t>65252-26P</t>
        </is>
      </c>
      <c r="AK103" s="49" t="inlineStr">
        <is>
          <t>Michael Nicholson</t>
        </is>
      </c>
      <c r="AL103" s="50" t="inlineStr">
        <is>
          <t>Executive Vice President, Chief Operating Officer, Chief Financial Officer and Treasurer</t>
        </is>
      </c>
      <c r="AM103" s="51" t="inlineStr">
        <is>
          <t>michael.nicholson@jcrew.com</t>
        </is>
      </c>
      <c r="AN103" s="52" t="inlineStr">
        <is>
          <t>+1 (800) 562-0258</t>
        </is>
      </c>
      <c r="AO103" s="53" t="inlineStr">
        <is>
          <t>New York, NY</t>
        </is>
      </c>
      <c r="AP103" s="54" t="inlineStr">
        <is>
          <t>7 Times Square</t>
        </is>
      </c>
      <c r="AQ103" s="55" t="inlineStr">
        <is>
          <t/>
        </is>
      </c>
      <c r="AR103" s="56" t="inlineStr">
        <is>
          <t>New York</t>
        </is>
      </c>
      <c r="AS103" s="57" t="inlineStr">
        <is>
          <t>New York</t>
        </is>
      </c>
      <c r="AT103" s="58" t="inlineStr">
        <is>
          <t>10036</t>
        </is>
      </c>
      <c r="AU103" s="59" t="inlineStr">
        <is>
          <t>United States</t>
        </is>
      </c>
      <c r="AV103" s="60" t="inlineStr">
        <is>
          <t>+1 (212) 541-3300</t>
        </is>
      </c>
      <c r="AW103" s="61" t="inlineStr">
        <is>
          <t/>
        </is>
      </c>
      <c r="AX103" s="62" t="inlineStr">
        <is>
          <t/>
        </is>
      </c>
      <c r="AY103" s="63" t="inlineStr">
        <is>
          <t>Americas</t>
        </is>
      </c>
      <c r="AZ103" s="64" t="inlineStr">
        <is>
          <t>North America</t>
        </is>
      </c>
      <c r="BA103" s="65" t="inlineStr">
        <is>
          <t>The company (NYSE: ANN) was acquired by Ascena Retail Group (NASDAQ: ASNA) for $2.1 billion on August 21, 2015.</t>
        </is>
      </c>
      <c r="BB103" s="66" t="inlineStr">
        <is>
          <t/>
        </is>
      </c>
      <c r="BC103" s="67" t="inlineStr">
        <is>
          <t/>
        </is>
      </c>
      <c r="BD103" s="68" t="inlineStr">
        <is>
          <t>Ascena Retail Group</t>
        </is>
      </c>
      <c r="BE103" s="69" t="inlineStr">
        <is>
          <t>Campeau, Golden Gate Capital, Individual Investor, Merrill Lynch Capital</t>
        </is>
      </c>
      <c r="BF103" s="70" t="inlineStr">
        <is>
          <t>Bain Capital</t>
        </is>
      </c>
      <c r="BG103" s="71" t="inlineStr">
        <is>
          <t/>
        </is>
      </c>
      <c r="BH103" s="72" t="inlineStr">
        <is>
          <t>Golden Gate Capital(www.goldengatecap.com)</t>
        </is>
      </c>
      <c r="BI103" s="73" t="inlineStr">
        <is>
          <t>Bain Capital(www.baincapital.com)</t>
        </is>
      </c>
      <c r="BJ103" s="74" t="inlineStr">
        <is>
          <t>Tenzing Consulting(Consulting), Winthrop Group(Consulting)</t>
        </is>
      </c>
      <c r="BK103" s="75" t="inlineStr">
        <is>
          <t>D. F. King(Legal Advisor), Elixir Advisors(Advisor: General), J.P. Morgan(Advisor: General), Kekst and Company(Advisor: Communications), Morris Nichols Arsht &amp; Tunnell(Legal Advisor), Wachtell, Lipton, Rosen &amp; Katz(Legal Advisor)</t>
        </is>
      </c>
      <c r="BL103" s="76" t="n">
        <v>32477.0</v>
      </c>
      <c r="BM103" s="77" t="n">
        <v>430.0</v>
      </c>
      <c r="BN103" s="78" t="inlineStr">
        <is>
          <t>Actual</t>
        </is>
      </c>
      <c r="BO103" s="79" t="n">
        <v>430.0</v>
      </c>
      <c r="BP103" s="80" t="inlineStr">
        <is>
          <t/>
        </is>
      </c>
      <c r="BQ103" s="81" t="inlineStr">
        <is>
          <t>Buyout/LBO</t>
        </is>
      </c>
      <c r="BR103" s="82" t="inlineStr">
        <is>
          <t>Management Buyout</t>
        </is>
      </c>
      <c r="BS103" s="83" t="inlineStr">
        <is>
          <t/>
        </is>
      </c>
      <c r="BT103" s="84" t="inlineStr">
        <is>
          <t>Private Equity</t>
        </is>
      </c>
      <c r="BU103" s="85" t="inlineStr">
        <is>
          <t/>
        </is>
      </c>
      <c r="BV103" s="86" t="inlineStr">
        <is>
          <t/>
        </is>
      </c>
      <c r="BW103" s="87" t="inlineStr">
        <is>
          <t/>
        </is>
      </c>
      <c r="BX103" s="88" t="inlineStr">
        <is>
          <t>Completed</t>
        </is>
      </c>
      <c r="BY103" s="89" t="n">
        <v>42237.0</v>
      </c>
      <c r="BZ103" s="90" t="n">
        <v>2100.0</v>
      </c>
      <c r="CA103" s="91" t="inlineStr">
        <is>
          <t>Actual</t>
        </is>
      </c>
      <c r="CB103" s="92" t="n">
        <v>2100.0</v>
      </c>
      <c r="CC103" s="93" t="inlineStr">
        <is>
          <t>Actual</t>
        </is>
      </c>
      <c r="CD103" s="94" t="inlineStr">
        <is>
          <t>Merger/Acquisition</t>
        </is>
      </c>
      <c r="CE103" s="95" t="inlineStr">
        <is>
          <t/>
        </is>
      </c>
      <c r="CF103" s="96" t="inlineStr">
        <is>
          <t/>
        </is>
      </c>
      <c r="CG103" s="97" t="inlineStr">
        <is>
          <t>Corporate</t>
        </is>
      </c>
      <c r="CH103" s="98" t="inlineStr">
        <is>
          <t/>
        </is>
      </c>
      <c r="CI103" s="99" t="inlineStr">
        <is>
          <t/>
        </is>
      </c>
      <c r="CJ103" s="100" t="inlineStr">
        <is>
          <t/>
        </is>
      </c>
      <c r="CK103" s="101" t="inlineStr">
        <is>
          <t>Completed</t>
        </is>
      </c>
      <c r="CL103" s="102" t="inlineStr">
        <is>
          <t/>
        </is>
      </c>
      <c r="CM103" s="103" t="inlineStr">
        <is>
          <t/>
        </is>
      </c>
      <c r="CN103" s="104" t="inlineStr">
        <is>
          <t/>
        </is>
      </c>
      <c r="CO103" s="105" t="inlineStr">
        <is>
          <t/>
        </is>
      </c>
      <c r="CP103" s="106" t="inlineStr">
        <is>
          <t/>
        </is>
      </c>
      <c r="CQ103" s="107" t="inlineStr">
        <is>
          <t/>
        </is>
      </c>
      <c r="CR103" s="108" t="inlineStr">
        <is>
          <t/>
        </is>
      </c>
      <c r="CS103" s="109" t="inlineStr">
        <is>
          <t/>
        </is>
      </c>
      <c r="CT103" s="110" t="inlineStr">
        <is>
          <t/>
        </is>
      </c>
      <c r="CU103" s="111" t="inlineStr">
        <is>
          <t/>
        </is>
      </c>
      <c r="CV103" s="112" t="inlineStr">
        <is>
          <t/>
        </is>
      </c>
      <c r="CW103" s="113" t="inlineStr">
        <is>
          <t/>
        </is>
      </c>
      <c r="CX103" s="114" t="inlineStr">
        <is>
          <t/>
        </is>
      </c>
      <c r="CY103" s="115" t="inlineStr">
        <is>
          <t/>
        </is>
      </c>
      <c r="CZ103" s="116" t="inlineStr">
        <is>
          <t/>
        </is>
      </c>
      <c r="DA103" s="117" t="inlineStr">
        <is>
          <t/>
        </is>
      </c>
      <c r="DB103" s="118" t="inlineStr">
        <is>
          <t/>
        </is>
      </c>
      <c r="DC103" s="119" t="inlineStr">
        <is>
          <t/>
        </is>
      </c>
      <c r="DD103" s="120" t="inlineStr">
        <is>
          <t/>
        </is>
      </c>
      <c r="DE103" s="121" t="inlineStr">
        <is>
          <t/>
        </is>
      </c>
      <c r="DF103" s="122" t="inlineStr">
        <is>
          <t/>
        </is>
      </c>
      <c r="DG103" s="123" t="inlineStr">
        <is>
          <t/>
        </is>
      </c>
      <c r="DH103" s="124" t="inlineStr">
        <is>
          <t/>
        </is>
      </c>
      <c r="DI103" s="125" t="inlineStr">
        <is>
          <t/>
        </is>
      </c>
      <c r="DJ103" s="126" t="inlineStr">
        <is>
          <t/>
        </is>
      </c>
      <c r="DK103" s="127" t="inlineStr">
        <is>
          <t/>
        </is>
      </c>
      <c r="DL103" s="128" t="inlineStr">
        <is>
          <t/>
        </is>
      </c>
      <c r="DM103" s="129" t="inlineStr">
        <is>
          <t/>
        </is>
      </c>
      <c r="DN103" s="130" t="inlineStr">
        <is>
          <t/>
        </is>
      </c>
      <c r="DO103" s="131" t="inlineStr">
        <is>
          <t/>
        </is>
      </c>
      <c r="DP103" s="132" t="inlineStr">
        <is>
          <t/>
        </is>
      </c>
      <c r="DQ103" s="133" t="inlineStr">
        <is>
          <t/>
        </is>
      </c>
      <c r="DR103" s="134" t="inlineStr">
        <is>
          <t/>
        </is>
      </c>
      <c r="DS103" s="135" t="inlineStr">
        <is>
          <t/>
        </is>
      </c>
      <c r="DT103" s="136" t="inlineStr">
        <is>
          <t/>
        </is>
      </c>
      <c r="DU103" s="137" t="inlineStr">
        <is>
          <t/>
        </is>
      </c>
      <c r="DV103" s="138" t="inlineStr">
        <is>
          <t/>
        </is>
      </c>
      <c r="DW103" s="139" t="inlineStr">
        <is>
          <t/>
        </is>
      </c>
      <c r="DX103" s="140" t="inlineStr">
        <is>
          <t/>
        </is>
      </c>
      <c r="DY103" s="141" t="inlineStr">
        <is>
          <t>PitchBook Research</t>
        </is>
      </c>
      <c r="DZ103" s="142" t="n">
        <v>43480.0</v>
      </c>
      <c r="EA103" s="143" t="n">
        <v>2100.0</v>
      </c>
      <c r="EB103" s="144" t="n">
        <v>42237.0</v>
      </c>
      <c r="EC103" s="145" t="inlineStr">
        <is>
          <t>Merger/Acquisition</t>
        </is>
      </c>
      <c r="ED103" s="547">
        <f>HYPERLINK("https://my.pitchbook.com?c=41356-63", "View company online")</f>
      </c>
    </row>
    <row r="104">
      <c r="A104" s="147" t="inlineStr">
        <is>
          <t>163890-55</t>
        </is>
      </c>
      <c r="B104" s="148" t="inlineStr">
        <is>
          <t>Beijing Kingee Culture Development Company (SHE: 002721)</t>
        </is>
      </c>
      <c r="C104" s="149" t="inlineStr">
        <is>
          <t/>
        </is>
      </c>
      <c r="D104" s="150" t="inlineStr">
        <is>
          <t>Kingee culture</t>
        </is>
      </c>
      <c r="E104" s="151" t="inlineStr">
        <is>
          <t>163890-55</t>
        </is>
      </c>
      <c r="F104" s="152" t="inlineStr">
        <is>
          <t>Beijing Kingee Culture Development Co Ltd is a Chinese company engaged in the development of precious metals handicrafts and jewelry. It carries the activities of wholesale, retail, and supply chain services in China. The company offers ornaments, customized jewelry and product package.</t>
        </is>
      </c>
      <c r="G104" s="153" t="inlineStr">
        <is>
          <t>Business Products and Services (B2B)</t>
        </is>
      </c>
      <c r="H104" s="154" t="inlineStr">
        <is>
          <t>Other Business Products and Services</t>
        </is>
      </c>
      <c r="I104" s="155" t="inlineStr">
        <is>
          <t>Conglomerates</t>
        </is>
      </c>
      <c r="J104" s="156" t="inlineStr">
        <is>
          <t>Conglomerates*, Luxury Goods, Specialized Finance</t>
        </is>
      </c>
      <c r="K104" s="157" t="inlineStr">
        <is>
          <t>Industrials, Manufacturing</t>
        </is>
      </c>
      <c r="L104" s="158" t="inlineStr">
        <is>
          <t>gold jewelry, jewelry, jewelry design, jewelry items, jewelry manufacturing, luxury goods</t>
        </is>
      </c>
      <c r="M104" s="159" t="inlineStr">
        <is>
          <t>Corporate Backed or Acquired</t>
        </is>
      </c>
      <c r="N104" s="160" t="n">
        <v>43.67</v>
      </c>
      <c r="O104" s="161" t="inlineStr">
        <is>
          <t>Profitable</t>
        </is>
      </c>
      <c r="P104" s="162" t="inlineStr">
        <is>
          <t>Publicly Held</t>
        </is>
      </c>
      <c r="Q104" s="163" t="inlineStr">
        <is>
          <t>M&amp;A, Publicly Listed, Venture Capital</t>
        </is>
      </c>
      <c r="R104" s="164" t="inlineStr">
        <is>
          <t>www.e-kingee.com</t>
        </is>
      </c>
      <c r="S104" s="165" t="n">
        <v>3414.0</v>
      </c>
      <c r="T104" s="166" t="inlineStr">
        <is>
          <t>2010: 931, 2011: 944, 2012: 1038, 2013: 978, 2014: 868, 2015: 2347, 2016: 2866, 2017: 3414</t>
        </is>
      </c>
      <c r="U104" s="167" t="inlineStr">
        <is>
          <t>SHE</t>
        </is>
      </c>
      <c r="V104" s="168" t="inlineStr">
        <is>
          <t>002721</t>
        </is>
      </c>
      <c r="W104" s="169" t="n">
        <v>2007.0</v>
      </c>
      <c r="X104" s="170" t="inlineStr">
        <is>
          <t/>
        </is>
      </c>
      <c r="Y104" s="171" t="inlineStr">
        <is>
          <t/>
        </is>
      </c>
      <c r="Z104" s="172" t="inlineStr">
        <is>
          <t/>
        </is>
      </c>
      <c r="AA104" s="173" t="n">
        <v>2525.86</v>
      </c>
      <c r="AB104" s="174" t="n">
        <v>200.62</v>
      </c>
      <c r="AC104" s="175" t="n">
        <v>16.92</v>
      </c>
      <c r="AD104" s="176" t="n">
        <v>1575.22</v>
      </c>
      <c r="AE104" s="177" t="n">
        <v>32.27</v>
      </c>
      <c r="AF104" s="178" t="inlineStr">
        <is>
          <t>TTM 3Q2018</t>
        </is>
      </c>
      <c r="AG104" s="179" t="n">
        <v>86.28</v>
      </c>
      <c r="AH104" s="180" t="n">
        <v>896.99</v>
      </c>
      <c r="AI104" s="181" t="n">
        <v>703.58</v>
      </c>
      <c r="AJ104" s="182" t="inlineStr">
        <is>
          <t>149552-74P</t>
        </is>
      </c>
      <c r="AK104" s="183" t="inlineStr">
        <is>
          <t>Chen Baokang</t>
        </is>
      </c>
      <c r="AL104" s="184" t="inlineStr">
        <is>
          <t>Deputy Chairman &amp; President</t>
        </is>
      </c>
      <c r="AM104" s="185" t="inlineStr">
        <is>
          <t>chen.baokang@e-kingee.com</t>
        </is>
      </c>
      <c r="AN104" s="186" t="inlineStr">
        <is>
          <t>+86 (0)10 8800 7180</t>
        </is>
      </c>
      <c r="AO104" s="187" t="inlineStr">
        <is>
          <t>Beijing, China</t>
        </is>
      </c>
      <c r="AP104" s="188" t="inlineStr">
        <is>
          <t>Room 515, Building of China Tower, No.A2 of the street Fuxingmenwai</t>
        </is>
      </c>
      <c r="AQ104" s="189" t="inlineStr">
        <is>
          <t/>
        </is>
      </c>
      <c r="AR104" s="190" t="inlineStr">
        <is>
          <t>Beijing</t>
        </is>
      </c>
      <c r="AS104" s="191" t="inlineStr">
        <is>
          <t>Xicheng District</t>
        </is>
      </c>
      <c r="AT104" s="192" t="inlineStr">
        <is>
          <t>100045</t>
        </is>
      </c>
      <c r="AU104" s="193" t="inlineStr">
        <is>
          <t>China</t>
        </is>
      </c>
      <c r="AV104" s="194" t="inlineStr">
        <is>
          <t>+86 (0)10 8800 7180</t>
        </is>
      </c>
      <c r="AW104" s="195" t="inlineStr">
        <is>
          <t/>
        </is>
      </c>
      <c r="AX104" s="196" t="inlineStr">
        <is>
          <t/>
        </is>
      </c>
      <c r="AY104" s="197" t="inlineStr">
        <is>
          <t>Asia</t>
        </is>
      </c>
      <c r="AZ104" s="198" t="inlineStr">
        <is>
          <t>East Asia</t>
        </is>
      </c>
      <c r="BA104" s="199" t="inlineStr">
        <is>
          <t>The company sold a 1.7% stake in the company to an individual investor Zhong Kong, for $337 million in July, 2016.</t>
        </is>
      </c>
      <c r="BB104" s="200" t="inlineStr">
        <is>
          <t/>
        </is>
      </c>
      <c r="BC104" s="201" t="inlineStr">
        <is>
          <t/>
        </is>
      </c>
      <c r="BD104" s="202" t="inlineStr">
        <is>
          <t/>
        </is>
      </c>
      <c r="BE104" s="203" t="inlineStr">
        <is>
          <t>Shenzhen Capital Group, Shenzhen Futian Investment</t>
        </is>
      </c>
      <c r="BF104" s="204" t="inlineStr">
        <is>
          <t/>
        </is>
      </c>
      <c r="BG104" s="205" t="inlineStr">
        <is>
          <t/>
        </is>
      </c>
      <c r="BH104" s="206" t="inlineStr">
        <is>
          <t>Shenzhen Capital Group(www.szvc.com.cn), Shenzhen Futian Investment(www.ftid.linjin.cn)</t>
        </is>
      </c>
      <c r="BI104" s="207" t="inlineStr">
        <is>
          <t/>
        </is>
      </c>
      <c r="BJ104" s="208" t="inlineStr">
        <is>
          <t/>
        </is>
      </c>
      <c r="BK104" s="209" t="inlineStr">
        <is>
          <t/>
        </is>
      </c>
      <c r="BL104" s="210" t="n">
        <v>41666.0</v>
      </c>
      <c r="BM104" s="211" t="n">
        <v>43.67</v>
      </c>
      <c r="BN104" s="212" t="inlineStr">
        <is>
          <t>Actual</t>
        </is>
      </c>
      <c r="BO104" s="213" t="n">
        <v>72.31</v>
      </c>
      <c r="BP104" s="214" t="inlineStr">
        <is>
          <t>Estimated</t>
        </is>
      </c>
      <c r="BQ104" s="215" t="inlineStr">
        <is>
          <t>IPO</t>
        </is>
      </c>
      <c r="BR104" s="216" t="inlineStr">
        <is>
          <t/>
        </is>
      </c>
      <c r="BS104" s="217" t="inlineStr">
        <is>
          <t/>
        </is>
      </c>
      <c r="BT104" s="218" t="inlineStr">
        <is>
          <t>Public Investment</t>
        </is>
      </c>
      <c r="BU104" s="219" t="inlineStr">
        <is>
          <t/>
        </is>
      </c>
      <c r="BV104" s="220" t="inlineStr">
        <is>
          <t/>
        </is>
      </c>
      <c r="BW104" s="221" t="inlineStr">
        <is>
          <t/>
        </is>
      </c>
      <c r="BX104" s="222" t="inlineStr">
        <is>
          <t>Completed</t>
        </is>
      </c>
      <c r="BY104" s="223" t="n">
        <v>42552.0</v>
      </c>
      <c r="BZ104" s="224" t="n">
        <v>337.0</v>
      </c>
      <c r="CA104" s="225" t="inlineStr">
        <is>
          <t>Actual</t>
        </is>
      </c>
      <c r="CB104" s="226" t="n">
        <v>1982352.9</v>
      </c>
      <c r="CC104" s="227" t="inlineStr">
        <is>
          <t>Estimated</t>
        </is>
      </c>
      <c r="CD104" s="228" t="inlineStr">
        <is>
          <t>Secondary Transaction - Private</t>
        </is>
      </c>
      <c r="CE104" s="229" t="inlineStr">
        <is>
          <t/>
        </is>
      </c>
      <c r="CF104" s="230" t="inlineStr">
        <is>
          <t/>
        </is>
      </c>
      <c r="CG104" s="231" t="inlineStr">
        <is>
          <t>Corporate</t>
        </is>
      </c>
      <c r="CH104" s="232" t="inlineStr">
        <is>
          <t/>
        </is>
      </c>
      <c r="CI104" s="233" t="inlineStr">
        <is>
          <t/>
        </is>
      </c>
      <c r="CJ104" s="234" t="inlineStr">
        <is>
          <t/>
        </is>
      </c>
      <c r="CK104" s="235" t="inlineStr">
        <is>
          <t>Completed</t>
        </is>
      </c>
      <c r="CL104" s="236" t="inlineStr">
        <is>
          <t/>
        </is>
      </c>
      <c r="CM104" s="237" t="inlineStr">
        <is>
          <t/>
        </is>
      </c>
      <c r="CN104" s="238" t="n">
        <v>0.0</v>
      </c>
      <c r="CO104" s="239" t="n">
        <v>18.0</v>
      </c>
      <c r="CP104" s="240" t="n">
        <v>0.0</v>
      </c>
      <c r="CQ104" s="241" t="n">
        <v>0.0</v>
      </c>
      <c r="CR104" s="242" t="n">
        <v>0.0</v>
      </c>
      <c r="CS104" s="243" t="n">
        <v>14.0</v>
      </c>
      <c r="CT104" s="244" t="inlineStr">
        <is>
          <t/>
        </is>
      </c>
      <c r="CU104" s="245" t="inlineStr">
        <is>
          <t/>
        </is>
      </c>
      <c r="CV104" s="246" t="inlineStr">
        <is>
          <t/>
        </is>
      </c>
      <c r="CW104" s="247" t="inlineStr">
        <is>
          <t/>
        </is>
      </c>
      <c r="CX104" s="248" t="n">
        <v>0.0</v>
      </c>
      <c r="CY104" s="249" t="n">
        <v>11.0</v>
      </c>
      <c r="CZ104" s="250" t="inlineStr">
        <is>
          <t/>
        </is>
      </c>
      <c r="DA104" s="251" t="inlineStr">
        <is>
          <t/>
        </is>
      </c>
      <c r="DB104" s="252" t="n">
        <v>2.47</v>
      </c>
      <c r="DC104" s="253" t="n">
        <v>71.0</v>
      </c>
      <c r="DD104" s="254" t="n">
        <v>0.63</v>
      </c>
      <c r="DE104" s="255" t="n">
        <v>33.95</v>
      </c>
      <c r="DF104" s="256" t="n">
        <v>2.47</v>
      </c>
      <c r="DG104" s="257" t="n">
        <v>71.0</v>
      </c>
      <c r="DH104" s="258" t="inlineStr">
        <is>
          <t/>
        </is>
      </c>
      <c r="DI104" s="259" t="inlineStr">
        <is>
          <t/>
        </is>
      </c>
      <c r="DJ104" s="260" t="inlineStr">
        <is>
          <t/>
        </is>
      </c>
      <c r="DK104" s="261" t="inlineStr">
        <is>
          <t/>
        </is>
      </c>
      <c r="DL104" s="262" t="n">
        <v>2.47</v>
      </c>
      <c r="DM104" s="263" t="n">
        <v>70.0</v>
      </c>
      <c r="DN104" s="264" t="inlineStr">
        <is>
          <t/>
        </is>
      </c>
      <c r="DO104" s="265" t="inlineStr">
        <is>
          <t/>
        </is>
      </c>
      <c r="DP104" s="266" t="inlineStr">
        <is>
          <t/>
        </is>
      </c>
      <c r="DQ104" s="267" t="inlineStr">
        <is>
          <t/>
        </is>
      </c>
      <c r="DR104" s="268" t="inlineStr">
        <is>
          <t/>
        </is>
      </c>
      <c r="DS104" s="269" t="n">
        <v>83.0</v>
      </c>
      <c r="DT104" s="270" t="n">
        <v>0.0</v>
      </c>
      <c r="DU104" s="271" t="n">
        <v>0.0</v>
      </c>
      <c r="DV104" s="272" t="inlineStr">
        <is>
          <t/>
        </is>
      </c>
      <c r="DW104" s="273" t="inlineStr">
        <is>
          <t/>
        </is>
      </c>
      <c r="DX104" s="274" t="inlineStr">
        <is>
          <t/>
        </is>
      </c>
      <c r="DY104" s="275" t="inlineStr">
        <is>
          <t>PitchBook Research</t>
        </is>
      </c>
      <c r="DZ104" s="276" t="n">
        <v>43491.0</v>
      </c>
      <c r="EA104" s="277" t="n">
        <v>1982352.9</v>
      </c>
      <c r="EB104" s="278" t="n">
        <v>42552.0</v>
      </c>
      <c r="EC104" s="279" t="inlineStr">
        <is>
          <t>Secondary Transaction - Private</t>
        </is>
      </c>
      <c r="ED104" s="548">
        <f>HYPERLINK("https://my.pitchbook.com?c=163890-55", "View company online")</f>
      </c>
    </row>
    <row r="105">
      <c r="A105" s="13" t="inlineStr">
        <is>
          <t>42530-23</t>
        </is>
      </c>
      <c r="B105" s="14" t="inlineStr">
        <is>
          <t>V&amp;D</t>
        </is>
      </c>
      <c r="C105" s="15" t="inlineStr">
        <is>
          <t>Vroom and Dreesmann</t>
        </is>
      </c>
      <c r="D105" s="16" t="inlineStr">
        <is>
          <t/>
        </is>
      </c>
      <c r="E105" s="17" t="inlineStr">
        <is>
          <t>42530-23</t>
        </is>
      </c>
      <c r="F105" s="18" t="inlineStr">
        <is>
          <t>Operator of a department-store chain in Houten, Netherlands. The company manages a total of 63 branded stores and a web portal, from which it sells clothing, footwear, recreational goods, electronics, baggage, books and entertainment products.</t>
        </is>
      </c>
      <c r="G105" s="19" t="inlineStr">
        <is>
          <t>Consumer Products and Services (B2C)</t>
        </is>
      </c>
      <c r="H105" s="20" t="inlineStr">
        <is>
          <t>Retail</t>
        </is>
      </c>
      <c r="I105" s="21" t="inlineStr">
        <is>
          <t>Department Stores</t>
        </is>
      </c>
      <c r="J105" s="22" t="inlineStr">
        <is>
          <t>Clothing, Department Stores*, Electronics (B2C), Internet Retail</t>
        </is>
      </c>
      <c r="K105" s="23" t="inlineStr">
        <is>
          <t>TMT</t>
        </is>
      </c>
      <c r="L105" s="24" t="inlineStr">
        <is>
          <t>blazers, departmental stores, electronic stores operator, retail stores, stationary product</t>
        </is>
      </c>
      <c r="M105" s="25" t="inlineStr">
        <is>
          <t>Formerly PE-Backed</t>
        </is>
      </c>
      <c r="N105" s="26" t="n">
        <v>27.25</v>
      </c>
      <c r="O105" s="27" t="inlineStr">
        <is>
          <t>Generating Revenue/Not Profitable</t>
        </is>
      </c>
      <c r="P105" s="28" t="inlineStr">
        <is>
          <t>Acquired/Merged</t>
        </is>
      </c>
      <c r="Q105" s="29" t="inlineStr">
        <is>
          <t>Debt Financed, Private Equity</t>
        </is>
      </c>
      <c r="R105" s="30" t="inlineStr">
        <is>
          <t>www.vd.nl</t>
        </is>
      </c>
      <c r="S105" s="31" t="n">
        <v>10001.0</v>
      </c>
      <c r="T105" s="32" t="inlineStr">
        <is>
          <t>2015: 10001</t>
        </is>
      </c>
      <c r="U105" s="33" t="inlineStr">
        <is>
          <t/>
        </is>
      </c>
      <c r="V105" s="34" t="inlineStr">
        <is>
          <t/>
        </is>
      </c>
      <c r="W105" s="35" t="n">
        <v>1887.0</v>
      </c>
      <c r="X105" s="36" t="inlineStr">
        <is>
          <t/>
        </is>
      </c>
      <c r="Y105" s="37" t="inlineStr">
        <is>
          <t/>
        </is>
      </c>
      <c r="Z105" s="38" t="inlineStr">
        <is>
          <t/>
        </is>
      </c>
      <c r="AA105" s="39" t="n">
        <v>2514.23</v>
      </c>
      <c r="AB105" s="40" t="inlineStr">
        <is>
          <t/>
        </is>
      </c>
      <c r="AC105" s="41" t="inlineStr">
        <is>
          <t/>
        </is>
      </c>
      <c r="AD105" s="42" t="inlineStr">
        <is>
          <t/>
        </is>
      </c>
      <c r="AE105" s="43" t="inlineStr">
        <is>
          <t/>
        </is>
      </c>
      <c r="AF105" s="44" t="inlineStr">
        <is>
          <t>FY 2008</t>
        </is>
      </c>
      <c r="AG105" s="45" t="inlineStr">
        <is>
          <t/>
        </is>
      </c>
      <c r="AH105" s="46" t="inlineStr">
        <is>
          <t/>
        </is>
      </c>
      <c r="AI105" s="47" t="inlineStr">
        <is>
          <t/>
        </is>
      </c>
      <c r="AJ105" s="48" t="inlineStr">
        <is>
          <t/>
        </is>
      </c>
      <c r="AK105" s="49" t="inlineStr">
        <is>
          <t/>
        </is>
      </c>
      <c r="AL105" s="50" t="inlineStr">
        <is>
          <t/>
        </is>
      </c>
      <c r="AM105" s="51" t="inlineStr">
        <is>
          <t/>
        </is>
      </c>
      <c r="AN105" s="52" t="inlineStr">
        <is>
          <t/>
        </is>
      </c>
      <c r="AO105" s="53" t="inlineStr">
        <is>
          <t>Netherlands</t>
        </is>
      </c>
      <c r="AP105" s="54" t="inlineStr">
        <is>
          <t>Hoofdveste 10</t>
        </is>
      </c>
      <c r="AQ105" s="55" t="inlineStr">
        <is>
          <t/>
        </is>
      </c>
      <c r="AR105" s="56" t="inlineStr">
        <is>
          <t/>
        </is>
      </c>
      <c r="AS105" s="57" t="inlineStr">
        <is>
          <t/>
        </is>
      </c>
      <c r="AT105" s="58" t="inlineStr">
        <is>
          <t>3992 DG</t>
        </is>
      </c>
      <c r="AU105" s="59" t="inlineStr">
        <is>
          <t>Netherlands</t>
        </is>
      </c>
      <c r="AV105" s="60" t="inlineStr">
        <is>
          <t>+31 (0)20 225 1175</t>
        </is>
      </c>
      <c r="AW105" s="61" t="inlineStr">
        <is>
          <t/>
        </is>
      </c>
      <c r="AX105" s="62" t="inlineStr">
        <is>
          <t>klantenservice@vd.nl</t>
        </is>
      </c>
      <c r="AY105" s="63" t="inlineStr">
        <is>
          <t>Europe</t>
        </is>
      </c>
      <c r="AZ105" s="64" t="inlineStr">
        <is>
          <t>Western Europe</t>
        </is>
      </c>
      <c r="BA105" s="65" t="inlineStr">
        <is>
          <t>The company was acquired by undisclosed investors on June 10, 2016.</t>
        </is>
      </c>
      <c r="BB105" s="66" t="inlineStr">
        <is>
          <t/>
        </is>
      </c>
      <c r="BC105" s="67" t="inlineStr">
        <is>
          <t/>
        </is>
      </c>
      <c r="BD105" s="68" t="inlineStr">
        <is>
          <t/>
        </is>
      </c>
      <c r="BE105" s="69" t="inlineStr">
        <is>
          <t>Maxeda DIY Group, Sun Capital Partners</t>
        </is>
      </c>
      <c r="BF105" s="70" t="inlineStr">
        <is>
          <t/>
        </is>
      </c>
      <c r="BG105" s="71" t="inlineStr">
        <is>
          <t/>
        </is>
      </c>
      <c r="BH105" s="72" t="inlineStr">
        <is>
          <t>Maxeda DIY Group(www.maxedadiygroup.com), Sun Capital Partners(www.suncappart.com)</t>
        </is>
      </c>
      <c r="BI105" s="73" t="inlineStr">
        <is>
          <t/>
        </is>
      </c>
      <c r="BJ105" s="74" t="inlineStr">
        <is>
          <t>Clifford Chance(Legal Advisor), Helius Ventures(Consulting)</t>
        </is>
      </c>
      <c r="BK105" s="75" t="inlineStr">
        <is>
          <t>Clifford Chance(Legal Advisor), Cushman &amp; Wakefield (acquired by DTZ)(Advisor: General), Houthoff(Legal Advisor), Lexence(Legal Advisor), Sun Capital Partners(Debt Financing)</t>
        </is>
      </c>
      <c r="BL105" s="76" t="n">
        <v>40490.0</v>
      </c>
      <c r="BM105" s="77" t="inlineStr">
        <is>
          <t/>
        </is>
      </c>
      <c r="BN105" s="78" t="inlineStr">
        <is>
          <t/>
        </is>
      </c>
      <c r="BO105" s="79" t="inlineStr">
        <is>
          <t/>
        </is>
      </c>
      <c r="BP105" s="80" t="inlineStr">
        <is>
          <t/>
        </is>
      </c>
      <c r="BQ105" s="81" t="inlineStr">
        <is>
          <t>Buyout/LBO</t>
        </is>
      </c>
      <c r="BR105" s="82" t="inlineStr">
        <is>
          <t>Corporate Divestiture</t>
        </is>
      </c>
      <c r="BS105" s="83" t="inlineStr">
        <is>
          <t/>
        </is>
      </c>
      <c r="BT105" s="84" t="inlineStr">
        <is>
          <t>Private Equity</t>
        </is>
      </c>
      <c r="BU105" s="85" t="inlineStr">
        <is>
          <t/>
        </is>
      </c>
      <c r="BV105" s="86" t="inlineStr">
        <is>
          <t/>
        </is>
      </c>
      <c r="BW105" s="87" t="inlineStr">
        <is>
          <t/>
        </is>
      </c>
      <c r="BX105" s="88" t="inlineStr">
        <is>
          <t>Completed</t>
        </is>
      </c>
      <c r="BY105" s="89" t="n">
        <v>42531.0</v>
      </c>
      <c r="BZ105" s="90" t="inlineStr">
        <is>
          <t/>
        </is>
      </c>
      <c r="CA105" s="91" t="inlineStr">
        <is>
          <t/>
        </is>
      </c>
      <c r="CB105" s="92" t="inlineStr">
        <is>
          <t/>
        </is>
      </c>
      <c r="CC105" s="93" t="inlineStr">
        <is>
          <t/>
        </is>
      </c>
      <c r="CD105" s="94" t="inlineStr">
        <is>
          <t>Merger/Acquisition</t>
        </is>
      </c>
      <c r="CE105" s="95" t="inlineStr">
        <is>
          <t/>
        </is>
      </c>
      <c r="CF105" s="96" t="inlineStr">
        <is>
          <t/>
        </is>
      </c>
      <c r="CG105" s="97" t="inlineStr">
        <is>
          <t>Corporate</t>
        </is>
      </c>
      <c r="CH105" s="98" t="inlineStr">
        <is>
          <t/>
        </is>
      </c>
      <c r="CI105" s="99" t="inlineStr">
        <is>
          <t/>
        </is>
      </c>
      <c r="CJ105" s="100" t="inlineStr">
        <is>
          <t/>
        </is>
      </c>
      <c r="CK105" s="101" t="inlineStr">
        <is>
          <t>Completed</t>
        </is>
      </c>
      <c r="CL105" s="102" t="n">
        <v>42063.0</v>
      </c>
      <c r="CM105" s="103" t="n">
        <v>27.25</v>
      </c>
      <c r="CN105" s="104" t="inlineStr">
        <is>
          <t/>
        </is>
      </c>
      <c r="CO105" s="105" t="inlineStr">
        <is>
          <t/>
        </is>
      </c>
      <c r="CP105" s="106" t="inlineStr">
        <is>
          <t/>
        </is>
      </c>
      <c r="CQ105" s="107" t="inlineStr">
        <is>
          <t/>
        </is>
      </c>
      <c r="CR105" s="108" t="inlineStr">
        <is>
          <t/>
        </is>
      </c>
      <c r="CS105" s="109" t="inlineStr">
        <is>
          <t/>
        </is>
      </c>
      <c r="CT105" s="110" t="inlineStr">
        <is>
          <t/>
        </is>
      </c>
      <c r="CU105" s="111" t="inlineStr">
        <is>
          <t/>
        </is>
      </c>
      <c r="CV105" s="112" t="inlineStr">
        <is>
          <t/>
        </is>
      </c>
      <c r="CW105" s="113" t="inlineStr">
        <is>
          <t/>
        </is>
      </c>
      <c r="CX105" s="114" t="inlineStr">
        <is>
          <t/>
        </is>
      </c>
      <c r="CY105" s="115" t="inlineStr">
        <is>
          <t/>
        </is>
      </c>
      <c r="CZ105" s="116" t="inlineStr">
        <is>
          <t/>
        </is>
      </c>
      <c r="DA105" s="117" t="inlineStr">
        <is>
          <t/>
        </is>
      </c>
      <c r="DB105" s="118" t="inlineStr">
        <is>
          <t/>
        </is>
      </c>
      <c r="DC105" s="119" t="inlineStr">
        <is>
          <t/>
        </is>
      </c>
      <c r="DD105" s="120" t="inlineStr">
        <is>
          <t/>
        </is>
      </c>
      <c r="DE105" s="121" t="inlineStr">
        <is>
          <t/>
        </is>
      </c>
      <c r="DF105" s="122" t="inlineStr">
        <is>
          <t/>
        </is>
      </c>
      <c r="DG105" s="123" t="inlineStr">
        <is>
          <t/>
        </is>
      </c>
      <c r="DH105" s="124" t="inlineStr">
        <is>
          <t/>
        </is>
      </c>
      <c r="DI105" s="125" t="inlineStr">
        <is>
          <t/>
        </is>
      </c>
      <c r="DJ105" s="126" t="inlineStr">
        <is>
          <t/>
        </is>
      </c>
      <c r="DK105" s="127" t="inlineStr">
        <is>
          <t/>
        </is>
      </c>
      <c r="DL105" s="128" t="inlineStr">
        <is>
          <t/>
        </is>
      </c>
      <c r="DM105" s="129" t="inlineStr">
        <is>
          <t/>
        </is>
      </c>
      <c r="DN105" s="130" t="inlineStr">
        <is>
          <t/>
        </is>
      </c>
      <c r="DO105" s="131" t="inlineStr">
        <is>
          <t/>
        </is>
      </c>
      <c r="DP105" s="132" t="inlineStr">
        <is>
          <t/>
        </is>
      </c>
      <c r="DQ105" s="133" t="inlineStr">
        <is>
          <t/>
        </is>
      </c>
      <c r="DR105" s="134" t="inlineStr">
        <is>
          <t/>
        </is>
      </c>
      <c r="DS105" s="135" t="inlineStr">
        <is>
          <t/>
        </is>
      </c>
      <c r="DT105" s="136" t="inlineStr">
        <is>
          <t/>
        </is>
      </c>
      <c r="DU105" s="137" t="inlineStr">
        <is>
          <t/>
        </is>
      </c>
      <c r="DV105" s="138" t="inlineStr">
        <is>
          <t/>
        </is>
      </c>
      <c r="DW105" s="139" t="inlineStr">
        <is>
          <t/>
        </is>
      </c>
      <c r="DX105" s="140" t="inlineStr">
        <is>
          <t/>
        </is>
      </c>
      <c r="DY105" s="141" t="inlineStr">
        <is>
          <t>PitchBook Research</t>
        </is>
      </c>
      <c r="DZ105" s="142" t="n">
        <v>43521.0</v>
      </c>
      <c r="EA105" s="143" t="inlineStr">
        <is>
          <t/>
        </is>
      </c>
      <c r="EB105" s="144" t="inlineStr">
        <is>
          <t/>
        </is>
      </c>
      <c r="EC105" s="145" t="inlineStr">
        <is>
          <t/>
        </is>
      </c>
      <c r="ED105" s="547">
        <f>HYPERLINK("https://my.pitchbook.com?c=42530-23", "View company online")</f>
      </c>
    </row>
    <row r="106">
      <c r="A106" s="147" t="inlineStr">
        <is>
          <t>41410-63</t>
        </is>
      </c>
      <c r="B106" s="148" t="inlineStr">
        <is>
          <t>Kingold Jewelry (NAS: KGJI)</t>
        </is>
      </c>
      <c r="C106" s="149" t="inlineStr">
        <is>
          <t>Activeworlds</t>
        </is>
      </c>
      <c r="D106" s="150" t="inlineStr">
        <is>
          <t>Kingold</t>
        </is>
      </c>
      <c r="E106" s="151" t="inlineStr">
        <is>
          <t>41410-63</t>
        </is>
      </c>
      <c r="F106" s="152" t="inlineStr">
        <is>
          <t>Kingold Jewelry Inc designs and manufactures 24-karat gold jewelry and Chinese ornaments. The company along with its subsidiaries develops markets and sells products including gold necklaces, rings, earrings, bracelets, and pendants to the jewelry market in China. The company also sells gold bars and coins and other products through various banks in China. It derives most of its revenues from the sales of 24-karat jewelry and Chinese ornaments and from design and processing fees.</t>
        </is>
      </c>
      <c r="G106" s="153" t="inlineStr">
        <is>
          <t>Consumer Products and Services (B2C)</t>
        </is>
      </c>
      <c r="H106" s="154" t="inlineStr">
        <is>
          <t>Apparel and Accessories</t>
        </is>
      </c>
      <c r="I106" s="155" t="inlineStr">
        <is>
          <t>Accessories</t>
        </is>
      </c>
      <c r="J106" s="156" t="inlineStr">
        <is>
          <t>Accessories*, Other Apparel, Other Consumer Products and Services</t>
        </is>
      </c>
      <c r="K106" s="157" t="inlineStr">
        <is>
          <t>Manufacturing</t>
        </is>
      </c>
      <c r="L106" s="158" t="inlineStr">
        <is>
          <t>accessory product, consumer services, gold jewelry, gold rings, providing ornaments</t>
        </is>
      </c>
      <c r="M106" s="159" t="inlineStr">
        <is>
          <t>Corporation</t>
        </is>
      </c>
      <c r="N106" s="160" t="n">
        <v>3.24</v>
      </c>
      <c r="O106" s="161" t="inlineStr">
        <is>
          <t>Profitable</t>
        </is>
      </c>
      <c r="P106" s="162" t="inlineStr">
        <is>
          <t>Publicly Held</t>
        </is>
      </c>
      <c r="Q106" s="163" t="inlineStr">
        <is>
          <t>Debt Financed, Private Equity, Publicly Listed</t>
        </is>
      </c>
      <c r="R106" s="164" t="inlineStr">
        <is>
          <t/>
        </is>
      </c>
      <c r="S106" s="165" t="n">
        <v>626.0</v>
      </c>
      <c r="T106" s="166" t="inlineStr">
        <is>
          <t>1999: 10, 2000: 15, 2001: 15, 2002: 6, 2009: 500, 2010: 507, 2011: 661, 2012: 620, 2013: 532, 2014: 550, 2015: 568, 2016: 618, 2017: 626</t>
        </is>
      </c>
      <c r="U106" s="167" t="inlineStr">
        <is>
          <t>NAS</t>
        </is>
      </c>
      <c r="V106" s="168" t="inlineStr">
        <is>
          <t>KGJI</t>
        </is>
      </c>
      <c r="W106" s="169" t="n">
        <v>2002.0</v>
      </c>
      <c r="X106" s="170" t="inlineStr">
        <is>
          <t/>
        </is>
      </c>
      <c r="Y106" s="171" t="inlineStr">
        <is>
          <t/>
        </is>
      </c>
      <c r="Z106" s="172" t="inlineStr">
        <is>
          <t>Filing (New) </t>
        </is>
      </c>
      <c r="AA106" s="173" t="n">
        <v>2501.56</v>
      </c>
      <c r="AB106" s="174" t="n">
        <v>245.71</v>
      </c>
      <c r="AC106" s="175" t="n">
        <v>50.52</v>
      </c>
      <c r="AD106" s="176" t="n">
        <v>1037.07</v>
      </c>
      <c r="AE106" s="177" t="n">
        <v>236.44</v>
      </c>
      <c r="AF106" s="178" t="inlineStr">
        <is>
          <t>TTM 3Q2018</t>
        </is>
      </c>
      <c r="AG106" s="179" t="n">
        <v>234.76</v>
      </c>
      <c r="AH106" s="180" t="n">
        <v>56.65</v>
      </c>
      <c r="AI106" s="181" t="n">
        <v>1136.82</v>
      </c>
      <c r="AJ106" s="182" t="inlineStr">
        <is>
          <t>89802-10P</t>
        </is>
      </c>
      <c r="AK106" s="183" t="inlineStr">
        <is>
          <t>Bin Liu</t>
        </is>
      </c>
      <c r="AL106" s="184" t="inlineStr">
        <is>
          <t>Chief Financial Officer</t>
        </is>
      </c>
      <c r="AM106" s="185" t="inlineStr">
        <is>
          <t>bl@kingoldjewelry.com</t>
        </is>
      </c>
      <c r="AN106" s="186" t="inlineStr">
        <is>
          <t>+1 (212) 509-1700</t>
        </is>
      </c>
      <c r="AO106" s="187" t="inlineStr">
        <is>
          <t>Wuhan, China</t>
        </is>
      </c>
      <c r="AP106" s="188" t="inlineStr">
        <is>
          <t>15 Huangpu Science and Technology Park</t>
        </is>
      </c>
      <c r="AQ106" s="189" t="inlineStr">
        <is>
          <t>Jiang'an District, Hubei Province</t>
        </is>
      </c>
      <c r="AR106" s="190" t="inlineStr">
        <is>
          <t>Wuhan</t>
        </is>
      </c>
      <c r="AS106" s="191" t="inlineStr">
        <is>
          <t/>
        </is>
      </c>
      <c r="AT106" s="192" t="inlineStr">
        <is>
          <t>430023</t>
        </is>
      </c>
      <c r="AU106" s="193" t="inlineStr">
        <is>
          <t>China</t>
        </is>
      </c>
      <c r="AV106" s="194" t="inlineStr">
        <is>
          <t>+86 (0)27 6569 4977</t>
        </is>
      </c>
      <c r="AW106" s="195" t="inlineStr">
        <is>
          <t/>
        </is>
      </c>
      <c r="AX106" s="196" t="inlineStr">
        <is>
          <t>info@kingold.com</t>
        </is>
      </c>
      <c r="AY106" s="197" t="inlineStr">
        <is>
          <t>Asia</t>
        </is>
      </c>
      <c r="AZ106" s="198" t="inlineStr">
        <is>
          <t>East Asia</t>
        </is>
      </c>
      <c r="BA106" s="199" t="inlineStr">
        <is>
          <t>The company (NASDAQ: KGJI) was in talks to raise $15 million of convertible debt financing from Fosun International on April 6, 2015. Subsequently the deal was cancelled. Previously, the company raised $22.9 million in its secondary public offering on the NASDAQ stock exchange under the ticker symbol of KGJI on January 14, 2011. A total of 7,200,000 shares were sold at $3.19 per share. After the offering, there was a total of 49,543,073 outstanding shares (excluding the over-allotment option) priced at $3.19 per share, valuing the company at $158 million. The total proceeds, before expenses, to the company was $21.3 million. The underwriters were granted an option to purchase up to an additional 1,080,000 shares from the company to cover over-allotments, if any.</t>
        </is>
      </c>
      <c r="BB106" s="200" t="inlineStr">
        <is>
          <t/>
        </is>
      </c>
      <c r="BC106" s="201" t="inlineStr">
        <is>
          <t/>
        </is>
      </c>
      <c r="BD106" s="202" t="inlineStr">
        <is>
          <t/>
        </is>
      </c>
      <c r="BE106" s="203" t="inlineStr">
        <is>
          <t>Eternal Grace Development, Famous Grow, Hangzhou Ming CIBA Vision Eye Hospital, Whitebox Advisors</t>
        </is>
      </c>
      <c r="BF106" s="204" t="inlineStr">
        <is>
          <t/>
        </is>
      </c>
      <c r="BG106" s="205" t="inlineStr">
        <is>
          <t/>
        </is>
      </c>
      <c r="BH106" s="206" t="inlineStr">
        <is>
          <t>Hangzhou Ming CIBA Vision Eye Hospital(www.85318888.com), Whitebox Advisors(www.whiteboxadvisors.com)</t>
        </is>
      </c>
      <c r="BI106" s="207" t="inlineStr">
        <is>
          <t/>
        </is>
      </c>
      <c r="BJ106" s="208" t="inlineStr">
        <is>
          <t/>
        </is>
      </c>
      <c r="BK106" s="209" t="inlineStr">
        <is>
          <t>Chardan Capital Markets(Underwriter), Cyruli Shanks Hart &amp; Zizmor(Legal Advisor), Direct Markets Holdings (merged 2007)(Underwriter), DLA Piper(Legal Advisor), Fosun International(Debt Financing), Friedman(Auditor), Grandall Law Firm(Legal Advisor), JMP Securities(Underwriter), Maxim Group(Underwriter)</t>
        </is>
      </c>
      <c r="BL106" s="210" t="inlineStr">
        <is>
          <t/>
        </is>
      </c>
      <c r="BM106" s="211" t="inlineStr">
        <is>
          <t/>
        </is>
      </c>
      <c r="BN106" s="212" t="inlineStr">
        <is>
          <t/>
        </is>
      </c>
      <c r="BO106" s="213" t="inlineStr">
        <is>
          <t/>
        </is>
      </c>
      <c r="BP106" s="214" t="inlineStr">
        <is>
          <t/>
        </is>
      </c>
      <c r="BQ106" s="215" t="inlineStr">
        <is>
          <t>IPO</t>
        </is>
      </c>
      <c r="BR106" s="216" t="inlineStr">
        <is>
          <t/>
        </is>
      </c>
      <c r="BS106" s="217" t="inlineStr">
        <is>
          <t/>
        </is>
      </c>
      <c r="BT106" s="218" t="inlineStr">
        <is>
          <t>Public Investment</t>
        </is>
      </c>
      <c r="BU106" s="219" t="inlineStr">
        <is>
          <t/>
        </is>
      </c>
      <c r="BV106" s="220" t="inlineStr">
        <is>
          <t/>
        </is>
      </c>
      <c r="BW106" s="221" t="inlineStr">
        <is>
          <t/>
        </is>
      </c>
      <c r="BX106" s="222" t="inlineStr">
        <is>
          <t>Completed</t>
        </is>
      </c>
      <c r="BY106" s="223" t="n">
        <v>42100.0</v>
      </c>
      <c r="BZ106" s="224" t="n">
        <v>2.46</v>
      </c>
      <c r="CA106" s="225" t="inlineStr">
        <is>
          <t>Actual</t>
        </is>
      </c>
      <c r="CB106" s="226" t="inlineStr">
        <is>
          <t/>
        </is>
      </c>
      <c r="CC106" s="227" t="inlineStr">
        <is>
          <t/>
        </is>
      </c>
      <c r="CD106" s="228" t="inlineStr">
        <is>
          <t>Convertible Debt</t>
        </is>
      </c>
      <c r="CE106" s="229" t="inlineStr">
        <is>
          <t>Senior Debt, Secured</t>
        </is>
      </c>
      <c r="CF106" s="230" t="inlineStr">
        <is>
          <t/>
        </is>
      </c>
      <c r="CG106" s="231" t="inlineStr">
        <is>
          <t>Debt</t>
        </is>
      </c>
      <c r="CH106" s="232" t="inlineStr">
        <is>
          <t>Senior Debt</t>
        </is>
      </c>
      <c r="CI106" s="233" t="inlineStr">
        <is>
          <t/>
        </is>
      </c>
      <c r="CJ106" s="234" t="inlineStr">
        <is>
          <t/>
        </is>
      </c>
      <c r="CK106" s="235" t="inlineStr">
        <is>
          <t>Failed/Cancelled</t>
        </is>
      </c>
      <c r="CL106" s="236" t="n">
        <v>42100.0</v>
      </c>
      <c r="CM106" s="237" t="n">
        <v>2.46</v>
      </c>
      <c r="CN106" s="238" t="n">
        <v>-0.27</v>
      </c>
      <c r="CO106" s="239" t="n">
        <v>9.0</v>
      </c>
      <c r="CP106" s="240" t="n">
        <v>0.21</v>
      </c>
      <c r="CQ106" s="241" t="n">
        <v>42.84</v>
      </c>
      <c r="CR106" s="242" t="n">
        <v>-0.27</v>
      </c>
      <c r="CS106" s="243" t="n">
        <v>10.0</v>
      </c>
      <c r="CT106" s="244" t="inlineStr">
        <is>
          <t/>
        </is>
      </c>
      <c r="CU106" s="245" t="inlineStr">
        <is>
          <t/>
        </is>
      </c>
      <c r="CV106" s="246" t="inlineStr">
        <is>
          <t/>
        </is>
      </c>
      <c r="CW106" s="247" t="inlineStr">
        <is>
          <t/>
        </is>
      </c>
      <c r="CX106" s="248" t="n">
        <v>-0.27</v>
      </c>
      <c r="CY106" s="249" t="n">
        <v>8.0</v>
      </c>
      <c r="CZ106" s="250" t="inlineStr">
        <is>
          <t/>
        </is>
      </c>
      <c r="DA106" s="251" t="inlineStr">
        <is>
          <t/>
        </is>
      </c>
      <c r="DB106" s="252" t="n">
        <v>5.29</v>
      </c>
      <c r="DC106" s="253" t="n">
        <v>84.0</v>
      </c>
      <c r="DD106" s="254" t="n">
        <v>1.34</v>
      </c>
      <c r="DE106" s="255" t="n">
        <v>33.84</v>
      </c>
      <c r="DF106" s="256" t="n">
        <v>5.29</v>
      </c>
      <c r="DG106" s="257" t="n">
        <v>84.0</v>
      </c>
      <c r="DH106" s="258" t="inlineStr">
        <is>
          <t/>
        </is>
      </c>
      <c r="DI106" s="259" t="inlineStr">
        <is>
          <t/>
        </is>
      </c>
      <c r="DJ106" s="260" t="inlineStr">
        <is>
          <t/>
        </is>
      </c>
      <c r="DK106" s="261" t="inlineStr">
        <is>
          <t/>
        </is>
      </c>
      <c r="DL106" s="262" t="n">
        <v>5.29</v>
      </c>
      <c r="DM106" s="263" t="n">
        <v>83.0</v>
      </c>
      <c r="DN106" s="264" t="inlineStr">
        <is>
          <t/>
        </is>
      </c>
      <c r="DO106" s="265" t="inlineStr">
        <is>
          <t/>
        </is>
      </c>
      <c r="DP106" s="266" t="inlineStr">
        <is>
          <t/>
        </is>
      </c>
      <c r="DQ106" s="267" t="inlineStr">
        <is>
          <t/>
        </is>
      </c>
      <c r="DR106" s="268" t="inlineStr">
        <is>
          <t/>
        </is>
      </c>
      <c r="DS106" s="269" t="n">
        <v>179.0</v>
      </c>
      <c r="DT106" s="270" t="n">
        <v>1.0</v>
      </c>
      <c r="DU106" s="271" t="n">
        <v>0.56</v>
      </c>
      <c r="DV106" s="272" t="inlineStr">
        <is>
          <t/>
        </is>
      </c>
      <c r="DW106" s="273" t="inlineStr">
        <is>
          <t/>
        </is>
      </c>
      <c r="DX106" s="274" t="inlineStr">
        <is>
          <t/>
        </is>
      </c>
      <c r="DY106" s="275" t="inlineStr">
        <is>
          <t>PitchBook Research</t>
        </is>
      </c>
      <c r="DZ106" s="276" t="n">
        <v>43544.0</v>
      </c>
      <c r="EA106" s="277" t="n">
        <v>23.96</v>
      </c>
      <c r="EB106" s="278" t="n">
        <v>40557.0</v>
      </c>
      <c r="EC106" s="279" t="inlineStr">
        <is>
          <t>Public Investment 2nd Offering</t>
        </is>
      </c>
      <c r="ED106" s="548">
        <f>HYPERLINK("https://my.pitchbook.com?c=41410-63", "View company online")</f>
      </c>
    </row>
    <row r="107">
      <c r="A107" s="13" t="inlineStr">
        <is>
          <t>12234-70</t>
        </is>
      </c>
      <c r="B107" s="14" t="inlineStr">
        <is>
          <t>The North Face</t>
        </is>
      </c>
      <c r="C107" s="15" t="inlineStr">
        <is>
          <t>TNF Holdings</t>
        </is>
      </c>
      <c r="D107" s="16" t="inlineStr">
        <is>
          <t/>
        </is>
      </c>
      <c r="E107" s="17" t="inlineStr">
        <is>
          <t>12234-70</t>
        </is>
      </c>
      <c r="F107" s="18" t="inlineStr">
        <is>
          <t>Manufacturer and supplier of apparel. The company specializes in apparel such as jackets, sweatshirts, T-shirts in addition to footwear and accessories for both men and women.</t>
        </is>
      </c>
      <c r="G107" s="19" t="inlineStr">
        <is>
          <t>Consumer Products and Services (B2C)</t>
        </is>
      </c>
      <c r="H107" s="20" t="inlineStr">
        <is>
          <t>Apparel and Accessories</t>
        </is>
      </c>
      <c r="I107" s="21" t="inlineStr">
        <is>
          <t>Clothing</t>
        </is>
      </c>
      <c r="J107" s="22" t="inlineStr">
        <is>
          <t>Accessories, Clothing*, Footwear</t>
        </is>
      </c>
      <c r="K107" s="23" t="inlineStr">
        <is>
          <t>Manufacturing</t>
        </is>
      </c>
      <c r="L107" s="24" t="inlineStr">
        <is>
          <t>casual tops, sweatshirts, t-shirts</t>
        </is>
      </c>
      <c r="M107" s="25" t="inlineStr">
        <is>
          <t>Formerly PE-Backed</t>
        </is>
      </c>
      <c r="N107" s="26" t="inlineStr">
        <is>
          <t/>
        </is>
      </c>
      <c r="O107" s="27" t="inlineStr">
        <is>
          <t>Generating Revenue</t>
        </is>
      </c>
      <c r="P107" s="28" t="inlineStr">
        <is>
          <t>Acquired/Merged (Operating Subsidiary)</t>
        </is>
      </c>
      <c r="Q107" s="29" t="inlineStr">
        <is>
          <t>Private Equity, Publicly Listed</t>
        </is>
      </c>
      <c r="R107" s="30" t="inlineStr">
        <is>
          <t>www.thenorthface.com</t>
        </is>
      </c>
      <c r="S107" s="31" t="n">
        <v>1001.0</v>
      </c>
      <c r="T107" s="32" t="inlineStr">
        <is>
          <t>1995: 504, 1996: 572, 1997: 713, 1998: 587, 1999: 859, 2015: 1001</t>
        </is>
      </c>
      <c r="U107" s="33" t="inlineStr">
        <is>
          <t/>
        </is>
      </c>
      <c r="V107" s="34" t="inlineStr">
        <is>
          <t/>
        </is>
      </c>
      <c r="W107" s="35" t="inlineStr">
        <is>
          <t/>
        </is>
      </c>
      <c r="X107" s="36" t="inlineStr">
        <is>
          <t>VF Corporation</t>
        </is>
      </c>
      <c r="Y107" s="37" t="inlineStr">
        <is>
          <t/>
        </is>
      </c>
      <c r="Z107" s="38" t="inlineStr">
        <is>
          <t>Competitor (New) Sprayway</t>
        </is>
      </c>
      <c r="AA107" s="39" t="n">
        <v>2500.0</v>
      </c>
      <c r="AB107" s="40" t="inlineStr">
        <is>
          <t/>
        </is>
      </c>
      <c r="AC107" s="41" t="inlineStr">
        <is>
          <t/>
        </is>
      </c>
      <c r="AD107" s="42" t="inlineStr">
        <is>
          <t/>
        </is>
      </c>
      <c r="AE107" s="43" t="inlineStr">
        <is>
          <t/>
        </is>
      </c>
      <c r="AF107" s="44" t="inlineStr">
        <is>
          <t>FY 2018</t>
        </is>
      </c>
      <c r="AG107" s="45" t="inlineStr">
        <is>
          <t/>
        </is>
      </c>
      <c r="AH107" s="46" t="inlineStr">
        <is>
          <t/>
        </is>
      </c>
      <c r="AI107" s="47" t="inlineStr">
        <is>
          <t/>
        </is>
      </c>
      <c r="AJ107" s="48" t="inlineStr">
        <is>
          <t>122882-05P</t>
        </is>
      </c>
      <c r="AK107" s="49" t="inlineStr">
        <is>
          <t>Angela Chen</t>
        </is>
      </c>
      <c r="AL107" s="50" t="inlineStr">
        <is>
          <t>Chief Financial Officer</t>
        </is>
      </c>
      <c r="AM107" s="51" t="inlineStr">
        <is>
          <t/>
        </is>
      </c>
      <c r="AN107" s="52" t="inlineStr">
        <is>
          <t/>
        </is>
      </c>
      <c r="AO107" s="53" t="inlineStr">
        <is>
          <t>Alameda, CA</t>
        </is>
      </c>
      <c r="AP107" s="54" t="inlineStr">
        <is>
          <t>2701 Harbor Bay Parkway</t>
        </is>
      </c>
      <c r="AQ107" s="55" t="inlineStr">
        <is>
          <t/>
        </is>
      </c>
      <c r="AR107" s="56" t="inlineStr">
        <is>
          <t>Alameda</t>
        </is>
      </c>
      <c r="AS107" s="57" t="inlineStr">
        <is>
          <t>California</t>
        </is>
      </c>
      <c r="AT107" s="58" t="inlineStr">
        <is>
          <t>94502</t>
        </is>
      </c>
      <c r="AU107" s="59" t="inlineStr">
        <is>
          <t>United States</t>
        </is>
      </c>
      <c r="AV107" s="60" t="inlineStr">
        <is>
          <t/>
        </is>
      </c>
      <c r="AW107" s="61" t="inlineStr">
        <is>
          <t/>
        </is>
      </c>
      <c r="AX107" s="62" t="inlineStr">
        <is>
          <t>tnfsupport@vfc.com</t>
        </is>
      </c>
      <c r="AY107" s="63" t="inlineStr">
        <is>
          <t>Americas</t>
        </is>
      </c>
      <c r="AZ107" s="64" t="inlineStr">
        <is>
          <t>North America</t>
        </is>
      </c>
      <c r="BA107" s="65" t="inlineStr">
        <is>
          <t>The company was acquired by VF Corporation (NYSE: VFC) for an undisclosed amount on August 16, 2000.</t>
        </is>
      </c>
      <c r="BB107" s="66" t="inlineStr">
        <is>
          <t/>
        </is>
      </c>
      <c r="BC107" s="67" t="inlineStr">
        <is>
          <t/>
        </is>
      </c>
      <c r="BD107" s="68" t="inlineStr">
        <is>
          <t>VF Corporation</t>
        </is>
      </c>
      <c r="BE107" s="69" t="inlineStr">
        <is>
          <t>FS Investors, J.H. Whitney Capital Partners</t>
        </is>
      </c>
      <c r="BF107" s="70" t="inlineStr">
        <is>
          <t/>
        </is>
      </c>
      <c r="BG107" s="71" t="inlineStr">
        <is>
          <t/>
        </is>
      </c>
      <c r="BH107" s="72" t="inlineStr">
        <is>
          <t>FS Investors(www.fsinvestors.com), J.H. Whitney Capital Partners(www.whitney.com)</t>
        </is>
      </c>
      <c r="BI107" s="73" t="inlineStr">
        <is>
          <t/>
        </is>
      </c>
      <c r="BJ107" s="74" t="inlineStr">
        <is>
          <t>Finn Partners(Advisor: Communications), Greene Radovsky Maloney Share &amp; Hennigh(Legal Advisor), Herbert Mines Associates(Placement Agent), Marvin Traub Associates(Consulting), Olshan Frome Wolosky(Legal Advisor), Publicis North America(Consulting)</t>
        </is>
      </c>
      <c r="BK107" s="75" t="inlineStr">
        <is>
          <t/>
        </is>
      </c>
      <c r="BL107" s="76" t="n">
        <v>34492.0</v>
      </c>
      <c r="BM107" s="77" t="inlineStr">
        <is>
          <t/>
        </is>
      </c>
      <c r="BN107" s="78" t="inlineStr">
        <is>
          <t/>
        </is>
      </c>
      <c r="BO107" s="79" t="inlineStr">
        <is>
          <t/>
        </is>
      </c>
      <c r="BP107" s="80" t="inlineStr">
        <is>
          <t/>
        </is>
      </c>
      <c r="BQ107" s="81" t="inlineStr">
        <is>
          <t>Buyout/LBO</t>
        </is>
      </c>
      <c r="BR107" s="82" t="inlineStr">
        <is>
          <t>Management Buyout</t>
        </is>
      </c>
      <c r="BS107" s="83" t="inlineStr">
        <is>
          <t/>
        </is>
      </c>
      <c r="BT107" s="84" t="inlineStr">
        <is>
          <t>Private Equity</t>
        </is>
      </c>
      <c r="BU107" s="85" t="inlineStr">
        <is>
          <t/>
        </is>
      </c>
      <c r="BV107" s="86" t="inlineStr">
        <is>
          <t/>
        </is>
      </c>
      <c r="BW107" s="87" t="inlineStr">
        <is>
          <t/>
        </is>
      </c>
      <c r="BX107" s="88" t="inlineStr">
        <is>
          <t>Completed</t>
        </is>
      </c>
      <c r="BY107" s="89" t="n">
        <v>36754.0</v>
      </c>
      <c r="BZ107" s="90" t="inlineStr">
        <is>
          <t/>
        </is>
      </c>
      <c r="CA107" s="91" t="inlineStr">
        <is>
          <t/>
        </is>
      </c>
      <c r="CB107" s="92" t="inlineStr">
        <is>
          <t/>
        </is>
      </c>
      <c r="CC107" s="93" t="inlineStr">
        <is>
          <t/>
        </is>
      </c>
      <c r="CD107" s="94" t="inlineStr">
        <is>
          <t>Merger/Acquisition</t>
        </is>
      </c>
      <c r="CE107" s="95" t="inlineStr">
        <is>
          <t/>
        </is>
      </c>
      <c r="CF107" s="96" t="inlineStr">
        <is>
          <t/>
        </is>
      </c>
      <c r="CG107" s="97" t="inlineStr">
        <is>
          <t>Corporate</t>
        </is>
      </c>
      <c r="CH107" s="98" t="inlineStr">
        <is>
          <t/>
        </is>
      </c>
      <c r="CI107" s="99" t="inlineStr">
        <is>
          <t/>
        </is>
      </c>
      <c r="CJ107" s="100" t="inlineStr">
        <is>
          <t/>
        </is>
      </c>
      <c r="CK107" s="101" t="inlineStr">
        <is>
          <t>Completed</t>
        </is>
      </c>
      <c r="CL107" s="102" t="inlineStr">
        <is>
          <t/>
        </is>
      </c>
      <c r="CM107" s="103" t="inlineStr">
        <is>
          <t/>
        </is>
      </c>
      <c r="CN107" s="104" t="inlineStr">
        <is>
          <t/>
        </is>
      </c>
      <c r="CO107" s="105" t="inlineStr">
        <is>
          <t/>
        </is>
      </c>
      <c r="CP107" s="106" t="inlineStr">
        <is>
          <t/>
        </is>
      </c>
      <c r="CQ107" s="107" t="inlineStr">
        <is>
          <t/>
        </is>
      </c>
      <c r="CR107" s="108" t="inlineStr">
        <is>
          <t/>
        </is>
      </c>
      <c r="CS107" s="109" t="inlineStr">
        <is>
          <t/>
        </is>
      </c>
      <c r="CT107" s="110" t="inlineStr">
        <is>
          <t/>
        </is>
      </c>
      <c r="CU107" s="111" t="inlineStr">
        <is>
          <t/>
        </is>
      </c>
      <c r="CV107" s="112" t="inlineStr">
        <is>
          <t/>
        </is>
      </c>
      <c r="CW107" s="113" t="inlineStr">
        <is>
          <t/>
        </is>
      </c>
      <c r="CX107" s="114" t="inlineStr">
        <is>
          <t/>
        </is>
      </c>
      <c r="CY107" s="115" t="inlineStr">
        <is>
          <t/>
        </is>
      </c>
      <c r="CZ107" s="116" t="inlineStr">
        <is>
          <t/>
        </is>
      </c>
      <c r="DA107" s="117" t="inlineStr">
        <is>
          <t/>
        </is>
      </c>
      <c r="DB107" s="118" t="inlineStr">
        <is>
          <t/>
        </is>
      </c>
      <c r="DC107" s="119" t="inlineStr">
        <is>
          <t/>
        </is>
      </c>
      <c r="DD107" s="120" t="inlineStr">
        <is>
          <t/>
        </is>
      </c>
      <c r="DE107" s="121" t="inlineStr">
        <is>
          <t/>
        </is>
      </c>
      <c r="DF107" s="122" t="inlineStr">
        <is>
          <t/>
        </is>
      </c>
      <c r="DG107" s="123" t="inlineStr">
        <is>
          <t/>
        </is>
      </c>
      <c r="DH107" s="124" t="inlineStr">
        <is>
          <t/>
        </is>
      </c>
      <c r="DI107" s="125" t="inlineStr">
        <is>
          <t/>
        </is>
      </c>
      <c r="DJ107" s="126" t="inlineStr">
        <is>
          <t/>
        </is>
      </c>
      <c r="DK107" s="127" t="inlineStr">
        <is>
          <t/>
        </is>
      </c>
      <c r="DL107" s="128" t="inlineStr">
        <is>
          <t/>
        </is>
      </c>
      <c r="DM107" s="129" t="inlineStr">
        <is>
          <t/>
        </is>
      </c>
      <c r="DN107" s="130" t="inlineStr">
        <is>
          <t/>
        </is>
      </c>
      <c r="DO107" s="131" t="inlineStr">
        <is>
          <t/>
        </is>
      </c>
      <c r="DP107" s="132" t="inlineStr">
        <is>
          <t/>
        </is>
      </c>
      <c r="DQ107" s="133" t="inlineStr">
        <is>
          <t/>
        </is>
      </c>
      <c r="DR107" s="134" t="inlineStr">
        <is>
          <t/>
        </is>
      </c>
      <c r="DS107" s="135" t="inlineStr">
        <is>
          <t/>
        </is>
      </c>
      <c r="DT107" s="136" t="inlineStr">
        <is>
          <t/>
        </is>
      </c>
      <c r="DU107" s="137" t="inlineStr">
        <is>
          <t/>
        </is>
      </c>
      <c r="DV107" s="138" t="inlineStr">
        <is>
          <t/>
        </is>
      </c>
      <c r="DW107" s="139" t="inlineStr">
        <is>
          <t/>
        </is>
      </c>
      <c r="DX107" s="140" t="inlineStr">
        <is>
          <t/>
        </is>
      </c>
      <c r="DY107" s="141" t="inlineStr">
        <is>
          <t>PitchBook Research</t>
        </is>
      </c>
      <c r="DZ107" s="142" t="n">
        <v>43474.0</v>
      </c>
      <c r="EA107" s="143" t="inlineStr">
        <is>
          <t/>
        </is>
      </c>
      <c r="EB107" s="144" t="inlineStr">
        <is>
          <t/>
        </is>
      </c>
      <c r="EC107" s="145" t="inlineStr">
        <is>
          <t/>
        </is>
      </c>
      <c r="ED107" s="547">
        <f>HYPERLINK("https://my.pitchbook.com?c=12234-70", "View company online")</f>
      </c>
    </row>
    <row r="108">
      <c r="A108" s="147" t="inlineStr">
        <is>
          <t>59350-60</t>
        </is>
      </c>
      <c r="B108" s="148" t="inlineStr">
        <is>
          <t>Foschini Group (JSE: TFG)</t>
        </is>
      </c>
      <c r="C108" s="149" t="inlineStr">
        <is>
          <t/>
        </is>
      </c>
      <c r="D108" s="150" t="inlineStr">
        <is>
          <t/>
        </is>
      </c>
      <c r="E108" s="151" t="inlineStr">
        <is>
          <t>59350-60</t>
        </is>
      </c>
      <c r="F108" s="152" t="inlineStr">
        <is>
          <t>Foschini Group Ltd is a South African fashion retailer. The company offers ladieswear, footwear, accessories, cosmetics and fragrances, kidswear, homewares, sportswear, cellular and jewelry mainly in South Africa, as well as financial services. The Foschini Group portfolio consists of multiple brands, including @home, @homelivingpace, American Swiss, Sterns, Charles &amp; Keith, Colette, DonnaClaire, Phase Eight, Soda Bloc, Duesouth, Exact, Fabiani, The Fix, Foschini, G-star Raw, hi, Markham, Mat &amp; May, and Whistles.</t>
        </is>
      </c>
      <c r="G108" s="153" t="inlineStr">
        <is>
          <t>Consumer Products and Services (B2C)</t>
        </is>
      </c>
      <c r="H108" s="154" t="inlineStr">
        <is>
          <t>Apparel and Accessories</t>
        </is>
      </c>
      <c r="I108" s="155" t="inlineStr">
        <is>
          <t>Clothing</t>
        </is>
      </c>
      <c r="J108" s="156" t="inlineStr">
        <is>
          <t>Accessories, Clothing*, Electronics (B2C), Home Furnishings</t>
        </is>
      </c>
      <c r="K108" s="157" t="inlineStr">
        <is>
          <t>TMT</t>
        </is>
      </c>
      <c r="L108" s="158" t="inlineStr">
        <is>
          <t/>
        </is>
      </c>
      <c r="M108" s="159" t="inlineStr">
        <is>
          <t>Corporation</t>
        </is>
      </c>
      <c r="N108" s="160" t="inlineStr">
        <is>
          <t/>
        </is>
      </c>
      <c r="O108" s="161" t="inlineStr">
        <is>
          <t>Profitable</t>
        </is>
      </c>
      <c r="P108" s="162" t="inlineStr">
        <is>
          <t>Publicly Held</t>
        </is>
      </c>
      <c r="Q108" s="163" t="inlineStr">
        <is>
          <t>Publicly Listed</t>
        </is>
      </c>
      <c r="R108" s="164" t="inlineStr">
        <is>
          <t>www.tfglimited.co.za</t>
        </is>
      </c>
      <c r="S108" s="165" t="n">
        <v>27825.0</v>
      </c>
      <c r="T108" s="166" t="inlineStr">
        <is>
          <t>2005: 4003, 2006: 4502, 2009: 5321, 2010: 14786, 2011: 15864, 2012: 11671, 2013: 17705, 2014: 17898, 2015: 20728, 2016: 22880, 2017: 23470, 2018: 27825</t>
        </is>
      </c>
      <c r="U108" s="167" t="inlineStr">
        <is>
          <t>JSE</t>
        </is>
      </c>
      <c r="V108" s="168" t="inlineStr">
        <is>
          <t>TFG</t>
        </is>
      </c>
      <c r="W108" s="169" t="inlineStr">
        <is>
          <t/>
        </is>
      </c>
      <c r="X108" s="170" t="inlineStr">
        <is>
          <t/>
        </is>
      </c>
      <c r="Y108" s="171" t="inlineStr">
        <is>
          <t/>
        </is>
      </c>
      <c r="Z108" s="172" t="inlineStr">
        <is>
          <t/>
        </is>
      </c>
      <c r="AA108" s="173" t="n">
        <v>2446.87</v>
      </c>
      <c r="AB108" s="174" t="n">
        <v>1311.22</v>
      </c>
      <c r="AC108" s="175" t="n">
        <v>194.87</v>
      </c>
      <c r="AD108" s="176" t="n">
        <v>3591.9</v>
      </c>
      <c r="AE108" s="177" t="n">
        <v>253.29</v>
      </c>
      <c r="AF108" s="178" t="inlineStr">
        <is>
          <t>TTM 2Q2019</t>
        </is>
      </c>
      <c r="AG108" s="179" t="n">
        <v>191.93</v>
      </c>
      <c r="AH108" s="180" t="n">
        <v>2668.16</v>
      </c>
      <c r="AI108" s="181" t="n">
        <v>611.16</v>
      </c>
      <c r="AJ108" s="182" t="inlineStr">
        <is>
          <t/>
        </is>
      </c>
      <c r="AK108" s="183" t="inlineStr">
        <is>
          <t/>
        </is>
      </c>
      <c r="AL108" s="184" t="inlineStr">
        <is>
          <t/>
        </is>
      </c>
      <c r="AM108" s="185" t="inlineStr">
        <is>
          <t/>
        </is>
      </c>
      <c r="AN108" s="186" t="inlineStr">
        <is>
          <t/>
        </is>
      </c>
      <c r="AO108" s="187" t="inlineStr">
        <is>
          <t>Cape Town, South Africa</t>
        </is>
      </c>
      <c r="AP108" s="188" t="inlineStr">
        <is>
          <t>340 Voortrekker Road</t>
        </is>
      </c>
      <c r="AQ108" s="189" t="inlineStr">
        <is>
          <t>Stanley Lewis Centre, Parow East</t>
        </is>
      </c>
      <c r="AR108" s="190" t="inlineStr">
        <is>
          <t>Cape Town</t>
        </is>
      </c>
      <c r="AS108" s="191" t="inlineStr">
        <is>
          <t/>
        </is>
      </c>
      <c r="AT108" s="192" t="inlineStr">
        <is>
          <t>7500</t>
        </is>
      </c>
      <c r="AU108" s="193" t="inlineStr">
        <is>
          <t>South Africa</t>
        </is>
      </c>
      <c r="AV108" s="194" t="inlineStr">
        <is>
          <t>+27 (0)21 938 1911</t>
        </is>
      </c>
      <c r="AW108" s="195" t="inlineStr">
        <is>
          <t/>
        </is>
      </c>
      <c r="AX108" s="196" t="inlineStr">
        <is>
          <t/>
        </is>
      </c>
      <c r="AY108" s="197" t="inlineStr">
        <is>
          <t>Africa</t>
        </is>
      </c>
      <c r="AZ108" s="198" t="inlineStr">
        <is>
          <t>Southern Africa</t>
        </is>
      </c>
      <c r="BA108" s="199" t="inlineStr">
        <is>
          <t/>
        </is>
      </c>
      <c r="BB108" s="200" t="inlineStr">
        <is>
          <t/>
        </is>
      </c>
      <c r="BC108" s="201" t="inlineStr">
        <is>
          <t/>
        </is>
      </c>
      <c r="BD108" s="202" t="inlineStr">
        <is>
          <t/>
        </is>
      </c>
      <c r="BE108" s="203" t="inlineStr">
        <is>
          <t/>
        </is>
      </c>
      <c r="BF108" s="204" t="inlineStr">
        <is>
          <t/>
        </is>
      </c>
      <c r="BG108" s="205" t="inlineStr">
        <is>
          <t/>
        </is>
      </c>
      <c r="BH108" s="206" t="inlineStr">
        <is>
          <t/>
        </is>
      </c>
      <c r="BI108" s="207" t="inlineStr">
        <is>
          <t/>
        </is>
      </c>
      <c r="BJ108" s="208" t="inlineStr">
        <is>
          <t/>
        </is>
      </c>
      <c r="BK108" s="209" t="inlineStr">
        <is>
          <t/>
        </is>
      </c>
      <c r="BL108" s="210" t="inlineStr">
        <is>
          <t/>
        </is>
      </c>
      <c r="BM108" s="211" t="inlineStr">
        <is>
          <t/>
        </is>
      </c>
      <c r="BN108" s="212" t="inlineStr">
        <is>
          <t/>
        </is>
      </c>
      <c r="BO108" s="213" t="inlineStr">
        <is>
          <t/>
        </is>
      </c>
      <c r="BP108" s="214" t="inlineStr">
        <is>
          <t/>
        </is>
      </c>
      <c r="BQ108" s="215" t="inlineStr">
        <is>
          <t/>
        </is>
      </c>
      <c r="BR108" s="216" t="inlineStr">
        <is>
          <t/>
        </is>
      </c>
      <c r="BS108" s="217" t="inlineStr">
        <is>
          <t/>
        </is>
      </c>
      <c r="BT108" s="218" t="inlineStr">
        <is>
          <t/>
        </is>
      </c>
      <c r="BU108" s="219" t="inlineStr">
        <is>
          <t/>
        </is>
      </c>
      <c r="BV108" s="220" t="inlineStr">
        <is>
          <t/>
        </is>
      </c>
      <c r="BW108" s="221" t="inlineStr">
        <is>
          <t/>
        </is>
      </c>
      <c r="BX108" s="222" t="inlineStr">
        <is>
          <t/>
        </is>
      </c>
      <c r="BY108" s="223" t="inlineStr">
        <is>
          <t/>
        </is>
      </c>
      <c r="BZ108" s="224" t="inlineStr">
        <is>
          <t/>
        </is>
      </c>
      <c r="CA108" s="225" t="inlineStr">
        <is>
          <t/>
        </is>
      </c>
      <c r="CB108" s="226" t="inlineStr">
        <is>
          <t/>
        </is>
      </c>
      <c r="CC108" s="227" t="inlineStr">
        <is>
          <t/>
        </is>
      </c>
      <c r="CD108" s="228" t="inlineStr">
        <is>
          <t/>
        </is>
      </c>
      <c r="CE108" s="229" t="inlineStr">
        <is>
          <t/>
        </is>
      </c>
      <c r="CF108" s="230" t="inlineStr">
        <is>
          <t/>
        </is>
      </c>
      <c r="CG108" s="231" t="inlineStr">
        <is>
          <t/>
        </is>
      </c>
      <c r="CH108" s="232" t="inlineStr">
        <is>
          <t/>
        </is>
      </c>
      <c r="CI108" s="233" t="inlineStr">
        <is>
          <t/>
        </is>
      </c>
      <c r="CJ108" s="234" t="inlineStr">
        <is>
          <t/>
        </is>
      </c>
      <c r="CK108" s="235" t="inlineStr">
        <is>
          <t/>
        </is>
      </c>
      <c r="CL108" s="236" t="inlineStr">
        <is>
          <t/>
        </is>
      </c>
      <c r="CM108" s="237" t="inlineStr">
        <is>
          <t/>
        </is>
      </c>
      <c r="CN108" s="238" t="n">
        <v>0.0</v>
      </c>
      <c r="CO108" s="239" t="n">
        <v>18.0</v>
      </c>
      <c r="CP108" s="240" t="n">
        <v>0.0</v>
      </c>
      <c r="CQ108" s="241" t="n">
        <v>0.0</v>
      </c>
      <c r="CR108" s="242" t="n">
        <v>0.0</v>
      </c>
      <c r="CS108" s="243" t="n">
        <v>14.0</v>
      </c>
      <c r="CT108" s="244" t="inlineStr">
        <is>
          <t/>
        </is>
      </c>
      <c r="CU108" s="245" t="inlineStr">
        <is>
          <t/>
        </is>
      </c>
      <c r="CV108" s="246" t="inlineStr">
        <is>
          <t/>
        </is>
      </c>
      <c r="CW108" s="247" t="inlineStr">
        <is>
          <t/>
        </is>
      </c>
      <c r="CX108" s="248" t="n">
        <v>0.0</v>
      </c>
      <c r="CY108" s="249" t="n">
        <v>11.0</v>
      </c>
      <c r="CZ108" s="250" t="inlineStr">
        <is>
          <t/>
        </is>
      </c>
      <c r="DA108" s="251" t="inlineStr">
        <is>
          <t/>
        </is>
      </c>
      <c r="DB108" s="252" t="n">
        <v>1.03</v>
      </c>
      <c r="DC108" s="253" t="n">
        <v>51.0</v>
      </c>
      <c r="DD108" s="254" t="n">
        <v>0.25</v>
      </c>
      <c r="DE108" s="255" t="n">
        <v>32.35</v>
      </c>
      <c r="DF108" s="256" t="n">
        <v>1.03</v>
      </c>
      <c r="DG108" s="257" t="n">
        <v>51.0</v>
      </c>
      <c r="DH108" s="258" t="inlineStr">
        <is>
          <t/>
        </is>
      </c>
      <c r="DI108" s="259" t="inlineStr">
        <is>
          <t/>
        </is>
      </c>
      <c r="DJ108" s="260" t="inlineStr">
        <is>
          <t/>
        </is>
      </c>
      <c r="DK108" s="261" t="inlineStr">
        <is>
          <t/>
        </is>
      </c>
      <c r="DL108" s="262" t="n">
        <v>1.03</v>
      </c>
      <c r="DM108" s="263" t="n">
        <v>51.0</v>
      </c>
      <c r="DN108" s="264" t="inlineStr">
        <is>
          <t/>
        </is>
      </c>
      <c r="DO108" s="265" t="inlineStr">
        <is>
          <t/>
        </is>
      </c>
      <c r="DP108" s="266" t="n">
        <v>182.0</v>
      </c>
      <c r="DQ108" s="267" t="n">
        <v>-18.0</v>
      </c>
      <c r="DR108" s="268" t="n">
        <v>-9.0</v>
      </c>
      <c r="DS108" s="269" t="n">
        <v>35.0</v>
      </c>
      <c r="DT108" s="270" t="n">
        <v>0.0</v>
      </c>
      <c r="DU108" s="271" t="n">
        <v>0.0</v>
      </c>
      <c r="DV108" s="272" t="inlineStr">
        <is>
          <t/>
        </is>
      </c>
      <c r="DW108" s="273" t="inlineStr">
        <is>
          <t/>
        </is>
      </c>
      <c r="DX108" s="274" t="inlineStr">
        <is>
          <t/>
        </is>
      </c>
      <c r="DY108" s="275" t="inlineStr">
        <is>
          <t>PitchBook Research</t>
        </is>
      </c>
      <c r="DZ108" s="276" t="n">
        <v>43492.0</v>
      </c>
      <c r="EA108" s="277" t="inlineStr">
        <is>
          <t/>
        </is>
      </c>
      <c r="EB108" s="278" t="inlineStr">
        <is>
          <t/>
        </is>
      </c>
      <c r="EC108" s="279" t="inlineStr">
        <is>
          <t/>
        </is>
      </c>
      <c r="ED108" s="548">
        <f>HYPERLINK("https://my.pitchbook.com?c=59350-60", "View company online")</f>
      </c>
    </row>
    <row r="109">
      <c r="A109" s="13" t="inlineStr">
        <is>
          <t>64735-39</t>
        </is>
      </c>
      <c r="B109" s="14" t="inlineStr">
        <is>
          <t>Arcadia Group</t>
        </is>
      </c>
      <c r="C109" s="15" t="inlineStr">
        <is>
          <t>Burton Group</t>
        </is>
      </c>
      <c r="D109" s="16" t="inlineStr">
        <is>
          <t>Arcadia</t>
        </is>
      </c>
      <c r="E109" s="17" t="inlineStr">
        <is>
          <t>64735-39</t>
        </is>
      </c>
      <c r="F109" s="18" t="inlineStr">
        <is>
          <t>Owner and operator of a chain of fashion retail stores intended to sell men and women fashion wear. The company's chain of fashion retail stores offer well-known quality clothing brands such as Burton, Dorothy Perkins, Evans, Miss Selfridge, Topman, Topshop, Wallis and BHS and the out of town chain Outfit, enabling customers to get a wide range of fashionable accessories at reasonable price.</t>
        </is>
      </c>
      <c r="G109" s="19" t="inlineStr">
        <is>
          <t>Consumer Products and Services (B2C)</t>
        </is>
      </c>
      <c r="H109" s="20" t="inlineStr">
        <is>
          <t>Retail</t>
        </is>
      </c>
      <c r="I109" s="21" t="inlineStr">
        <is>
          <t>Specialty Retail</t>
        </is>
      </c>
      <c r="J109" s="22" t="inlineStr">
        <is>
          <t>Clothing, Specialty Retail*</t>
        </is>
      </c>
      <c r="K109" s="23" t="inlineStr">
        <is>
          <t/>
        </is>
      </c>
      <c r="L109" s="24" t="inlineStr">
        <is>
          <t>clothes retailer, clothing branding, fashion retail stores, fashion wear, retail chain</t>
        </is>
      </c>
      <c r="M109" s="25" t="inlineStr">
        <is>
          <t>Failed Transaction (M&amp;A)</t>
        </is>
      </c>
      <c r="N109" s="26" t="inlineStr">
        <is>
          <t/>
        </is>
      </c>
      <c r="O109" s="27" t="inlineStr">
        <is>
          <t>Generating Revenue</t>
        </is>
      </c>
      <c r="P109" s="28" t="inlineStr">
        <is>
          <t>Acquired/Merged (Operating Subsidiary)</t>
        </is>
      </c>
      <c r="Q109" s="29" t="inlineStr">
        <is>
          <t>M&amp;A</t>
        </is>
      </c>
      <c r="R109" s="30" t="inlineStr">
        <is>
          <t>www.arcadiagroup.co.uk</t>
        </is>
      </c>
      <c r="S109" s="31" t="n">
        <v>26000.0</v>
      </c>
      <c r="T109" s="32" t="inlineStr">
        <is>
          <t>2000: 25839, 2001: 15589, 2002: 22826, 2003: 1934, 2004: 1945, 2005: 2038, 2006: 1932, 2017: 23424, 2018: 26000</t>
        </is>
      </c>
      <c r="U109" s="33" t="inlineStr">
        <is>
          <t/>
        </is>
      </c>
      <c r="V109" s="34" t="inlineStr">
        <is>
          <t/>
        </is>
      </c>
      <c r="W109" s="35" t="n">
        <v>1900.0</v>
      </c>
      <c r="X109" s="36" t="inlineStr">
        <is>
          <t>Taveta Investments</t>
        </is>
      </c>
      <c r="Y109" s="37" t="inlineStr">
        <is>
          <t/>
        </is>
      </c>
      <c r="Z109" s="38" t="inlineStr">
        <is>
          <t>Competitor (New) Urban Outfitters</t>
        </is>
      </c>
      <c r="AA109" s="39" t="n">
        <v>2421.6</v>
      </c>
      <c r="AB109" s="40" t="inlineStr">
        <is>
          <t/>
        </is>
      </c>
      <c r="AC109" s="41" t="inlineStr">
        <is>
          <t/>
        </is>
      </c>
      <c r="AD109" s="42" t="inlineStr">
        <is>
          <t/>
        </is>
      </c>
      <c r="AE109" s="43" t="inlineStr">
        <is>
          <t/>
        </is>
      </c>
      <c r="AF109" s="44" t="inlineStr">
        <is>
          <t>FY 2018</t>
        </is>
      </c>
      <c r="AG109" s="45" t="inlineStr">
        <is>
          <t/>
        </is>
      </c>
      <c r="AH109" s="46" t="inlineStr">
        <is>
          <t/>
        </is>
      </c>
      <c r="AI109" s="47" t="inlineStr">
        <is>
          <t/>
        </is>
      </c>
      <c r="AJ109" s="48" t="inlineStr">
        <is>
          <t>72143-83P</t>
        </is>
      </c>
      <c r="AK109" s="49" t="inlineStr">
        <is>
          <t>Philip Green</t>
        </is>
      </c>
      <c r="AL109" s="50" t="inlineStr">
        <is>
          <t>Chairman</t>
        </is>
      </c>
      <c r="AM109" s="51" t="inlineStr">
        <is>
          <t>greenp@arcadiagroup.co.uk</t>
        </is>
      </c>
      <c r="AN109" s="52" t="inlineStr">
        <is>
          <t>+44 (0)84 4243 0000</t>
        </is>
      </c>
      <c r="AO109" s="53" t="inlineStr">
        <is>
          <t>London, United Kingdom</t>
        </is>
      </c>
      <c r="AP109" s="54" t="inlineStr">
        <is>
          <t>Colegrave House</t>
        </is>
      </c>
      <c r="AQ109" s="55" t="inlineStr">
        <is>
          <t>70 Berners Street</t>
        </is>
      </c>
      <c r="AR109" s="56" t="inlineStr">
        <is>
          <t>London</t>
        </is>
      </c>
      <c r="AS109" s="57" t="inlineStr">
        <is>
          <t>England</t>
        </is>
      </c>
      <c r="AT109" s="58" t="inlineStr">
        <is>
          <t>W1T 3NL</t>
        </is>
      </c>
      <c r="AU109" s="59" t="inlineStr">
        <is>
          <t>United Kingdom</t>
        </is>
      </c>
      <c r="AV109" s="60" t="inlineStr">
        <is>
          <t>+44 (0)84 4243 0000</t>
        </is>
      </c>
      <c r="AW109" s="61" t="inlineStr">
        <is>
          <t/>
        </is>
      </c>
      <c r="AX109" s="62" t="inlineStr">
        <is>
          <t/>
        </is>
      </c>
      <c r="AY109" s="63" t="inlineStr">
        <is>
          <t>Europe</t>
        </is>
      </c>
      <c r="AZ109" s="64" t="inlineStr">
        <is>
          <t>Western Europe</t>
        </is>
      </c>
      <c r="BA109" s="65" t="inlineStr">
        <is>
          <t>The company had entered into a definitive agreement to be acquired by Golf &amp; Co. (TASE: GOLF) for NIS 56 million on December 2, 2014. Subsequently the deal was cancelled.</t>
        </is>
      </c>
      <c r="BB109" s="66" t="inlineStr">
        <is>
          <t>Sakal Holdings</t>
        </is>
      </c>
      <c r="BC109" s="67" t="n">
        <v>1.0</v>
      </c>
      <c r="BD109" s="68" t="inlineStr">
        <is>
          <t>Taveta Investments</t>
        </is>
      </c>
      <c r="BE109" s="69" t="inlineStr">
        <is>
          <t/>
        </is>
      </c>
      <c r="BF109" s="70" t="inlineStr">
        <is>
          <t>Golf &amp; Co</t>
        </is>
      </c>
      <c r="BG109" s="71" t="inlineStr">
        <is>
          <t>Sakal Holdings(www.sakal-group.co.il)</t>
        </is>
      </c>
      <c r="BH109" s="72" t="inlineStr">
        <is>
          <t/>
        </is>
      </c>
      <c r="BI109" s="73" t="inlineStr">
        <is>
          <t>Golf &amp; Co(www.golfgroup.co.il)</t>
        </is>
      </c>
      <c r="BJ109" s="74" t="inlineStr">
        <is>
          <t>Green Park(Advisor: General), PwC(Auditor)</t>
        </is>
      </c>
      <c r="BK109" s="75" t="inlineStr">
        <is>
          <t/>
        </is>
      </c>
      <c r="BL109" s="76" t="n">
        <v>37257.0</v>
      </c>
      <c r="BM109" s="77" t="n">
        <v>1219.71</v>
      </c>
      <c r="BN109" s="78" t="inlineStr">
        <is>
          <t>Actual</t>
        </is>
      </c>
      <c r="BO109" s="79" t="n">
        <v>1219.71</v>
      </c>
      <c r="BP109" s="80" t="inlineStr">
        <is>
          <t>Actual</t>
        </is>
      </c>
      <c r="BQ109" s="81" t="inlineStr">
        <is>
          <t>Merger/Acquisition</t>
        </is>
      </c>
      <c r="BR109" s="82" t="inlineStr">
        <is>
          <t/>
        </is>
      </c>
      <c r="BS109" s="83" t="inlineStr">
        <is>
          <t/>
        </is>
      </c>
      <c r="BT109" s="84" t="inlineStr">
        <is>
          <t>Corporate</t>
        </is>
      </c>
      <c r="BU109" s="85" t="inlineStr">
        <is>
          <t/>
        </is>
      </c>
      <c r="BV109" s="86" t="inlineStr">
        <is>
          <t/>
        </is>
      </c>
      <c r="BW109" s="87" t="inlineStr">
        <is>
          <t/>
        </is>
      </c>
      <c r="BX109" s="88" t="inlineStr">
        <is>
          <t>Completed</t>
        </is>
      </c>
      <c r="BY109" s="89" t="n">
        <v>41975.0</v>
      </c>
      <c r="BZ109" s="90" t="n">
        <v>14.24</v>
      </c>
      <c r="CA109" s="91" t="inlineStr">
        <is>
          <t>Actual</t>
        </is>
      </c>
      <c r="CB109" s="92" t="n">
        <v>28.48</v>
      </c>
      <c r="CC109" s="93" t="inlineStr">
        <is>
          <t>Actual</t>
        </is>
      </c>
      <c r="CD109" s="94" t="inlineStr">
        <is>
          <t>Merger/Acquisition</t>
        </is>
      </c>
      <c r="CE109" s="95" t="inlineStr">
        <is>
          <t>Corporate Divestiture</t>
        </is>
      </c>
      <c r="CF109" s="96" t="inlineStr">
        <is>
          <t/>
        </is>
      </c>
      <c r="CG109" s="97" t="inlineStr">
        <is>
          <t>Corporate</t>
        </is>
      </c>
      <c r="CH109" s="98" t="inlineStr">
        <is>
          <t/>
        </is>
      </c>
      <c r="CI109" s="99" t="inlineStr">
        <is>
          <t/>
        </is>
      </c>
      <c r="CJ109" s="100" t="inlineStr">
        <is>
          <t/>
        </is>
      </c>
      <c r="CK109" s="101" t="inlineStr">
        <is>
          <t>Failed/Cancelled</t>
        </is>
      </c>
      <c r="CL109" s="102" t="inlineStr">
        <is>
          <t/>
        </is>
      </c>
      <c r="CM109" s="103" t="inlineStr">
        <is>
          <t/>
        </is>
      </c>
      <c r="CN109" s="104" t="n">
        <v>0.03</v>
      </c>
      <c r="CO109" s="105" t="n">
        <v>80.0</v>
      </c>
      <c r="CP109" s="106" t="n">
        <v>0.01</v>
      </c>
      <c r="CQ109" s="107" t="n">
        <v>35.24</v>
      </c>
      <c r="CR109" s="108" t="n">
        <v>0.06</v>
      </c>
      <c r="CS109" s="109" t="n">
        <v>86.0</v>
      </c>
      <c r="CT109" s="110" t="n">
        <v>0.0</v>
      </c>
      <c r="CU109" s="111" t="n">
        <v>27.0</v>
      </c>
      <c r="CV109" s="112" t="n">
        <v>0.0</v>
      </c>
      <c r="CW109" s="113" t="n">
        <v>33.0</v>
      </c>
      <c r="CX109" s="114" t="n">
        <v>0.12</v>
      </c>
      <c r="CY109" s="115" t="n">
        <v>87.0</v>
      </c>
      <c r="CZ109" s="116" t="n">
        <v>0.0</v>
      </c>
      <c r="DA109" s="117" t="n">
        <v>28.0</v>
      </c>
      <c r="DB109" s="118" t="n">
        <v>15.02</v>
      </c>
      <c r="DC109" s="119" t="n">
        <v>93.0</v>
      </c>
      <c r="DD109" s="120" t="n">
        <v>3.69</v>
      </c>
      <c r="DE109" s="121" t="n">
        <v>32.55</v>
      </c>
      <c r="DF109" s="122" t="n">
        <v>29.97</v>
      </c>
      <c r="DG109" s="123" t="n">
        <v>97.0</v>
      </c>
      <c r="DH109" s="124" t="n">
        <v>0.06</v>
      </c>
      <c r="DI109" s="125" t="n">
        <v>10.0</v>
      </c>
      <c r="DJ109" s="126" t="n">
        <v>0.33</v>
      </c>
      <c r="DK109" s="127" t="n">
        <v>25.0</v>
      </c>
      <c r="DL109" s="128" t="n">
        <v>59.62</v>
      </c>
      <c r="DM109" s="129" t="n">
        <v>98.0</v>
      </c>
      <c r="DN109" s="130" t="n">
        <v>0.06</v>
      </c>
      <c r="DO109" s="131" t="n">
        <v>11.0</v>
      </c>
      <c r="DP109" s="132" t="n">
        <v>244.0</v>
      </c>
      <c r="DQ109" s="133" t="n">
        <v>-86.0</v>
      </c>
      <c r="DR109" s="134" t="n">
        <v>-26.06</v>
      </c>
      <c r="DS109" s="135" t="n">
        <v>2023.0</v>
      </c>
      <c r="DT109" s="136" t="n">
        <v>7.0</v>
      </c>
      <c r="DU109" s="137" t="n">
        <v>0.35</v>
      </c>
      <c r="DV109" s="138" t="n">
        <v>23.0</v>
      </c>
      <c r="DW109" s="139" t="n">
        <v>1.0</v>
      </c>
      <c r="DX109" s="140" t="n">
        <v>4.55</v>
      </c>
      <c r="DY109" s="141" t="inlineStr">
        <is>
          <t>PitchBook Research</t>
        </is>
      </c>
      <c r="DZ109" s="142" t="n">
        <v>43446.0</v>
      </c>
      <c r="EA109" s="143" t="n">
        <v>28.48</v>
      </c>
      <c r="EB109" s="144" t="n">
        <v>41975.0</v>
      </c>
      <c r="EC109" s="145" t="inlineStr">
        <is>
          <t>Merger/Acquisition</t>
        </is>
      </c>
      <c r="ED109" s="547">
        <f>HYPERLINK("https://my.pitchbook.com?c=64735-39", "View company online")</f>
      </c>
    </row>
    <row r="110">
      <c r="A110" s="147" t="inlineStr">
        <is>
          <t>41205-25</t>
        </is>
      </c>
      <c r="B110" s="148" t="inlineStr">
        <is>
          <t>Warnaco Group</t>
        </is>
      </c>
      <c r="C110" s="149" t="inlineStr">
        <is>
          <t>Warner Brothers</t>
        </is>
      </c>
      <c r="D110" s="150" t="inlineStr">
        <is>
          <t/>
        </is>
      </c>
      <c r="E110" s="151" t="inlineStr">
        <is>
          <t>41205-25</t>
        </is>
      </c>
      <c r="F110" s="152" t="inlineStr">
        <is>
          <t>Developer and marketer of intimate apparel, sportswear and swimwear products worldwide. The company's products are sold under several brand names, including Calvin Klein, Speedo, Chaps, Warner's and Olga.</t>
        </is>
      </c>
      <c r="G110" s="153" t="inlineStr">
        <is>
          <t>Consumer Products and Services (B2C)</t>
        </is>
      </c>
      <c r="H110" s="154" t="inlineStr">
        <is>
          <t>Apparel and Accessories</t>
        </is>
      </c>
      <c r="I110" s="155" t="inlineStr">
        <is>
          <t>Clothing</t>
        </is>
      </c>
      <c r="J110" s="156" t="inlineStr">
        <is>
          <t>Clothing*</t>
        </is>
      </c>
      <c r="K110" s="157" t="inlineStr">
        <is>
          <t>Manufacturing</t>
        </is>
      </c>
      <c r="L110" s="158" t="inlineStr">
        <is>
          <t/>
        </is>
      </c>
      <c r="M110" s="159" t="inlineStr">
        <is>
          <t>Corporate Backed or Acquired</t>
        </is>
      </c>
      <c r="N110" s="160" t="inlineStr">
        <is>
          <t/>
        </is>
      </c>
      <c r="O110" s="161" t="inlineStr">
        <is>
          <t/>
        </is>
      </c>
      <c r="P110" s="162" t="inlineStr">
        <is>
          <t>Acquired/Merged</t>
        </is>
      </c>
      <c r="Q110" s="163" t="inlineStr">
        <is>
          <t>M&amp;A, Publicly Listed</t>
        </is>
      </c>
      <c r="R110" s="164" t="inlineStr">
        <is>
          <t/>
        </is>
      </c>
      <c r="S110" s="165" t="n">
        <v>7136.0</v>
      </c>
      <c r="T110" s="166" t="inlineStr">
        <is>
          <t>2003: 13536, 2004: 10662, 2005: 10156, 2006: 10287, 2007: 4656, 2008: 5200, 2010: 5400, 2011: 7136</t>
        </is>
      </c>
      <c r="U110" s="167" t="inlineStr">
        <is>
          <t/>
        </is>
      </c>
      <c r="V110" s="168" t="inlineStr">
        <is>
          <t/>
        </is>
      </c>
      <c r="W110" s="169" t="n">
        <v>1874.0</v>
      </c>
      <c r="X110" s="170" t="inlineStr">
        <is>
          <t/>
        </is>
      </c>
      <c r="Y110" s="171" t="inlineStr">
        <is>
          <t/>
        </is>
      </c>
      <c r="Z110" s="172" t="inlineStr">
        <is>
          <t/>
        </is>
      </c>
      <c r="AA110" s="173" t="n">
        <v>2405.71</v>
      </c>
      <c r="AB110" s="174" t="n">
        <v>1041.21</v>
      </c>
      <c r="AC110" s="175" t="n">
        <v>79.97</v>
      </c>
      <c r="AD110" s="176" t="n">
        <v>2080.19</v>
      </c>
      <c r="AE110" s="177" t="n">
        <v>237.6</v>
      </c>
      <c r="AF110" s="178" t="inlineStr">
        <is>
          <t>TTM 3Q2012</t>
        </is>
      </c>
      <c r="AG110" s="179" t="inlineStr">
        <is>
          <t/>
        </is>
      </c>
      <c r="AH110" s="180" t="inlineStr">
        <is>
          <t/>
        </is>
      </c>
      <c r="AI110" s="181" t="inlineStr">
        <is>
          <t/>
        </is>
      </c>
      <c r="AJ110" s="182" t="inlineStr">
        <is>
          <t/>
        </is>
      </c>
      <c r="AK110" s="183" t="inlineStr">
        <is>
          <t/>
        </is>
      </c>
      <c r="AL110" s="184" t="inlineStr">
        <is>
          <t/>
        </is>
      </c>
      <c r="AM110" s="185" t="inlineStr">
        <is>
          <t/>
        </is>
      </c>
      <c r="AN110" s="186" t="inlineStr">
        <is>
          <t/>
        </is>
      </c>
      <c r="AO110" s="187" t="inlineStr">
        <is>
          <t>New York, NY</t>
        </is>
      </c>
      <c r="AP110" s="188" t="inlineStr">
        <is>
          <t>501 Seventh Avenue</t>
        </is>
      </c>
      <c r="AQ110" s="189" t="inlineStr">
        <is>
          <t/>
        </is>
      </c>
      <c r="AR110" s="190" t="inlineStr">
        <is>
          <t>New York</t>
        </is>
      </c>
      <c r="AS110" s="191" t="inlineStr">
        <is>
          <t>New York</t>
        </is>
      </c>
      <c r="AT110" s="192" t="inlineStr">
        <is>
          <t>10018</t>
        </is>
      </c>
      <c r="AU110" s="193" t="inlineStr">
        <is>
          <t>United States</t>
        </is>
      </c>
      <c r="AV110" s="194" t="inlineStr">
        <is>
          <t/>
        </is>
      </c>
      <c r="AW110" s="195" t="inlineStr">
        <is>
          <t/>
        </is>
      </c>
      <c r="AX110" s="196" t="inlineStr">
        <is>
          <t/>
        </is>
      </c>
      <c r="AY110" s="197" t="inlineStr">
        <is>
          <t>Americas</t>
        </is>
      </c>
      <c r="AZ110" s="198" t="inlineStr">
        <is>
          <t>North America</t>
        </is>
      </c>
      <c r="BA110" s="199" t="inlineStr">
        <is>
          <t>The company was acquired by Phillips-Van Huesen for $2.9 billion on February 13, 2013.</t>
        </is>
      </c>
      <c r="BB110" s="200" t="inlineStr">
        <is>
          <t/>
        </is>
      </c>
      <c r="BC110" s="201" t="inlineStr">
        <is>
          <t/>
        </is>
      </c>
      <c r="BD110" s="202" t="inlineStr">
        <is>
          <t>PVH</t>
        </is>
      </c>
      <c r="BE110" s="203" t="inlineStr">
        <is>
          <t/>
        </is>
      </c>
      <c r="BF110" s="204" t="inlineStr">
        <is>
          <t/>
        </is>
      </c>
      <c r="BG110" s="205" t="inlineStr">
        <is>
          <t/>
        </is>
      </c>
      <c r="BH110" s="206" t="inlineStr">
        <is>
          <t/>
        </is>
      </c>
      <c r="BI110" s="207" t="inlineStr">
        <is>
          <t/>
        </is>
      </c>
      <c r="BJ110" s="208" t="inlineStr">
        <is>
          <t>DelMorgan &amp; Co.(Advisor: General), Keen-Summit Capital Partners(Advisor: General), Kekst and Company(Advisor: Communications), Paul, Weiss, Rifkind, Wharton &amp; Garrison(Legal Advisor), Sales Talent Agency(Consulting)</t>
        </is>
      </c>
      <c r="BK110" s="209" t="inlineStr">
        <is>
          <t>Consensus Advisory Services(Advisor: General), Innisfree M&amp;A(Legal Advisor), JPMorgan Chase(Advisor: General), Skadden, Arps, Slate, Meagher &amp; Flom(Legal Advisor)</t>
        </is>
      </c>
      <c r="BL110" s="210" t="n">
        <v>41318.0</v>
      </c>
      <c r="BM110" s="211" t="n">
        <v>2900.0</v>
      </c>
      <c r="BN110" s="212" t="inlineStr">
        <is>
          <t>Actual</t>
        </is>
      </c>
      <c r="BO110" s="213" t="n">
        <v>2900.0</v>
      </c>
      <c r="BP110" s="214" t="inlineStr">
        <is>
          <t>Actual</t>
        </is>
      </c>
      <c r="BQ110" s="215" t="inlineStr">
        <is>
          <t>Merger/Acquisition</t>
        </is>
      </c>
      <c r="BR110" s="216" t="inlineStr">
        <is>
          <t/>
        </is>
      </c>
      <c r="BS110" s="217" t="inlineStr">
        <is>
          <t/>
        </is>
      </c>
      <c r="BT110" s="218" t="inlineStr">
        <is>
          <t>Corporate</t>
        </is>
      </c>
      <c r="BU110" s="219" t="inlineStr">
        <is>
          <t/>
        </is>
      </c>
      <c r="BV110" s="220" t="inlineStr">
        <is>
          <t/>
        </is>
      </c>
      <c r="BW110" s="221" t="inlineStr">
        <is>
          <t/>
        </is>
      </c>
      <c r="BX110" s="222" t="inlineStr">
        <is>
          <t>Completed</t>
        </is>
      </c>
      <c r="BY110" s="223" t="n">
        <v>41318.0</v>
      </c>
      <c r="BZ110" s="224" t="n">
        <v>2900.0</v>
      </c>
      <c r="CA110" s="225" t="inlineStr">
        <is>
          <t>Actual</t>
        </is>
      </c>
      <c r="CB110" s="226" t="n">
        <v>2900.0</v>
      </c>
      <c r="CC110" s="227" t="inlineStr">
        <is>
          <t>Actual</t>
        </is>
      </c>
      <c r="CD110" s="228" t="inlineStr">
        <is>
          <t>Merger/Acquisition</t>
        </is>
      </c>
      <c r="CE110" s="229" t="inlineStr">
        <is>
          <t/>
        </is>
      </c>
      <c r="CF110" s="230" t="inlineStr">
        <is>
          <t/>
        </is>
      </c>
      <c r="CG110" s="231" t="inlineStr">
        <is>
          <t>Corporate</t>
        </is>
      </c>
      <c r="CH110" s="232" t="inlineStr">
        <is>
          <t/>
        </is>
      </c>
      <c r="CI110" s="233" t="inlineStr">
        <is>
          <t/>
        </is>
      </c>
      <c r="CJ110" s="234" t="inlineStr">
        <is>
          <t/>
        </is>
      </c>
      <c r="CK110" s="235" t="inlineStr">
        <is>
          <t>Completed</t>
        </is>
      </c>
      <c r="CL110" s="236" t="inlineStr">
        <is>
          <t/>
        </is>
      </c>
      <c r="CM110" s="237" t="inlineStr">
        <is>
          <t/>
        </is>
      </c>
      <c r="CN110" s="238" t="inlineStr">
        <is>
          <t/>
        </is>
      </c>
      <c r="CO110" s="239" t="inlineStr">
        <is>
          <t/>
        </is>
      </c>
      <c r="CP110" s="240" t="inlineStr">
        <is>
          <t/>
        </is>
      </c>
      <c r="CQ110" s="241" t="inlineStr">
        <is>
          <t/>
        </is>
      </c>
      <c r="CR110" s="242" t="inlineStr">
        <is>
          <t/>
        </is>
      </c>
      <c r="CS110" s="243" t="inlineStr">
        <is>
          <t/>
        </is>
      </c>
      <c r="CT110" s="244" t="inlineStr">
        <is>
          <t/>
        </is>
      </c>
      <c r="CU110" s="245" t="inlineStr">
        <is>
          <t/>
        </is>
      </c>
      <c r="CV110" s="246" t="inlineStr">
        <is>
          <t/>
        </is>
      </c>
      <c r="CW110" s="247" t="inlineStr">
        <is>
          <t/>
        </is>
      </c>
      <c r="CX110" s="248" t="inlineStr">
        <is>
          <t/>
        </is>
      </c>
      <c r="CY110" s="249" t="inlineStr">
        <is>
          <t/>
        </is>
      </c>
      <c r="CZ110" s="250" t="inlineStr">
        <is>
          <t/>
        </is>
      </c>
      <c r="DA110" s="251" t="inlineStr">
        <is>
          <t/>
        </is>
      </c>
      <c r="DB110" s="252" t="inlineStr">
        <is>
          <t/>
        </is>
      </c>
      <c r="DC110" s="253" t="inlineStr">
        <is>
          <t/>
        </is>
      </c>
      <c r="DD110" s="254" t="inlineStr">
        <is>
          <t/>
        </is>
      </c>
      <c r="DE110" s="255" t="inlineStr">
        <is>
          <t/>
        </is>
      </c>
      <c r="DF110" s="256" t="inlineStr">
        <is>
          <t/>
        </is>
      </c>
      <c r="DG110" s="257" t="inlineStr">
        <is>
          <t/>
        </is>
      </c>
      <c r="DH110" s="258" t="inlineStr">
        <is>
          <t/>
        </is>
      </c>
      <c r="DI110" s="259" t="inlineStr">
        <is>
          <t/>
        </is>
      </c>
      <c r="DJ110" s="260" t="inlineStr">
        <is>
          <t/>
        </is>
      </c>
      <c r="DK110" s="261" t="inlineStr">
        <is>
          <t/>
        </is>
      </c>
      <c r="DL110" s="262" t="inlineStr">
        <is>
          <t/>
        </is>
      </c>
      <c r="DM110" s="263" t="inlineStr">
        <is>
          <t/>
        </is>
      </c>
      <c r="DN110" s="264" t="inlineStr">
        <is>
          <t/>
        </is>
      </c>
      <c r="DO110" s="265" t="inlineStr">
        <is>
          <t/>
        </is>
      </c>
      <c r="DP110" s="266" t="inlineStr">
        <is>
          <t/>
        </is>
      </c>
      <c r="DQ110" s="267" t="inlineStr">
        <is>
          <t/>
        </is>
      </c>
      <c r="DR110" s="268" t="inlineStr">
        <is>
          <t/>
        </is>
      </c>
      <c r="DS110" s="269" t="inlineStr">
        <is>
          <t/>
        </is>
      </c>
      <c r="DT110" s="270" t="inlineStr">
        <is>
          <t/>
        </is>
      </c>
      <c r="DU110" s="271" t="inlineStr">
        <is>
          <t/>
        </is>
      </c>
      <c r="DV110" s="272" t="inlineStr">
        <is>
          <t/>
        </is>
      </c>
      <c r="DW110" s="273" t="inlineStr">
        <is>
          <t/>
        </is>
      </c>
      <c r="DX110" s="274" t="inlineStr">
        <is>
          <t/>
        </is>
      </c>
      <c r="DY110" s="275" t="inlineStr">
        <is>
          <t>PitchBook Research</t>
        </is>
      </c>
      <c r="DZ110" s="276" t="n">
        <v>43351.0</v>
      </c>
      <c r="EA110" s="277" t="n">
        <v>2900.0</v>
      </c>
      <c r="EB110" s="278" t="n">
        <v>41318.0</v>
      </c>
      <c r="EC110" s="279" t="inlineStr">
        <is>
          <t>Merger/Acquisition</t>
        </is>
      </c>
      <c r="ED110" s="548">
        <f>HYPERLINK("https://my.pitchbook.com?c=41205-25", "View company online")</f>
      </c>
    </row>
    <row r="111">
      <c r="A111" s="13" t="inlineStr">
        <is>
          <t>183925-09</t>
        </is>
      </c>
      <c r="B111" s="14" t="inlineStr">
        <is>
          <t>Crystal Group (Garment) (HKG: 02232)</t>
        </is>
      </c>
      <c r="C111" s="15" t="inlineStr">
        <is>
          <t/>
        </is>
      </c>
      <c r="D111" s="16" t="inlineStr">
        <is>
          <t>Crystal</t>
        </is>
      </c>
      <c r="E111" s="17" t="inlineStr">
        <is>
          <t>183925-09</t>
        </is>
      </c>
      <c r="F111" s="18" t="inlineStr">
        <is>
          <t>Crystal International Group Ltd is principally engaged in the manufacturing and trading of garments. It has more than 15 self-operating manufacturing facilities. The company's operating segments include Lifestyle wear, Denim, Intimate, Sweater, Sportswear and Outdoor Apparel. It generates a majority of its revenue from Lifestyle wear. Geographically, the company gets a major share of its revenue from the Asia Pacific which includes Japan, China, Hong Kong and South Korea.</t>
        </is>
      </c>
      <c r="G111" s="19" t="inlineStr">
        <is>
          <t>Consumer Products and Services (B2C)</t>
        </is>
      </c>
      <c r="H111" s="20" t="inlineStr">
        <is>
          <t>Apparel and Accessories</t>
        </is>
      </c>
      <c r="I111" s="21" t="inlineStr">
        <is>
          <t>Clothing</t>
        </is>
      </c>
      <c r="J111" s="22" t="inlineStr">
        <is>
          <t>Clothing*, Other Apparel</t>
        </is>
      </c>
      <c r="K111" s="23" t="inlineStr">
        <is>
          <t>Manufacturing</t>
        </is>
      </c>
      <c r="L111" s="24" t="inlineStr">
        <is>
          <t>denim jeans, intimate wear, sweaters</t>
        </is>
      </c>
      <c r="M111" s="25" t="inlineStr">
        <is>
          <t>Formerly PE-Backed</t>
        </is>
      </c>
      <c r="N111" s="26" t="n">
        <v>489.39</v>
      </c>
      <c r="O111" s="27" t="inlineStr">
        <is>
          <t>Profitable</t>
        </is>
      </c>
      <c r="P111" s="28" t="inlineStr">
        <is>
          <t>Publicly Held</t>
        </is>
      </c>
      <c r="Q111" s="29" t="inlineStr">
        <is>
          <t>Private Equity, Publicly Listed</t>
        </is>
      </c>
      <c r="R111" s="30" t="inlineStr">
        <is>
          <t>www.crystalgroup.com</t>
        </is>
      </c>
      <c r="S111" s="31" t="n">
        <v>81000.0</v>
      </c>
      <c r="T111" s="32" t="inlineStr">
        <is>
          <t>2016: 60000, 2017: 76103, 2018: 81000</t>
        </is>
      </c>
      <c r="U111" s="33" t="inlineStr">
        <is>
          <t>HKG</t>
        </is>
      </c>
      <c r="V111" s="34" t="inlineStr">
        <is>
          <t>02232</t>
        </is>
      </c>
      <c r="W111" s="35" t="n">
        <v>1970.0</v>
      </c>
      <c r="X111" s="36" t="inlineStr">
        <is>
          <t/>
        </is>
      </c>
      <c r="Y111" s="37" t="inlineStr">
        <is>
          <t/>
        </is>
      </c>
      <c r="Z111" s="38" t="inlineStr">
        <is>
          <t/>
        </is>
      </c>
      <c r="AA111" s="39" t="n">
        <v>2350.82</v>
      </c>
      <c r="AB111" s="40" t="n">
        <v>465.72</v>
      </c>
      <c r="AC111" s="41" t="n">
        <v>149.79</v>
      </c>
      <c r="AD111" s="42" t="n">
        <v>2101.83</v>
      </c>
      <c r="AE111" s="43" t="n">
        <v>252.25</v>
      </c>
      <c r="AF111" s="44" t="inlineStr">
        <is>
          <t>TTM 2Q2018</t>
        </is>
      </c>
      <c r="AG111" s="45" t="n">
        <v>191.96</v>
      </c>
      <c r="AH111" s="46" t="n">
        <v>1523.09</v>
      </c>
      <c r="AI111" s="47" t="n">
        <v>147.19</v>
      </c>
      <c r="AJ111" s="48" t="inlineStr">
        <is>
          <t>167752-63P</t>
        </is>
      </c>
      <c r="AK111" s="49" t="inlineStr">
        <is>
          <t>Andrew Lo</t>
        </is>
      </c>
      <c r="AL111" s="50" t="inlineStr">
        <is>
          <t>Chief Executive Officer &amp; Board Member</t>
        </is>
      </c>
      <c r="AM111" s="51" t="inlineStr">
        <is>
          <t>andrew@crystalgroup.com</t>
        </is>
      </c>
      <c r="AN111" s="52" t="inlineStr">
        <is>
          <t>+852 2261 8888</t>
        </is>
      </c>
      <c r="AO111" s="53" t="inlineStr">
        <is>
          <t>Kwun Tong, Hong Kong</t>
        </is>
      </c>
      <c r="AP111" s="54" t="inlineStr">
        <is>
          <t>Crystal Industrial Building</t>
        </is>
      </c>
      <c r="AQ111" s="55" t="inlineStr">
        <is>
          <t>71 How Ming Street, Kowloon</t>
        </is>
      </c>
      <c r="AR111" s="56" t="inlineStr">
        <is>
          <t>Kwun Tong</t>
        </is>
      </c>
      <c r="AS111" s="57" t="inlineStr">
        <is>
          <t/>
        </is>
      </c>
      <c r="AT111" s="58" t="inlineStr">
        <is>
          <t/>
        </is>
      </c>
      <c r="AU111" s="59" t="inlineStr">
        <is>
          <t>Hong Kong</t>
        </is>
      </c>
      <c r="AV111" s="60" t="inlineStr">
        <is>
          <t>+852 2261 8888</t>
        </is>
      </c>
      <c r="AW111" s="61" t="inlineStr">
        <is>
          <t>+852 2195 9828</t>
        </is>
      </c>
      <c r="AX111" s="62" t="inlineStr">
        <is>
          <t>info@crystalgroup.com</t>
        </is>
      </c>
      <c r="AY111" s="63" t="inlineStr">
        <is>
          <t>Asia</t>
        </is>
      </c>
      <c r="AZ111" s="64" t="inlineStr">
        <is>
          <t>East Asia</t>
        </is>
      </c>
      <c r="BA111" s="65" t="inlineStr">
        <is>
          <t>The company raised HKD 3.819 billion in its initial public offering on the Hong Kong stock exchange under the ticker symbol of 2232 on November 3, 2017. A total of 509,300,000 shares were sold at a price of HKD 7.5 per share. After the offering, there was a total of 2,829,242,000 outstanding shares (excluding the over-allotment option) priced at HKD 7.5 per share, valuing the company at HKD 21.219 billion. The total proceeds, before expenses, to the company was HKD 3.819 billion. The company intends to use the proceeds for capital expenditure, vertical expansion into fabric production and for debt repayment.</t>
        </is>
      </c>
      <c r="BB111" s="66" t="inlineStr">
        <is>
          <t>Fast Retailing Company</t>
        </is>
      </c>
      <c r="BC111" s="67" t="n">
        <v>1.0</v>
      </c>
      <c r="BD111" s="68" t="inlineStr">
        <is>
          <t/>
        </is>
      </c>
      <c r="BE111" s="69" t="inlineStr">
        <is>
          <t/>
        </is>
      </c>
      <c r="BF111" s="70" t="inlineStr">
        <is>
          <t/>
        </is>
      </c>
      <c r="BG111" s="71" t="inlineStr">
        <is>
          <t>Fast Retailing Company(www.fastretailing.com)</t>
        </is>
      </c>
      <c r="BH111" s="72" t="inlineStr">
        <is>
          <t/>
        </is>
      </c>
      <c r="BI111" s="73" t="inlineStr">
        <is>
          <t/>
        </is>
      </c>
      <c r="BJ111" s="74" t="inlineStr">
        <is>
          <t/>
        </is>
      </c>
      <c r="BK111" s="75" t="inlineStr">
        <is>
          <t>Ahammad, Jonaed &amp; Partners(Legal Advisor), Browne Jacobson(Legal Advisor), Citigroup Global Markets(Underwriter), Deloitte(Accounting), Drake &amp; Company(Legal Advisor), F. J. &amp; G. de Saram(Legal Advisor), HSBC Holdings(Underwriter), Jingtian &amp; Gongcheng(Legal Advisor), Maples Group(Legal Advisor), MdME Lawyers(Legal Advisor), MJM(Legal Advisor), Morgan Stanley(Underwriter), Rajah &amp; Tann(Legal Advisor), Sciaroni &amp; Associates(Legal Advisor), Simpson Thacher &amp; Bartlett(Legal Advisor), Synthesis Group (Mumbai)(Advisor: General), ZICOlaw (Vietnam)(Legal Advisor)</t>
        </is>
      </c>
      <c r="BL111" s="76" t="inlineStr">
        <is>
          <t/>
        </is>
      </c>
      <c r="BM111" s="77" t="inlineStr">
        <is>
          <t/>
        </is>
      </c>
      <c r="BN111" s="78" t="inlineStr">
        <is>
          <t/>
        </is>
      </c>
      <c r="BO111" s="79" t="inlineStr">
        <is>
          <t/>
        </is>
      </c>
      <c r="BP111" s="80" t="inlineStr">
        <is>
          <t/>
        </is>
      </c>
      <c r="BQ111" s="81" t="inlineStr">
        <is>
          <t>PE Growth/Expansion</t>
        </is>
      </c>
      <c r="BR111" s="82" t="inlineStr">
        <is>
          <t/>
        </is>
      </c>
      <c r="BS111" s="83" t="inlineStr">
        <is>
          <t/>
        </is>
      </c>
      <c r="BT111" s="84" t="inlineStr">
        <is>
          <t>Private Equity</t>
        </is>
      </c>
      <c r="BU111" s="85" t="inlineStr">
        <is>
          <t/>
        </is>
      </c>
      <c r="BV111" s="86" t="inlineStr">
        <is>
          <t/>
        </is>
      </c>
      <c r="BW111" s="87" t="inlineStr">
        <is>
          <t/>
        </is>
      </c>
      <c r="BX111" s="88" t="inlineStr">
        <is>
          <t>Completed</t>
        </is>
      </c>
      <c r="BY111" s="89" t="n">
        <v>43042.0</v>
      </c>
      <c r="BZ111" s="90" t="n">
        <v>489.39</v>
      </c>
      <c r="CA111" s="91" t="inlineStr">
        <is>
          <t>Actual</t>
        </is>
      </c>
      <c r="CB111" s="92" t="n">
        <v>2718.65</v>
      </c>
      <c r="CC111" s="93" t="inlineStr">
        <is>
          <t>Estimated</t>
        </is>
      </c>
      <c r="CD111" s="94" t="inlineStr">
        <is>
          <t>IPO</t>
        </is>
      </c>
      <c r="CE111" s="95" t="inlineStr">
        <is>
          <t>PIPE</t>
        </is>
      </c>
      <c r="CF111" s="96" t="inlineStr">
        <is>
          <t/>
        </is>
      </c>
      <c r="CG111" s="97" t="inlineStr">
        <is>
          <t>Public Investment</t>
        </is>
      </c>
      <c r="CH111" s="98" t="inlineStr">
        <is>
          <t/>
        </is>
      </c>
      <c r="CI111" s="99" t="inlineStr">
        <is>
          <t/>
        </is>
      </c>
      <c r="CJ111" s="100" t="inlineStr">
        <is>
          <t/>
        </is>
      </c>
      <c r="CK111" s="101" t="inlineStr">
        <is>
          <t>Completed</t>
        </is>
      </c>
      <c r="CL111" s="102" t="inlineStr">
        <is>
          <t/>
        </is>
      </c>
      <c r="CM111" s="103" t="inlineStr">
        <is>
          <t/>
        </is>
      </c>
      <c r="CN111" s="104" t="n">
        <v>0.43</v>
      </c>
      <c r="CO111" s="105" t="n">
        <v>94.0</v>
      </c>
      <c r="CP111" s="106" t="n">
        <v>0.0</v>
      </c>
      <c r="CQ111" s="107" t="n">
        <v>-0.42</v>
      </c>
      <c r="CR111" s="108" t="n">
        <v>0.85</v>
      </c>
      <c r="CS111" s="109" t="n">
        <v>96.0</v>
      </c>
      <c r="CT111" s="110" t="n">
        <v>0.0</v>
      </c>
      <c r="CU111" s="111" t="n">
        <v>27.0</v>
      </c>
      <c r="CV111" s="112" t="inlineStr">
        <is>
          <t/>
        </is>
      </c>
      <c r="CW111" s="113" t="inlineStr">
        <is>
          <t/>
        </is>
      </c>
      <c r="CX111" s="114" t="n">
        <v>0.85</v>
      </c>
      <c r="CY111" s="115" t="n">
        <v>97.0</v>
      </c>
      <c r="CZ111" s="116" t="n">
        <v>0.0</v>
      </c>
      <c r="DA111" s="117" t="n">
        <v>28.0</v>
      </c>
      <c r="DB111" s="118" t="n">
        <v>3.62</v>
      </c>
      <c r="DC111" s="119" t="n">
        <v>78.0</v>
      </c>
      <c r="DD111" s="120" t="n">
        <v>0.88</v>
      </c>
      <c r="DE111" s="121" t="n">
        <v>32.19</v>
      </c>
      <c r="DF111" s="122" t="n">
        <v>7.21</v>
      </c>
      <c r="DG111" s="123" t="n">
        <v>87.0</v>
      </c>
      <c r="DH111" s="124" t="n">
        <v>0.03</v>
      </c>
      <c r="DI111" s="125" t="n">
        <v>6.0</v>
      </c>
      <c r="DJ111" s="126" t="inlineStr">
        <is>
          <t/>
        </is>
      </c>
      <c r="DK111" s="127" t="inlineStr">
        <is>
          <t/>
        </is>
      </c>
      <c r="DL111" s="128" t="n">
        <v>7.21</v>
      </c>
      <c r="DM111" s="129" t="n">
        <v>86.0</v>
      </c>
      <c r="DN111" s="130" t="n">
        <v>0.03</v>
      </c>
      <c r="DO111" s="131" t="n">
        <v>6.0</v>
      </c>
      <c r="DP111" s="132" t="inlineStr">
        <is>
          <t/>
        </is>
      </c>
      <c r="DQ111" s="133" t="inlineStr">
        <is>
          <t/>
        </is>
      </c>
      <c r="DR111" s="134" t="inlineStr">
        <is>
          <t/>
        </is>
      </c>
      <c r="DS111" s="135" t="n">
        <v>245.0</v>
      </c>
      <c r="DT111" s="136" t="n">
        <v>1.0</v>
      </c>
      <c r="DU111" s="137" t="n">
        <v>0.41</v>
      </c>
      <c r="DV111" s="138" t="n">
        <v>10.0</v>
      </c>
      <c r="DW111" s="139" t="n">
        <v>0.0</v>
      </c>
      <c r="DX111" s="140" t="n">
        <v>0.0</v>
      </c>
      <c r="DY111" s="141" t="inlineStr">
        <is>
          <t>PitchBook Research</t>
        </is>
      </c>
      <c r="DZ111" s="142" t="n">
        <v>43491.0</v>
      </c>
      <c r="EA111" s="143" t="n">
        <v>2718.65</v>
      </c>
      <c r="EB111" s="144" t="n">
        <v>43042.0</v>
      </c>
      <c r="EC111" s="145" t="inlineStr">
        <is>
          <t>IPO</t>
        </is>
      </c>
      <c r="ED111" s="547">
        <f>HYPERLINK("https://my.pitchbook.com?c=183925-09", "View company online")</f>
      </c>
    </row>
    <row r="112">
      <c r="A112" s="147" t="inlineStr">
        <is>
          <t>60866-11</t>
        </is>
      </c>
      <c r="B112" s="148" t="inlineStr">
        <is>
          <t>Chow Sang Sang Holdings (HKG: 00116)</t>
        </is>
      </c>
      <c r="C112" s="149" t="inlineStr">
        <is>
          <t/>
        </is>
      </c>
      <c r="D112" s="150" t="inlineStr">
        <is>
          <t/>
        </is>
      </c>
      <c r="E112" s="151" t="inlineStr">
        <is>
          <t>60866-11</t>
        </is>
      </c>
      <c r="F112" s="152" t="inlineStr">
        <is>
          <t>Chow Sang Sang Holdings International Ltd is an investment holding company. The company's main businesses include Jewellery Retail, Wholesale of precious metals and securities and Futures brokerage. The manufacture and retail of Jewellery segment produces jewellery products for the group's retail business and operates retail stores mainly in Hong Kong, Macau, Mainland China and Taiwan. The group derives majority of revenue from Jewellery Retail segment.</t>
        </is>
      </c>
      <c r="G112" s="153" t="inlineStr">
        <is>
          <t>Consumer Products and Services (B2C)</t>
        </is>
      </c>
      <c r="H112" s="154" t="inlineStr">
        <is>
          <t>Apparel and Accessories</t>
        </is>
      </c>
      <c r="I112" s="155" t="inlineStr">
        <is>
          <t>Luxury Goods</t>
        </is>
      </c>
      <c r="J112" s="156" t="inlineStr">
        <is>
          <t>Luxury Goods*</t>
        </is>
      </c>
      <c r="K112" s="157" t="inlineStr">
        <is>
          <t>Manufacturing</t>
        </is>
      </c>
      <c r="L112" s="158" t="inlineStr">
        <is>
          <t>diamond jewelry</t>
        </is>
      </c>
      <c r="M112" s="159" t="inlineStr">
        <is>
          <t>Corporation</t>
        </is>
      </c>
      <c r="N112" s="160" t="inlineStr">
        <is>
          <t/>
        </is>
      </c>
      <c r="O112" s="161" t="inlineStr">
        <is>
          <t>Profitable</t>
        </is>
      </c>
      <c r="P112" s="162" t="inlineStr">
        <is>
          <t>Publicly Held</t>
        </is>
      </c>
      <c r="Q112" s="163" t="inlineStr">
        <is>
          <t>Publicly Listed</t>
        </is>
      </c>
      <c r="R112" s="164" t="inlineStr">
        <is>
          <t>www.chowsangsang.com</t>
        </is>
      </c>
      <c r="S112" s="165" t="n">
        <v>9018.0</v>
      </c>
      <c r="T112" s="166" t="inlineStr">
        <is>
          <t>2007: 3175, 2008: 3594, 2009: 4129, 2010: 4895, 2011: 6173, 2012: 7013, 2013: 7379, 2014: 7895, 2015: 8410, 2016: 8807, 2017: 9120, 2018: 9018</t>
        </is>
      </c>
      <c r="U112" s="167" t="inlineStr">
        <is>
          <t>HKG</t>
        </is>
      </c>
      <c r="V112" s="168" t="inlineStr">
        <is>
          <t>00116</t>
        </is>
      </c>
      <c r="W112" s="169" t="inlineStr">
        <is>
          <t/>
        </is>
      </c>
      <c r="X112" s="170" t="inlineStr">
        <is>
          <t/>
        </is>
      </c>
      <c r="Y112" s="171" t="inlineStr">
        <is>
          <t/>
        </is>
      </c>
      <c r="Z112" s="172" t="inlineStr">
        <is>
          <t/>
        </is>
      </c>
      <c r="AA112" s="173" t="n">
        <v>2323.23</v>
      </c>
      <c r="AB112" s="174" t="n">
        <v>561.43</v>
      </c>
      <c r="AC112" s="175" t="n">
        <v>139.28</v>
      </c>
      <c r="AD112" s="176" t="n">
        <v>1413.49</v>
      </c>
      <c r="AE112" s="177" t="n">
        <v>208.88</v>
      </c>
      <c r="AF112" s="178" t="inlineStr">
        <is>
          <t>TTM 2Q2018</t>
        </is>
      </c>
      <c r="AG112" s="179" t="n">
        <v>184.3</v>
      </c>
      <c r="AH112" s="180" t="n">
        <v>1043.66</v>
      </c>
      <c r="AI112" s="181" t="n">
        <v>49.88</v>
      </c>
      <c r="AJ112" s="182" t="inlineStr">
        <is>
          <t/>
        </is>
      </c>
      <c r="AK112" s="183" t="inlineStr">
        <is>
          <t/>
        </is>
      </c>
      <c r="AL112" s="184" t="inlineStr">
        <is>
          <t/>
        </is>
      </c>
      <c r="AM112" s="185" t="inlineStr">
        <is>
          <t/>
        </is>
      </c>
      <c r="AN112" s="186" t="inlineStr">
        <is>
          <t/>
        </is>
      </c>
      <c r="AO112" s="187" t="inlineStr">
        <is>
          <t>Kowloon, Hong Kong</t>
        </is>
      </c>
      <c r="AP112" s="188" t="inlineStr">
        <is>
          <t>229 Nathan Road</t>
        </is>
      </c>
      <c r="AQ112" s="189" t="inlineStr">
        <is>
          <t>4/F Chow Sang Sang Building</t>
        </is>
      </c>
      <c r="AR112" s="190" t="inlineStr">
        <is>
          <t>Kowloon</t>
        </is>
      </c>
      <c r="AS112" s="191" t="inlineStr">
        <is>
          <t/>
        </is>
      </c>
      <c r="AT112" s="192" t="inlineStr">
        <is>
          <t/>
        </is>
      </c>
      <c r="AU112" s="193" t="inlineStr">
        <is>
          <t>Hong Kong</t>
        </is>
      </c>
      <c r="AV112" s="194" t="inlineStr">
        <is>
          <t>+852 2192 3123</t>
        </is>
      </c>
      <c r="AW112" s="195" t="inlineStr">
        <is>
          <t/>
        </is>
      </c>
      <c r="AX112" s="196" t="inlineStr">
        <is>
          <t/>
        </is>
      </c>
      <c r="AY112" s="197" t="inlineStr">
        <is>
          <t>Asia</t>
        </is>
      </c>
      <c r="AZ112" s="198" t="inlineStr">
        <is>
          <t>East Asia</t>
        </is>
      </c>
      <c r="BA112" s="199" t="inlineStr">
        <is>
          <t/>
        </is>
      </c>
      <c r="BB112" s="200" t="inlineStr">
        <is>
          <t/>
        </is>
      </c>
      <c r="BC112" s="201" t="inlineStr">
        <is>
          <t/>
        </is>
      </c>
      <c r="BD112" s="202" t="inlineStr">
        <is>
          <t/>
        </is>
      </c>
      <c r="BE112" s="203" t="inlineStr">
        <is>
          <t/>
        </is>
      </c>
      <c r="BF112" s="204" t="inlineStr">
        <is>
          <t/>
        </is>
      </c>
      <c r="BG112" s="205" t="inlineStr">
        <is>
          <t/>
        </is>
      </c>
      <c r="BH112" s="206" t="inlineStr">
        <is>
          <t/>
        </is>
      </c>
      <c r="BI112" s="207" t="inlineStr">
        <is>
          <t/>
        </is>
      </c>
      <c r="BJ112" s="208" t="inlineStr">
        <is>
          <t/>
        </is>
      </c>
      <c r="BK112" s="209" t="inlineStr">
        <is>
          <t/>
        </is>
      </c>
      <c r="BL112" s="210" t="inlineStr">
        <is>
          <t/>
        </is>
      </c>
      <c r="BM112" s="211" t="inlineStr">
        <is>
          <t/>
        </is>
      </c>
      <c r="BN112" s="212" t="inlineStr">
        <is>
          <t/>
        </is>
      </c>
      <c r="BO112" s="213" t="inlineStr">
        <is>
          <t/>
        </is>
      </c>
      <c r="BP112" s="214" t="inlineStr">
        <is>
          <t/>
        </is>
      </c>
      <c r="BQ112" s="215" t="inlineStr">
        <is>
          <t/>
        </is>
      </c>
      <c r="BR112" s="216" t="inlineStr">
        <is>
          <t/>
        </is>
      </c>
      <c r="BS112" s="217" t="inlineStr">
        <is>
          <t/>
        </is>
      </c>
      <c r="BT112" s="218" t="inlineStr">
        <is>
          <t/>
        </is>
      </c>
      <c r="BU112" s="219" t="inlineStr">
        <is>
          <t/>
        </is>
      </c>
      <c r="BV112" s="220" t="inlineStr">
        <is>
          <t/>
        </is>
      </c>
      <c r="BW112" s="221" t="inlineStr">
        <is>
          <t/>
        </is>
      </c>
      <c r="BX112" s="222" t="inlineStr">
        <is>
          <t/>
        </is>
      </c>
      <c r="BY112" s="223" t="inlineStr">
        <is>
          <t/>
        </is>
      </c>
      <c r="BZ112" s="224" t="inlineStr">
        <is>
          <t/>
        </is>
      </c>
      <c r="CA112" s="225" t="inlineStr">
        <is>
          <t/>
        </is>
      </c>
      <c r="CB112" s="226" t="inlineStr">
        <is>
          <t/>
        </is>
      </c>
      <c r="CC112" s="227" t="inlineStr">
        <is>
          <t/>
        </is>
      </c>
      <c r="CD112" s="228" t="inlineStr">
        <is>
          <t/>
        </is>
      </c>
      <c r="CE112" s="229" t="inlineStr">
        <is>
          <t/>
        </is>
      </c>
      <c r="CF112" s="230" t="inlineStr">
        <is>
          <t/>
        </is>
      </c>
      <c r="CG112" s="231" t="inlineStr">
        <is>
          <t/>
        </is>
      </c>
      <c r="CH112" s="232" t="inlineStr">
        <is>
          <t/>
        </is>
      </c>
      <c r="CI112" s="233" t="inlineStr">
        <is>
          <t/>
        </is>
      </c>
      <c r="CJ112" s="234" t="inlineStr">
        <is>
          <t/>
        </is>
      </c>
      <c r="CK112" s="235" t="inlineStr">
        <is>
          <t/>
        </is>
      </c>
      <c r="CL112" s="236" t="inlineStr">
        <is>
          <t/>
        </is>
      </c>
      <c r="CM112" s="237" t="inlineStr">
        <is>
          <t/>
        </is>
      </c>
      <c r="CN112" s="238" t="n">
        <v>2.43</v>
      </c>
      <c r="CO112" s="239" t="n">
        <v>100.0</v>
      </c>
      <c r="CP112" s="240" t="n">
        <v>0.0</v>
      </c>
      <c r="CQ112" s="241" t="n">
        <v>-0.16</v>
      </c>
      <c r="CR112" s="242" t="n">
        <v>2.43</v>
      </c>
      <c r="CS112" s="243" t="n">
        <v>99.0</v>
      </c>
      <c r="CT112" s="244" t="inlineStr">
        <is>
          <t/>
        </is>
      </c>
      <c r="CU112" s="245" t="inlineStr">
        <is>
          <t/>
        </is>
      </c>
      <c r="CV112" s="246" t="n">
        <v>4.82</v>
      </c>
      <c r="CW112" s="247" t="n">
        <v>97.0</v>
      </c>
      <c r="CX112" s="248" t="n">
        <v>0.04</v>
      </c>
      <c r="CY112" s="249" t="n">
        <v>85.0</v>
      </c>
      <c r="CZ112" s="250" t="inlineStr">
        <is>
          <t/>
        </is>
      </c>
      <c r="DA112" s="251" t="inlineStr">
        <is>
          <t/>
        </is>
      </c>
      <c r="DB112" s="252" t="n">
        <v>27.02</v>
      </c>
      <c r="DC112" s="253" t="n">
        <v>96.0</v>
      </c>
      <c r="DD112" s="254" t="n">
        <v>5.72</v>
      </c>
      <c r="DE112" s="255" t="n">
        <v>26.82</v>
      </c>
      <c r="DF112" s="256" t="n">
        <v>27.02</v>
      </c>
      <c r="DG112" s="257" t="n">
        <v>96.0</v>
      </c>
      <c r="DH112" s="258" t="inlineStr">
        <is>
          <t/>
        </is>
      </c>
      <c r="DI112" s="259" t="inlineStr">
        <is>
          <t/>
        </is>
      </c>
      <c r="DJ112" s="260" t="n">
        <v>7.28</v>
      </c>
      <c r="DK112" s="261" t="n">
        <v>83.0</v>
      </c>
      <c r="DL112" s="262" t="n">
        <v>46.76</v>
      </c>
      <c r="DM112" s="263" t="n">
        <v>98.0</v>
      </c>
      <c r="DN112" s="264" t="inlineStr">
        <is>
          <t/>
        </is>
      </c>
      <c r="DO112" s="265" t="inlineStr">
        <is>
          <t/>
        </is>
      </c>
      <c r="DP112" s="266" t="n">
        <v>5242.0</v>
      </c>
      <c r="DQ112" s="267" t="n">
        <v>-455.0</v>
      </c>
      <c r="DR112" s="268" t="n">
        <v>-7.99</v>
      </c>
      <c r="DS112" s="269" t="n">
        <v>1590.0</v>
      </c>
      <c r="DT112" s="270" t="n">
        <v>3.0</v>
      </c>
      <c r="DU112" s="271" t="n">
        <v>0.19</v>
      </c>
      <c r="DV112" s="272" t="inlineStr">
        <is>
          <t/>
        </is>
      </c>
      <c r="DW112" s="273" t="inlineStr">
        <is>
          <t/>
        </is>
      </c>
      <c r="DX112" s="274" t="inlineStr">
        <is>
          <t/>
        </is>
      </c>
      <c r="DY112" s="275" t="inlineStr">
        <is>
          <t>PitchBook Research</t>
        </is>
      </c>
      <c r="DZ112" s="276" t="n">
        <v>43492.0</v>
      </c>
      <c r="EA112" s="277" t="inlineStr">
        <is>
          <t/>
        </is>
      </c>
      <c r="EB112" s="278" t="inlineStr">
        <is>
          <t/>
        </is>
      </c>
      <c r="EC112" s="279" t="inlineStr">
        <is>
          <t/>
        </is>
      </c>
      <c r="ED112" s="548">
        <f>HYPERLINK("https://my.pitchbook.com?c=60866-11", "View company online")</f>
      </c>
    </row>
    <row r="113">
      <c r="A113" s="13" t="inlineStr">
        <is>
          <t>57243-16</t>
        </is>
      </c>
      <c r="B113" s="14" t="inlineStr">
        <is>
          <t>Calzedonia</t>
        </is>
      </c>
      <c r="C113" s="15" t="inlineStr">
        <is>
          <t/>
        </is>
      </c>
      <c r="D113" s="16" t="inlineStr">
        <is>
          <t/>
        </is>
      </c>
      <c r="E113" s="17" t="inlineStr">
        <is>
          <t>57243-16</t>
        </is>
      </c>
      <c r="F113" s="18" t="inlineStr">
        <is>
          <t>Owner and operator of an Italian fashion brand created to promote style and design. The company's line of legwear and beachwear includes tights and stockings, leggings, socks, swimsuits, boxer shorts and kidswear, which are made with the use of meticulous research on style and design, state-of-the-art materials and quality fabrics, enabling customers to possess fashionable clothes that meet the latest tastes and trends.</t>
        </is>
      </c>
      <c r="G113" s="19" t="inlineStr">
        <is>
          <t>Consumer Products and Services (B2C)</t>
        </is>
      </c>
      <c r="H113" s="20" t="inlineStr">
        <is>
          <t>Apparel and Accessories</t>
        </is>
      </c>
      <c r="I113" s="21" t="inlineStr">
        <is>
          <t>Clothing</t>
        </is>
      </c>
      <c r="J113" s="22" t="inlineStr">
        <is>
          <t>Clothing*</t>
        </is>
      </c>
      <c r="K113" s="23" t="inlineStr">
        <is>
          <t/>
        </is>
      </c>
      <c r="L113" s="24" t="inlineStr">
        <is>
          <t>beachwear, legwear, stockings, swimsuits, swimwear</t>
        </is>
      </c>
      <c r="M113" s="25" t="inlineStr">
        <is>
          <t>Corporation</t>
        </is>
      </c>
      <c r="N113" s="26" t="n">
        <v>267.64</v>
      </c>
      <c r="O113" s="27" t="inlineStr">
        <is>
          <t>Generating Revenue</t>
        </is>
      </c>
      <c r="P113" s="28" t="inlineStr">
        <is>
          <t>Privately Held (no backing)</t>
        </is>
      </c>
      <c r="Q113" s="29" t="inlineStr">
        <is>
          <t>Debt Financed</t>
        </is>
      </c>
      <c r="R113" s="30" t="inlineStr">
        <is>
          <t>world.calzedonia.com</t>
        </is>
      </c>
      <c r="S113" s="31" t="n">
        <v>32000.0</v>
      </c>
      <c r="T113" s="32" t="inlineStr">
        <is>
          <t>2017: 31900, 2018: 32000</t>
        </is>
      </c>
      <c r="U113" s="33" t="inlineStr">
        <is>
          <t/>
        </is>
      </c>
      <c r="V113" s="34" t="inlineStr">
        <is>
          <t/>
        </is>
      </c>
      <c r="W113" s="35" t="n">
        <v>1987.0</v>
      </c>
      <c r="X113" s="36" t="inlineStr">
        <is>
          <t/>
        </is>
      </c>
      <c r="Y113" s="37" t="inlineStr">
        <is>
          <t/>
        </is>
      </c>
      <c r="Z113" s="38" t="inlineStr">
        <is>
          <t/>
        </is>
      </c>
      <c r="AA113" s="39" t="n">
        <v>2322.91</v>
      </c>
      <c r="AB113" s="40" t="inlineStr">
        <is>
          <t/>
        </is>
      </c>
      <c r="AC113" s="41" t="inlineStr">
        <is>
          <t/>
        </is>
      </c>
      <c r="AD113" s="42" t="inlineStr">
        <is>
          <t/>
        </is>
      </c>
      <c r="AE113" s="43" t="inlineStr">
        <is>
          <t/>
        </is>
      </c>
      <c r="AF113" s="44" t="inlineStr">
        <is>
          <t>FY 2016</t>
        </is>
      </c>
      <c r="AG113" s="45" t="inlineStr">
        <is>
          <t/>
        </is>
      </c>
      <c r="AH113" s="46" t="inlineStr">
        <is>
          <t/>
        </is>
      </c>
      <c r="AI113" s="47" t="inlineStr">
        <is>
          <t/>
        </is>
      </c>
      <c r="AJ113" s="48" t="inlineStr">
        <is>
          <t>177886-27P</t>
        </is>
      </c>
      <c r="AK113" s="49" t="inlineStr">
        <is>
          <t>Silvia Cona</t>
        </is>
      </c>
      <c r="AL113" s="50" t="inlineStr">
        <is>
          <t>Chief Financial Officer</t>
        </is>
      </c>
      <c r="AM113" s="51" t="inlineStr">
        <is>
          <t/>
        </is>
      </c>
      <c r="AN113" s="52" t="inlineStr">
        <is>
          <t/>
        </is>
      </c>
      <c r="AO113" s="53" t="inlineStr">
        <is>
          <t>Dossobuono di Villafranca, Italy</t>
        </is>
      </c>
      <c r="AP113" s="54" t="inlineStr">
        <is>
          <t>Via Monte Baldo number 20</t>
        </is>
      </c>
      <c r="AQ113" s="55" t="inlineStr">
        <is>
          <t/>
        </is>
      </c>
      <c r="AR113" s="56" t="inlineStr">
        <is>
          <t>Dossobuono di Villafranca</t>
        </is>
      </c>
      <c r="AS113" s="57" t="inlineStr">
        <is>
          <t/>
        </is>
      </c>
      <c r="AT113" s="58" t="inlineStr">
        <is>
          <t>37062</t>
        </is>
      </c>
      <c r="AU113" s="59" t="inlineStr">
        <is>
          <t>Italy</t>
        </is>
      </c>
      <c r="AV113" s="60" t="inlineStr">
        <is>
          <t/>
        </is>
      </c>
      <c r="AW113" s="61" t="inlineStr">
        <is>
          <t/>
        </is>
      </c>
      <c r="AX113" s="62" t="inlineStr">
        <is>
          <t>privacy@calzedonia.it</t>
        </is>
      </c>
      <c r="AY113" s="63" t="inlineStr">
        <is>
          <t>Europe</t>
        </is>
      </c>
      <c r="AZ113" s="64" t="inlineStr">
        <is>
          <t>Southern Europe</t>
        </is>
      </c>
      <c r="BA113" s="65" t="inlineStr">
        <is>
          <t>The company completed an EUR 200 million debt refinancing round in December 2014. Proceeds from the financing will be used by the company to refinance existing debt and for general corporate purposes.</t>
        </is>
      </c>
      <c r="BB113" s="66" t="inlineStr">
        <is>
          <t/>
        </is>
      </c>
      <c r="BC113" s="67" t="inlineStr">
        <is>
          <t/>
        </is>
      </c>
      <c r="BD113" s="68" t="inlineStr">
        <is>
          <t/>
        </is>
      </c>
      <c r="BE113" s="69" t="inlineStr">
        <is>
          <t/>
        </is>
      </c>
      <c r="BF113" s="70" t="inlineStr">
        <is>
          <t/>
        </is>
      </c>
      <c r="BG113" s="71" t="inlineStr">
        <is>
          <t/>
        </is>
      </c>
      <c r="BH113" s="72" t="inlineStr">
        <is>
          <t/>
        </is>
      </c>
      <c r="BI113" s="73" t="inlineStr">
        <is>
          <t/>
        </is>
      </c>
      <c r="BJ113" s="74" t="inlineStr">
        <is>
          <t>Pavia e Ansaldo(Legal Advisor)</t>
        </is>
      </c>
      <c r="BK113" s="75" t="inlineStr">
        <is>
          <t>Mediobanca(Debt Financing)</t>
        </is>
      </c>
      <c r="BL113" s="76" t="n">
        <v>41306.0</v>
      </c>
      <c r="BM113" s="77" t="n">
        <v>267.64</v>
      </c>
      <c r="BN113" s="78" t="inlineStr">
        <is>
          <t>Actual</t>
        </is>
      </c>
      <c r="BO113" s="79" t="inlineStr">
        <is>
          <t/>
        </is>
      </c>
      <c r="BP113" s="80" t="inlineStr">
        <is>
          <t/>
        </is>
      </c>
      <c r="BQ113" s="81" t="inlineStr">
        <is>
          <t>Debt - General</t>
        </is>
      </c>
      <c r="BR113" s="82" t="inlineStr">
        <is>
          <t/>
        </is>
      </c>
      <c r="BS113" s="83" t="inlineStr">
        <is>
          <t/>
        </is>
      </c>
      <c r="BT113" s="84" t="inlineStr">
        <is>
          <t>Debt</t>
        </is>
      </c>
      <c r="BU113" s="85" t="inlineStr">
        <is>
          <t>Loan</t>
        </is>
      </c>
      <c r="BV113" s="86" t="inlineStr">
        <is>
          <t/>
        </is>
      </c>
      <c r="BW113" s="87" t="inlineStr">
        <is>
          <t/>
        </is>
      </c>
      <c r="BX113" s="88" t="inlineStr">
        <is>
          <t>Completed</t>
        </is>
      </c>
      <c r="BY113" s="89" t="n">
        <v>41974.0</v>
      </c>
      <c r="BZ113" s="90" t="n">
        <v>246.39</v>
      </c>
      <c r="CA113" s="91" t="inlineStr">
        <is>
          <t>Actual</t>
        </is>
      </c>
      <c r="CB113" s="92" t="inlineStr">
        <is>
          <t/>
        </is>
      </c>
      <c r="CC113" s="93" t="inlineStr">
        <is>
          <t/>
        </is>
      </c>
      <c r="CD113" s="94" t="inlineStr">
        <is>
          <t>Debt Refinancing</t>
        </is>
      </c>
      <c r="CE113" s="95" t="inlineStr">
        <is>
          <t>Debt - General</t>
        </is>
      </c>
      <c r="CF113" s="96" t="inlineStr">
        <is>
          <t/>
        </is>
      </c>
      <c r="CG113" s="97" t="inlineStr">
        <is>
          <t>Debt</t>
        </is>
      </c>
      <c r="CH113" s="98" t="inlineStr">
        <is>
          <t>Loan</t>
        </is>
      </c>
      <c r="CI113" s="99" t="inlineStr">
        <is>
          <t/>
        </is>
      </c>
      <c r="CJ113" s="100" t="inlineStr">
        <is>
          <t/>
        </is>
      </c>
      <c r="CK113" s="101" t="inlineStr">
        <is>
          <t>Completed</t>
        </is>
      </c>
      <c r="CL113" s="102" t="n">
        <v>41974.0</v>
      </c>
      <c r="CM113" s="103" t="n">
        <v>246.39</v>
      </c>
      <c r="CN113" s="104" t="n">
        <v>0.0</v>
      </c>
      <c r="CO113" s="105" t="n">
        <v>18.0</v>
      </c>
      <c r="CP113" s="106" t="n">
        <v>0.0</v>
      </c>
      <c r="CQ113" s="107" t="n">
        <v>-61.39</v>
      </c>
      <c r="CR113" s="108" t="n">
        <v>0.0</v>
      </c>
      <c r="CS113" s="109" t="n">
        <v>14.0</v>
      </c>
      <c r="CT113" s="110" t="n">
        <v>0.01</v>
      </c>
      <c r="CU113" s="111" t="n">
        <v>56.0</v>
      </c>
      <c r="CV113" s="112" t="n">
        <v>0.0</v>
      </c>
      <c r="CW113" s="113" t="n">
        <v>33.0</v>
      </c>
      <c r="CX113" s="114" t="inlineStr">
        <is>
          <t/>
        </is>
      </c>
      <c r="CY113" s="115" t="inlineStr">
        <is>
          <t/>
        </is>
      </c>
      <c r="CZ113" s="116" t="n">
        <v>0.01</v>
      </c>
      <c r="DA113" s="117" t="n">
        <v>63.0</v>
      </c>
      <c r="DB113" s="118" t="n">
        <v>64.38</v>
      </c>
      <c r="DC113" s="119" t="n">
        <v>99.0</v>
      </c>
      <c r="DD113" s="120" t="n">
        <v>0.35</v>
      </c>
      <c r="DE113" s="121" t="n">
        <v>0.55</v>
      </c>
      <c r="DF113" s="122" t="n">
        <v>0.1</v>
      </c>
      <c r="DG113" s="123" t="n">
        <v>9.0</v>
      </c>
      <c r="DH113" s="124" t="n">
        <v>128.65</v>
      </c>
      <c r="DI113" s="125" t="n">
        <v>98.0</v>
      </c>
      <c r="DJ113" s="126" t="n">
        <v>0.1</v>
      </c>
      <c r="DK113" s="127" t="n">
        <v>6.0</v>
      </c>
      <c r="DL113" s="128" t="inlineStr">
        <is>
          <t/>
        </is>
      </c>
      <c r="DM113" s="129" t="inlineStr">
        <is>
          <t/>
        </is>
      </c>
      <c r="DN113" s="130" t="n">
        <v>128.65</v>
      </c>
      <c r="DO113" s="131" t="n">
        <v>99.0</v>
      </c>
      <c r="DP113" s="132" t="n">
        <v>74.0</v>
      </c>
      <c r="DQ113" s="133" t="n">
        <v>-27.0</v>
      </c>
      <c r="DR113" s="134" t="n">
        <v>-26.73</v>
      </c>
      <c r="DS113" s="135" t="inlineStr">
        <is>
          <t/>
        </is>
      </c>
      <c r="DT113" s="136" t="inlineStr">
        <is>
          <t/>
        </is>
      </c>
      <c r="DU113" s="137" t="inlineStr">
        <is>
          <t/>
        </is>
      </c>
      <c r="DV113" s="138" t="n">
        <v>46184.0</v>
      </c>
      <c r="DW113" s="139" t="n">
        <v>-14.0</v>
      </c>
      <c r="DX113" s="140" t="n">
        <v>-0.03</v>
      </c>
      <c r="DY113" s="141" t="inlineStr">
        <is>
          <t>PitchBook Research</t>
        </is>
      </c>
      <c r="DZ113" s="142" t="n">
        <v>43529.0</v>
      </c>
      <c r="EA113" s="143" t="inlineStr">
        <is>
          <t/>
        </is>
      </c>
      <c r="EB113" s="144" t="inlineStr">
        <is>
          <t/>
        </is>
      </c>
      <c r="EC113" s="145" t="inlineStr">
        <is>
          <t/>
        </is>
      </c>
      <c r="ED113" s="547">
        <f>HYPERLINK("https://my.pitchbook.com?c=57243-16", "View company online")</f>
      </c>
    </row>
    <row r="114">
      <c r="A114" s="147" t="inlineStr">
        <is>
          <t>57076-03</t>
        </is>
      </c>
      <c r="B114" s="148" t="inlineStr">
        <is>
          <t>Lacoste</t>
        </is>
      </c>
      <c r="C114" s="149" t="inlineStr">
        <is>
          <t>La Societe Chemise Lacoste, Devanlay US, Inc</t>
        </is>
      </c>
      <c r="D114" s="150" t="inlineStr">
        <is>
          <t/>
        </is>
      </c>
      <c r="E114" s="151" t="inlineStr">
        <is>
          <t>57076-03</t>
        </is>
      </c>
      <c r="F114" s="152" t="inlineStr">
        <is>
          <t>Manufacturer of apparel, fragrances and sporting goods. The company's products include apparel for men, women and children, as well as accessories, footwear, leather goods, fragrances, and sporting goods, including tennis, biking and surfing gear.</t>
        </is>
      </c>
      <c r="G114" s="153" t="inlineStr">
        <is>
          <t>Business Products and Services (B2B)</t>
        </is>
      </c>
      <c r="H114" s="154" t="inlineStr">
        <is>
          <t>Commercial Products</t>
        </is>
      </c>
      <c r="I114" s="155" t="inlineStr">
        <is>
          <t>Distributors/Wholesale</t>
        </is>
      </c>
      <c r="J114" s="156" t="inlineStr">
        <is>
          <t>Accessories, Clothing, Distributors/Wholesale*, Footwear, Recreational Goods</t>
        </is>
      </c>
      <c r="K114" s="157" t="inlineStr">
        <is>
          <t>Manufacturing</t>
        </is>
      </c>
      <c r="L114" s="158" t="inlineStr">
        <is>
          <t>apparel manufacturer, bikes, fragrance, leather goods, sporting goods, surfboard, tennis</t>
        </is>
      </c>
      <c r="M114" s="159" t="inlineStr">
        <is>
          <t>Formerly PE-Backed</t>
        </is>
      </c>
      <c r="N114" s="160" t="inlineStr">
        <is>
          <t/>
        </is>
      </c>
      <c r="O114" s="161" t="inlineStr">
        <is>
          <t/>
        </is>
      </c>
      <c r="P114" s="162" t="inlineStr">
        <is>
          <t>Acquired/Merged</t>
        </is>
      </c>
      <c r="Q114" s="163" t="inlineStr">
        <is>
          <t>Private Equity</t>
        </is>
      </c>
      <c r="R114" s="164" t="inlineStr">
        <is>
          <t>www.lacoste.com</t>
        </is>
      </c>
      <c r="S114" s="165" t="inlineStr">
        <is>
          <t/>
        </is>
      </c>
      <c r="T114" s="166" t="inlineStr">
        <is>
          <t/>
        </is>
      </c>
      <c r="U114" s="167" t="inlineStr">
        <is>
          <t/>
        </is>
      </c>
      <c r="V114" s="168" t="inlineStr">
        <is>
          <t/>
        </is>
      </c>
      <c r="W114" s="169" t="n">
        <v>1933.0</v>
      </c>
      <c r="X114" s="170" t="inlineStr">
        <is>
          <t>Maus Frères</t>
        </is>
      </c>
      <c r="Y114" s="171" t="inlineStr">
        <is>
          <t/>
        </is>
      </c>
      <c r="Z114" s="172" t="inlineStr">
        <is>
          <t>News (New) </t>
        </is>
      </c>
      <c r="AA114" s="173" t="n">
        <v>2300.0</v>
      </c>
      <c r="AB114" s="174" t="inlineStr">
        <is>
          <t/>
        </is>
      </c>
      <c r="AC114" s="175" t="inlineStr">
        <is>
          <t/>
        </is>
      </c>
      <c r="AD114" s="176" t="inlineStr">
        <is>
          <t/>
        </is>
      </c>
      <c r="AE114" s="177" t="inlineStr">
        <is>
          <t/>
        </is>
      </c>
      <c r="AF114" s="178" t="inlineStr">
        <is>
          <t>FY 2018</t>
        </is>
      </c>
      <c r="AG114" s="179" t="inlineStr">
        <is>
          <t/>
        </is>
      </c>
      <c r="AH114" s="180" t="inlineStr">
        <is>
          <t/>
        </is>
      </c>
      <c r="AI114" s="181" t="inlineStr">
        <is>
          <t/>
        </is>
      </c>
      <c r="AJ114" s="182" t="inlineStr">
        <is>
          <t>49654-27P</t>
        </is>
      </c>
      <c r="AK114" s="183" t="inlineStr">
        <is>
          <t>Ren Lacoste</t>
        </is>
      </c>
      <c r="AL114" s="184" t="inlineStr">
        <is>
          <t>Founder</t>
        </is>
      </c>
      <c r="AM114" s="185" t="inlineStr">
        <is>
          <t/>
        </is>
      </c>
      <c r="AN114" s="186" t="inlineStr">
        <is>
          <t>+33 (0)1 44 58 12 12</t>
        </is>
      </c>
      <c r="AO114" s="187" t="inlineStr">
        <is>
          <t>Paris, France</t>
        </is>
      </c>
      <c r="AP114" s="188" t="inlineStr">
        <is>
          <t>8, rue de Castiglione</t>
        </is>
      </c>
      <c r="AQ114" s="189" t="inlineStr">
        <is>
          <t/>
        </is>
      </c>
      <c r="AR114" s="190" t="inlineStr">
        <is>
          <t>Paris</t>
        </is>
      </c>
      <c r="AS114" s="191" t="inlineStr">
        <is>
          <t/>
        </is>
      </c>
      <c r="AT114" s="192" t="inlineStr">
        <is>
          <t>75001</t>
        </is>
      </c>
      <c r="AU114" s="193" t="inlineStr">
        <is>
          <t>France</t>
        </is>
      </c>
      <c r="AV114" s="194" t="inlineStr">
        <is>
          <t>+33 (0)1 44 58 12 12</t>
        </is>
      </c>
      <c r="AW114" s="195" t="inlineStr">
        <is>
          <t/>
        </is>
      </c>
      <c r="AX114" s="196" t="inlineStr">
        <is>
          <t/>
        </is>
      </c>
      <c r="AY114" s="197" t="inlineStr">
        <is>
          <t>Europe</t>
        </is>
      </c>
      <c r="AZ114" s="198" t="inlineStr">
        <is>
          <t>Western Europe</t>
        </is>
      </c>
      <c r="BA114" s="199" t="inlineStr">
        <is>
          <t>The company was acquired by Maus Freres for $1.3 billion on November 15, 2012. The company is no longer actively tracked by PitchBook.</t>
        </is>
      </c>
      <c r="BB114" s="200" t="inlineStr">
        <is>
          <t/>
        </is>
      </c>
      <c r="BC114" s="201" t="inlineStr">
        <is>
          <t/>
        </is>
      </c>
      <c r="BD114" s="202" t="inlineStr">
        <is>
          <t>Maus Frères</t>
        </is>
      </c>
      <c r="BE114" s="203" t="inlineStr">
        <is>
          <t>Arts et Biens</t>
        </is>
      </c>
      <c r="BF114" s="204" t="inlineStr">
        <is>
          <t/>
        </is>
      </c>
      <c r="BG114" s="205" t="inlineStr">
        <is>
          <t/>
        </is>
      </c>
      <c r="BH114" s="206" t="inlineStr">
        <is>
          <t>Arts et Biens(www.artsetbiens.com)</t>
        </is>
      </c>
      <c r="BI114" s="207" t="inlineStr">
        <is>
          <t/>
        </is>
      </c>
      <c r="BJ114" s="208" t="inlineStr">
        <is>
          <t>Robert K. Futterman &amp; Associates(Consulting), Winthrop Group(Consulting)</t>
        </is>
      </c>
      <c r="BK114" s="209" t="inlineStr">
        <is>
          <t>Darrois Villey Maillot Brochier(Legal Advisor), Davis Polk &amp; Wardwell(Legal Advisor), Franklin(Legal Advisor), Franklin Société d'avocats(Legal Advisor), Jones Day(Legal Advisor)</t>
        </is>
      </c>
      <c r="BL114" s="210" t="inlineStr">
        <is>
          <t/>
        </is>
      </c>
      <c r="BM114" s="211" t="inlineStr">
        <is>
          <t/>
        </is>
      </c>
      <c r="BN114" s="212" t="inlineStr">
        <is>
          <t/>
        </is>
      </c>
      <c r="BO114" s="213" t="inlineStr">
        <is>
          <t/>
        </is>
      </c>
      <c r="BP114" s="214" t="inlineStr">
        <is>
          <t/>
        </is>
      </c>
      <c r="BQ114" s="215" t="inlineStr">
        <is>
          <t>PE Growth/Expansion</t>
        </is>
      </c>
      <c r="BR114" s="216" t="inlineStr">
        <is>
          <t/>
        </is>
      </c>
      <c r="BS114" s="217" t="inlineStr">
        <is>
          <t/>
        </is>
      </c>
      <c r="BT114" s="218" t="inlineStr">
        <is>
          <t>Private Equity</t>
        </is>
      </c>
      <c r="BU114" s="219" t="inlineStr">
        <is>
          <t/>
        </is>
      </c>
      <c r="BV114" s="220" t="inlineStr">
        <is>
          <t/>
        </is>
      </c>
      <c r="BW114" s="221" t="inlineStr">
        <is>
          <t/>
        </is>
      </c>
      <c r="BX114" s="222" t="inlineStr">
        <is>
          <t>Completed</t>
        </is>
      </c>
      <c r="BY114" s="223" t="n">
        <v>41228.0</v>
      </c>
      <c r="BZ114" s="224" t="n">
        <v>1300.0</v>
      </c>
      <c r="CA114" s="225" t="inlineStr">
        <is>
          <t>Actual</t>
        </is>
      </c>
      <c r="CB114" s="226" t="n">
        <v>1300.0</v>
      </c>
      <c r="CC114" s="227" t="inlineStr">
        <is>
          <t>Actual</t>
        </is>
      </c>
      <c r="CD114" s="228" t="inlineStr">
        <is>
          <t>Merger/Acquisition</t>
        </is>
      </c>
      <c r="CE114" s="229" t="inlineStr">
        <is>
          <t/>
        </is>
      </c>
      <c r="CF114" s="230" t="inlineStr">
        <is>
          <t/>
        </is>
      </c>
      <c r="CG114" s="231" t="inlineStr">
        <is>
          <t>Corporate</t>
        </is>
      </c>
      <c r="CH114" s="232" t="inlineStr">
        <is>
          <t/>
        </is>
      </c>
      <c r="CI114" s="233" t="inlineStr">
        <is>
          <t/>
        </is>
      </c>
      <c r="CJ114" s="234" t="inlineStr">
        <is>
          <t/>
        </is>
      </c>
      <c r="CK114" s="235" t="inlineStr">
        <is>
          <t>Completed</t>
        </is>
      </c>
      <c r="CL114" s="236" t="inlineStr">
        <is>
          <t/>
        </is>
      </c>
      <c r="CM114" s="237" t="inlineStr">
        <is>
          <t/>
        </is>
      </c>
      <c r="CN114" s="238" t="inlineStr">
        <is>
          <t/>
        </is>
      </c>
      <c r="CO114" s="239" t="inlineStr">
        <is>
          <t/>
        </is>
      </c>
      <c r="CP114" s="240" t="inlineStr">
        <is>
          <t/>
        </is>
      </c>
      <c r="CQ114" s="241" t="inlineStr">
        <is>
          <t/>
        </is>
      </c>
      <c r="CR114" s="242" t="inlineStr">
        <is>
          <t/>
        </is>
      </c>
      <c r="CS114" s="243" t="inlineStr">
        <is>
          <t/>
        </is>
      </c>
      <c r="CT114" s="244" t="inlineStr">
        <is>
          <t/>
        </is>
      </c>
      <c r="CU114" s="245" t="inlineStr">
        <is>
          <t/>
        </is>
      </c>
      <c r="CV114" s="246" t="inlineStr">
        <is>
          <t/>
        </is>
      </c>
      <c r="CW114" s="247" t="inlineStr">
        <is>
          <t/>
        </is>
      </c>
      <c r="CX114" s="248" t="inlineStr">
        <is>
          <t/>
        </is>
      </c>
      <c r="CY114" s="249" t="inlineStr">
        <is>
          <t/>
        </is>
      </c>
      <c r="CZ114" s="250" t="inlineStr">
        <is>
          <t/>
        </is>
      </c>
      <c r="DA114" s="251" t="inlineStr">
        <is>
          <t/>
        </is>
      </c>
      <c r="DB114" s="252" t="inlineStr">
        <is>
          <t/>
        </is>
      </c>
      <c r="DC114" s="253" t="inlineStr">
        <is>
          <t/>
        </is>
      </c>
      <c r="DD114" s="254" t="inlineStr">
        <is>
          <t/>
        </is>
      </c>
      <c r="DE114" s="255" t="inlineStr">
        <is>
          <t/>
        </is>
      </c>
      <c r="DF114" s="256" t="inlineStr">
        <is>
          <t/>
        </is>
      </c>
      <c r="DG114" s="257" t="inlineStr">
        <is>
          <t/>
        </is>
      </c>
      <c r="DH114" s="258" t="inlineStr">
        <is>
          <t/>
        </is>
      </c>
      <c r="DI114" s="259" t="inlineStr">
        <is>
          <t/>
        </is>
      </c>
      <c r="DJ114" s="260" t="inlineStr">
        <is>
          <t/>
        </is>
      </c>
      <c r="DK114" s="261" t="inlineStr">
        <is>
          <t/>
        </is>
      </c>
      <c r="DL114" s="262" t="inlineStr">
        <is>
          <t/>
        </is>
      </c>
      <c r="DM114" s="263" t="inlineStr">
        <is>
          <t/>
        </is>
      </c>
      <c r="DN114" s="264" t="inlineStr">
        <is>
          <t/>
        </is>
      </c>
      <c r="DO114" s="265" t="inlineStr">
        <is>
          <t/>
        </is>
      </c>
      <c r="DP114" s="266" t="inlineStr">
        <is>
          <t/>
        </is>
      </c>
      <c r="DQ114" s="267" t="inlineStr">
        <is>
          <t/>
        </is>
      </c>
      <c r="DR114" s="268" t="inlineStr">
        <is>
          <t/>
        </is>
      </c>
      <c r="DS114" s="269" t="inlineStr">
        <is>
          <t/>
        </is>
      </c>
      <c r="DT114" s="270" t="inlineStr">
        <is>
          <t/>
        </is>
      </c>
      <c r="DU114" s="271" t="inlineStr">
        <is>
          <t/>
        </is>
      </c>
      <c r="DV114" s="272" t="inlineStr">
        <is>
          <t/>
        </is>
      </c>
      <c r="DW114" s="273" t="inlineStr">
        <is>
          <t/>
        </is>
      </c>
      <c r="DX114" s="274" t="inlineStr">
        <is>
          <t/>
        </is>
      </c>
      <c r="DY114" s="275" t="inlineStr">
        <is>
          <t>PitchBook Research</t>
        </is>
      </c>
      <c r="DZ114" s="276" t="n">
        <v>43507.0</v>
      </c>
      <c r="EA114" s="277" t="n">
        <v>1300.0</v>
      </c>
      <c r="EB114" s="278" t="n">
        <v>41228.0</v>
      </c>
      <c r="EC114" s="279" t="inlineStr">
        <is>
          <t>Merger/Acquisition</t>
        </is>
      </c>
      <c r="ED114" s="548">
        <f>HYPERLINK("https://my.pitchbook.com?c=57076-03", "View company online")</f>
      </c>
    </row>
    <row r="115">
      <c r="A115" s="13" t="inlineStr">
        <is>
          <t>132062-59</t>
        </is>
      </c>
      <c r="B115" s="14" t="inlineStr">
        <is>
          <t>Firestar Diamond Group</t>
        </is>
      </c>
      <c r="C115" s="15" t="inlineStr">
        <is>
          <t/>
        </is>
      </c>
      <c r="D115" s="16" t="inlineStr">
        <is>
          <t/>
        </is>
      </c>
      <c r="E115" s="17" t="inlineStr">
        <is>
          <t>132062-59</t>
        </is>
      </c>
      <c r="F115" s="18" t="inlineStr">
        <is>
          <t>Provider of diamond jewelry, jewelry manufacturing, bridal jewelry, and loose diamond. The company operates within the industries of luxury goods, other business products and services, and other consumer products and services.</t>
        </is>
      </c>
      <c r="G115" s="19" t="inlineStr">
        <is>
          <t>Consumer Products and Services (B2C)</t>
        </is>
      </c>
      <c r="H115" s="20" t="inlineStr">
        <is>
          <t>Apparel and Accessories</t>
        </is>
      </c>
      <c r="I115" s="21" t="inlineStr">
        <is>
          <t>Luxury Goods</t>
        </is>
      </c>
      <c r="J115" s="22" t="inlineStr">
        <is>
          <t>Luxury Goods*, Other Business Products and Services, Other Consumer Products and Services</t>
        </is>
      </c>
      <c r="K115" s="23" t="inlineStr">
        <is>
          <t/>
        </is>
      </c>
      <c r="L115" s="24" t="inlineStr">
        <is>
          <t>bridal jewelry, diamond jewelry, jewelry manufacturing, loose diamond</t>
        </is>
      </c>
      <c r="M115" s="25" t="inlineStr">
        <is>
          <t>Corporation</t>
        </is>
      </c>
      <c r="N115" s="26" t="inlineStr">
        <is>
          <t/>
        </is>
      </c>
      <c r="O115" s="27" t="inlineStr">
        <is>
          <t/>
        </is>
      </c>
      <c r="P115" s="28" t="inlineStr">
        <is>
          <t>Privately Held (no backing)</t>
        </is>
      </c>
      <c r="Q115" s="29" t="inlineStr">
        <is>
          <t>Other Private Companies</t>
        </is>
      </c>
      <c r="R115" s="30" t="inlineStr">
        <is>
          <t>firestardiamond.com</t>
        </is>
      </c>
      <c r="S115" s="31" t="inlineStr">
        <is>
          <t/>
        </is>
      </c>
      <c r="T115" s="32" t="inlineStr">
        <is>
          <t/>
        </is>
      </c>
      <c r="U115" s="33" t="inlineStr">
        <is>
          <t/>
        </is>
      </c>
      <c r="V115" s="34" t="inlineStr">
        <is>
          <t/>
        </is>
      </c>
      <c r="W115" s="35" t="n">
        <v>1999.0</v>
      </c>
      <c r="X115" s="36" t="inlineStr">
        <is>
          <t/>
        </is>
      </c>
      <c r="Y115" s="37" t="inlineStr">
        <is>
          <t/>
        </is>
      </c>
      <c r="Z115" s="38" t="inlineStr">
        <is>
          <t/>
        </is>
      </c>
      <c r="AA115" s="39" t="n">
        <v>2300.0</v>
      </c>
      <c r="AB115" s="40" t="inlineStr">
        <is>
          <t/>
        </is>
      </c>
      <c r="AC115" s="41" t="inlineStr">
        <is>
          <t/>
        </is>
      </c>
      <c r="AD115" s="42" t="inlineStr">
        <is>
          <t/>
        </is>
      </c>
      <c r="AE115" s="43" t="inlineStr">
        <is>
          <t/>
        </is>
      </c>
      <c r="AF115" s="44" t="inlineStr">
        <is>
          <t>FY 2017</t>
        </is>
      </c>
      <c r="AG115" s="45" t="inlineStr">
        <is>
          <t/>
        </is>
      </c>
      <c r="AH115" s="46" t="inlineStr">
        <is>
          <t/>
        </is>
      </c>
      <c r="AI115" s="47" t="inlineStr">
        <is>
          <t/>
        </is>
      </c>
      <c r="AJ115" s="48" t="inlineStr">
        <is>
          <t>96427-72P</t>
        </is>
      </c>
      <c r="AK115" s="49" t="inlineStr">
        <is>
          <t>Nirav Modi</t>
        </is>
      </c>
      <c r="AL115" s="50" t="inlineStr">
        <is>
          <t>Chief Executive Officer</t>
        </is>
      </c>
      <c r="AM115" s="51" t="inlineStr">
        <is>
          <t/>
        </is>
      </c>
      <c r="AN115" s="52" t="inlineStr">
        <is>
          <t/>
        </is>
      </c>
      <c r="AO115" s="53" t="inlineStr">
        <is>
          <t/>
        </is>
      </c>
      <c r="AP115" s="54" t="inlineStr">
        <is>
          <t/>
        </is>
      </c>
      <c r="AQ115" s="55" t="inlineStr">
        <is>
          <t/>
        </is>
      </c>
      <c r="AR115" s="56" t="inlineStr">
        <is>
          <t/>
        </is>
      </c>
      <c r="AS115" s="57" t="inlineStr">
        <is>
          <t/>
        </is>
      </c>
      <c r="AT115" s="58" t="inlineStr">
        <is>
          <t/>
        </is>
      </c>
      <c r="AU115" s="59" t="inlineStr">
        <is>
          <t/>
        </is>
      </c>
      <c r="AV115" s="60" t="inlineStr">
        <is>
          <t/>
        </is>
      </c>
      <c r="AW115" s="61" t="inlineStr">
        <is>
          <t/>
        </is>
      </c>
      <c r="AX115" s="62" t="inlineStr">
        <is>
          <t/>
        </is>
      </c>
      <c r="AY115" s="63" t="inlineStr">
        <is>
          <t/>
        </is>
      </c>
      <c r="AZ115" s="64" t="inlineStr">
        <is>
          <t/>
        </is>
      </c>
      <c r="BA115" s="65" t="inlineStr">
        <is>
          <t/>
        </is>
      </c>
      <c r="BB115" s="66" t="inlineStr">
        <is>
          <t/>
        </is>
      </c>
      <c r="BC115" s="67" t="inlineStr">
        <is>
          <t/>
        </is>
      </c>
      <c r="BD115" s="68" t="inlineStr">
        <is>
          <t/>
        </is>
      </c>
      <c r="BE115" s="69" t="inlineStr">
        <is>
          <t/>
        </is>
      </c>
      <c r="BF115" s="70" t="inlineStr">
        <is>
          <t/>
        </is>
      </c>
      <c r="BG115" s="71" t="inlineStr">
        <is>
          <t/>
        </is>
      </c>
      <c r="BH115" s="72" t="inlineStr">
        <is>
          <t/>
        </is>
      </c>
      <c r="BI115" s="73" t="inlineStr">
        <is>
          <t/>
        </is>
      </c>
      <c r="BJ115" s="74" t="inlineStr">
        <is>
          <t>Synthesis Group (Mumbai)(Advisor: General)</t>
        </is>
      </c>
      <c r="BK115" s="75" t="inlineStr">
        <is>
          <t/>
        </is>
      </c>
      <c r="BL115" s="76" t="inlineStr">
        <is>
          <t/>
        </is>
      </c>
      <c r="BM115" s="77" t="inlineStr">
        <is>
          <t/>
        </is>
      </c>
      <c r="BN115" s="78" t="inlineStr">
        <is>
          <t/>
        </is>
      </c>
      <c r="BO115" s="79" t="inlineStr">
        <is>
          <t/>
        </is>
      </c>
      <c r="BP115" s="80" t="inlineStr">
        <is>
          <t/>
        </is>
      </c>
      <c r="BQ115" s="81" t="inlineStr">
        <is>
          <t/>
        </is>
      </c>
      <c r="BR115" s="82" t="inlineStr">
        <is>
          <t/>
        </is>
      </c>
      <c r="BS115" s="83" t="inlineStr">
        <is>
          <t/>
        </is>
      </c>
      <c r="BT115" s="84" t="inlineStr">
        <is>
          <t/>
        </is>
      </c>
      <c r="BU115" s="85" t="inlineStr">
        <is>
          <t/>
        </is>
      </c>
      <c r="BV115" s="86" t="inlineStr">
        <is>
          <t/>
        </is>
      </c>
      <c r="BW115" s="87" t="inlineStr">
        <is>
          <t/>
        </is>
      </c>
      <c r="BX115" s="88" t="inlineStr">
        <is>
          <t/>
        </is>
      </c>
      <c r="BY115" s="89" t="inlineStr">
        <is>
          <t/>
        </is>
      </c>
      <c r="BZ115" s="90" t="inlineStr">
        <is>
          <t/>
        </is>
      </c>
      <c r="CA115" s="91" t="inlineStr">
        <is>
          <t/>
        </is>
      </c>
      <c r="CB115" s="92" t="inlineStr">
        <is>
          <t/>
        </is>
      </c>
      <c r="CC115" s="93" t="inlineStr">
        <is>
          <t/>
        </is>
      </c>
      <c r="CD115" s="94" t="inlineStr">
        <is>
          <t/>
        </is>
      </c>
      <c r="CE115" s="95" t="inlineStr">
        <is>
          <t/>
        </is>
      </c>
      <c r="CF115" s="96" t="inlineStr">
        <is>
          <t/>
        </is>
      </c>
      <c r="CG115" s="97" t="inlineStr">
        <is>
          <t/>
        </is>
      </c>
      <c r="CH115" s="98" t="inlineStr">
        <is>
          <t/>
        </is>
      </c>
      <c r="CI115" s="99" t="inlineStr">
        <is>
          <t/>
        </is>
      </c>
      <c r="CJ115" s="100" t="inlineStr">
        <is>
          <t/>
        </is>
      </c>
      <c r="CK115" s="101" t="inlineStr">
        <is>
          <t/>
        </is>
      </c>
      <c r="CL115" s="102" t="inlineStr">
        <is>
          <t/>
        </is>
      </c>
      <c r="CM115" s="103" t="inlineStr">
        <is>
          <t/>
        </is>
      </c>
      <c r="CN115" s="104" t="n">
        <v>0.0</v>
      </c>
      <c r="CO115" s="105" t="n">
        <v>18.0</v>
      </c>
      <c r="CP115" s="106" t="n">
        <v>0.0</v>
      </c>
      <c r="CQ115" s="107" t="n">
        <v>0.0</v>
      </c>
      <c r="CR115" s="108" t="n">
        <v>0.0</v>
      </c>
      <c r="CS115" s="109" t="n">
        <v>14.0</v>
      </c>
      <c r="CT115" s="110" t="inlineStr">
        <is>
          <t/>
        </is>
      </c>
      <c r="CU115" s="111" t="inlineStr">
        <is>
          <t/>
        </is>
      </c>
      <c r="CV115" s="112" t="inlineStr">
        <is>
          <t/>
        </is>
      </c>
      <c r="CW115" s="113" t="inlineStr">
        <is>
          <t/>
        </is>
      </c>
      <c r="CX115" s="114" t="n">
        <v>0.0</v>
      </c>
      <c r="CY115" s="115" t="n">
        <v>11.0</v>
      </c>
      <c r="CZ115" s="116" t="inlineStr">
        <is>
          <t/>
        </is>
      </c>
      <c r="DA115" s="117" t="inlineStr">
        <is>
          <t/>
        </is>
      </c>
      <c r="DB115" s="118" t="n">
        <v>1.65</v>
      </c>
      <c r="DC115" s="119" t="n">
        <v>63.0</v>
      </c>
      <c r="DD115" s="120" t="n">
        <v>0.36</v>
      </c>
      <c r="DE115" s="121" t="n">
        <v>27.79</v>
      </c>
      <c r="DF115" s="122" t="n">
        <v>1.65</v>
      </c>
      <c r="DG115" s="123" t="n">
        <v>63.0</v>
      </c>
      <c r="DH115" s="124" t="inlineStr">
        <is>
          <t/>
        </is>
      </c>
      <c r="DI115" s="125" t="inlineStr">
        <is>
          <t/>
        </is>
      </c>
      <c r="DJ115" s="126" t="inlineStr">
        <is>
          <t/>
        </is>
      </c>
      <c r="DK115" s="127" t="inlineStr">
        <is>
          <t/>
        </is>
      </c>
      <c r="DL115" s="128" t="n">
        <v>1.65</v>
      </c>
      <c r="DM115" s="129" t="n">
        <v>62.0</v>
      </c>
      <c r="DN115" s="130" t="inlineStr">
        <is>
          <t/>
        </is>
      </c>
      <c r="DO115" s="131" t="inlineStr">
        <is>
          <t/>
        </is>
      </c>
      <c r="DP115" s="132" t="inlineStr">
        <is>
          <t/>
        </is>
      </c>
      <c r="DQ115" s="133" t="inlineStr">
        <is>
          <t/>
        </is>
      </c>
      <c r="DR115" s="134" t="inlineStr">
        <is>
          <t/>
        </is>
      </c>
      <c r="DS115" s="135" t="n">
        <v>56.0</v>
      </c>
      <c r="DT115" s="136" t="n">
        <v>-2.0</v>
      </c>
      <c r="DU115" s="137" t="n">
        <v>-3.45</v>
      </c>
      <c r="DV115" s="138" t="inlineStr">
        <is>
          <t/>
        </is>
      </c>
      <c r="DW115" s="139" t="inlineStr">
        <is>
          <t/>
        </is>
      </c>
      <c r="DX115" s="140" t="inlineStr">
        <is>
          <t/>
        </is>
      </c>
      <c r="DY115" s="141" t="inlineStr">
        <is>
          <t>PitchBook Research</t>
        </is>
      </c>
      <c r="DZ115" s="142" t="n">
        <v>43550.0</v>
      </c>
      <c r="EA115" s="143" t="inlineStr">
        <is>
          <t/>
        </is>
      </c>
      <c r="EB115" s="144" t="inlineStr">
        <is>
          <t/>
        </is>
      </c>
      <c r="EC115" s="145" t="inlineStr">
        <is>
          <t/>
        </is>
      </c>
      <c r="ED115" s="547">
        <f>HYPERLINK("https://my.pitchbook.com?c=132062-59", "View company online")</f>
      </c>
    </row>
    <row r="116">
      <c r="A116" s="147" t="inlineStr">
        <is>
          <t>62215-30</t>
        </is>
      </c>
      <c r="B116" s="148" t="inlineStr">
        <is>
          <t>Youngone (KRX: 009970)</t>
        </is>
      </c>
      <c r="C116" s="149" t="inlineStr">
        <is>
          <t/>
        </is>
      </c>
      <c r="D116" s="150" t="inlineStr">
        <is>
          <t/>
        </is>
      </c>
      <c r="E116" s="151" t="inlineStr">
        <is>
          <t>62215-30</t>
        </is>
      </c>
      <c r="F116" s="152" t="inlineStr">
        <is>
          <t>Youngone Holdings co Ltd manufactures, markets and exports sportswear. Its products include clothes for skiing, mountain climbing, and other sports activities. It also produces sports accessories, such as gloves, backpacks, &amp; sleeping bags.</t>
        </is>
      </c>
      <c r="G116" s="153" t="inlineStr">
        <is>
          <t>Consumer Products and Services (B2C)</t>
        </is>
      </c>
      <c r="H116" s="154" t="inlineStr">
        <is>
          <t>Apparel and Accessories</t>
        </is>
      </c>
      <c r="I116" s="155" t="inlineStr">
        <is>
          <t>Clothing</t>
        </is>
      </c>
      <c r="J116" s="156" t="inlineStr">
        <is>
          <t>Clothing*</t>
        </is>
      </c>
      <c r="K116" s="157" t="inlineStr">
        <is>
          <t>Manufacturing</t>
        </is>
      </c>
      <c r="L116" s="158" t="inlineStr">
        <is>
          <t/>
        </is>
      </c>
      <c r="M116" s="159" t="inlineStr">
        <is>
          <t>Corporation</t>
        </is>
      </c>
      <c r="N116" s="160" t="inlineStr">
        <is>
          <t/>
        </is>
      </c>
      <c r="O116" s="161" t="inlineStr">
        <is>
          <t>Profitable</t>
        </is>
      </c>
      <c r="P116" s="162" t="inlineStr">
        <is>
          <t>Publicly Held</t>
        </is>
      </c>
      <c r="Q116" s="163" t="inlineStr">
        <is>
          <t>Publicly Listed</t>
        </is>
      </c>
      <c r="R116" s="164" t="inlineStr">
        <is>
          <t>www.youngonecorporation.com</t>
        </is>
      </c>
      <c r="S116" s="165" t="n">
        <v>10.0</v>
      </c>
      <c r="T116" s="166" t="inlineStr">
        <is>
          <t>2007: 373, 2008: 369, 2009: 2, 2010: 2, 2011: 1, 2012: 9, 2013: 8, 2014: 8, 2015: 12, 2016: 12, 2017: 11, 2018: 10</t>
        </is>
      </c>
      <c r="U116" s="167" t="inlineStr">
        <is>
          <t>KRX</t>
        </is>
      </c>
      <c r="V116" s="168" t="inlineStr">
        <is>
          <t>009970</t>
        </is>
      </c>
      <c r="W116" s="169" t="inlineStr">
        <is>
          <t/>
        </is>
      </c>
      <c r="X116" s="170" t="inlineStr">
        <is>
          <t/>
        </is>
      </c>
      <c r="Y116" s="171" t="inlineStr">
        <is>
          <t/>
        </is>
      </c>
      <c r="Z116" s="172" t="inlineStr">
        <is>
          <t/>
        </is>
      </c>
      <c r="AA116" s="173" t="n">
        <v>2291.58</v>
      </c>
      <c r="AB116" s="174" t="n">
        <v>795.99</v>
      </c>
      <c r="AC116" s="175" t="n">
        <v>78.47</v>
      </c>
      <c r="AD116" s="176" t="n">
        <v>1368.92</v>
      </c>
      <c r="AE116" s="177" t="n">
        <v>279.71</v>
      </c>
      <c r="AF116" s="178" t="inlineStr">
        <is>
          <t>FY 2018</t>
        </is>
      </c>
      <c r="AG116" s="179" t="n">
        <v>214.26</v>
      </c>
      <c r="AH116" s="180" t="n">
        <v>677.77</v>
      </c>
      <c r="AI116" s="181" t="n">
        <v>-205.18</v>
      </c>
      <c r="AJ116" s="182" t="inlineStr">
        <is>
          <t/>
        </is>
      </c>
      <c r="AK116" s="183" t="inlineStr">
        <is>
          <t/>
        </is>
      </c>
      <c r="AL116" s="184" t="inlineStr">
        <is>
          <t/>
        </is>
      </c>
      <c r="AM116" s="185" t="inlineStr">
        <is>
          <t/>
        </is>
      </c>
      <c r="AN116" s="186" t="inlineStr">
        <is>
          <t/>
        </is>
      </c>
      <c r="AO116" s="187" t="inlineStr">
        <is>
          <t>Seoul, South Korea</t>
        </is>
      </c>
      <c r="AP116" s="188" t="inlineStr">
        <is>
          <t>171, Malli-dong 2-ga</t>
        </is>
      </c>
      <c r="AQ116" s="189" t="inlineStr">
        <is>
          <t>Jung-gu</t>
        </is>
      </c>
      <c r="AR116" s="190" t="inlineStr">
        <is>
          <t>Seoul</t>
        </is>
      </c>
      <c r="AS116" s="191" t="inlineStr">
        <is>
          <t/>
        </is>
      </c>
      <c r="AT116" s="192" t="inlineStr">
        <is>
          <t>100-372</t>
        </is>
      </c>
      <c r="AU116" s="193" t="inlineStr">
        <is>
          <t>South Korea</t>
        </is>
      </c>
      <c r="AV116" s="194" t="inlineStr">
        <is>
          <t>+82 (0)2 390 6114</t>
        </is>
      </c>
      <c r="AW116" s="195" t="inlineStr">
        <is>
          <t>+82 (0)2 390 6604</t>
        </is>
      </c>
      <c r="AX116" s="196" t="inlineStr">
        <is>
          <t/>
        </is>
      </c>
      <c r="AY116" s="197" t="inlineStr">
        <is>
          <t>Asia</t>
        </is>
      </c>
      <c r="AZ116" s="198" t="inlineStr">
        <is>
          <t>East Asia</t>
        </is>
      </c>
      <c r="BA116" s="199" t="inlineStr">
        <is>
          <t/>
        </is>
      </c>
      <c r="BB116" s="200" t="inlineStr">
        <is>
          <t/>
        </is>
      </c>
      <c r="BC116" s="201" t="inlineStr">
        <is>
          <t/>
        </is>
      </c>
      <c r="BD116" s="202" t="inlineStr">
        <is>
          <t/>
        </is>
      </c>
      <c r="BE116" s="203" t="inlineStr">
        <is>
          <t/>
        </is>
      </c>
      <c r="BF116" s="204" t="inlineStr">
        <is>
          <t/>
        </is>
      </c>
      <c r="BG116" s="205" t="inlineStr">
        <is>
          <t/>
        </is>
      </c>
      <c r="BH116" s="206" t="inlineStr">
        <is>
          <t/>
        </is>
      </c>
      <c r="BI116" s="207" t="inlineStr">
        <is>
          <t/>
        </is>
      </c>
      <c r="BJ116" s="208" t="inlineStr">
        <is>
          <t/>
        </is>
      </c>
      <c r="BK116" s="209" t="inlineStr">
        <is>
          <t/>
        </is>
      </c>
      <c r="BL116" s="210" t="inlineStr">
        <is>
          <t/>
        </is>
      </c>
      <c r="BM116" s="211" t="inlineStr">
        <is>
          <t/>
        </is>
      </c>
      <c r="BN116" s="212" t="inlineStr">
        <is>
          <t/>
        </is>
      </c>
      <c r="BO116" s="213" t="inlineStr">
        <is>
          <t/>
        </is>
      </c>
      <c r="BP116" s="214" t="inlineStr">
        <is>
          <t/>
        </is>
      </c>
      <c r="BQ116" s="215" t="inlineStr">
        <is>
          <t/>
        </is>
      </c>
      <c r="BR116" s="216" t="inlineStr">
        <is>
          <t/>
        </is>
      </c>
      <c r="BS116" s="217" t="inlineStr">
        <is>
          <t/>
        </is>
      </c>
      <c r="BT116" s="218" t="inlineStr">
        <is>
          <t/>
        </is>
      </c>
      <c r="BU116" s="219" t="inlineStr">
        <is>
          <t/>
        </is>
      </c>
      <c r="BV116" s="220" t="inlineStr">
        <is>
          <t/>
        </is>
      </c>
      <c r="BW116" s="221" t="inlineStr">
        <is>
          <t/>
        </is>
      </c>
      <c r="BX116" s="222" t="inlineStr">
        <is>
          <t/>
        </is>
      </c>
      <c r="BY116" s="223" t="inlineStr">
        <is>
          <t/>
        </is>
      </c>
      <c r="BZ116" s="224" t="inlineStr">
        <is>
          <t/>
        </is>
      </c>
      <c r="CA116" s="225" t="inlineStr">
        <is>
          <t/>
        </is>
      </c>
      <c r="CB116" s="226" t="inlineStr">
        <is>
          <t/>
        </is>
      </c>
      <c r="CC116" s="227" t="inlineStr">
        <is>
          <t/>
        </is>
      </c>
      <c r="CD116" s="228" t="inlineStr">
        <is>
          <t/>
        </is>
      </c>
      <c r="CE116" s="229" t="inlineStr">
        <is>
          <t/>
        </is>
      </c>
      <c r="CF116" s="230" t="inlineStr">
        <is>
          <t/>
        </is>
      </c>
      <c r="CG116" s="231" t="inlineStr">
        <is>
          <t/>
        </is>
      </c>
      <c r="CH116" s="232" t="inlineStr">
        <is>
          <t/>
        </is>
      </c>
      <c r="CI116" s="233" t="inlineStr">
        <is>
          <t/>
        </is>
      </c>
      <c r="CJ116" s="234" t="inlineStr">
        <is>
          <t/>
        </is>
      </c>
      <c r="CK116" s="235" t="inlineStr">
        <is>
          <t/>
        </is>
      </c>
      <c r="CL116" s="236" t="inlineStr">
        <is>
          <t/>
        </is>
      </c>
      <c r="CM116" s="237" t="inlineStr">
        <is>
          <t/>
        </is>
      </c>
      <c r="CN116" s="238" t="n">
        <v>0.0</v>
      </c>
      <c r="CO116" s="239" t="n">
        <v>18.0</v>
      </c>
      <c r="CP116" s="240" t="n">
        <v>0.0</v>
      </c>
      <c r="CQ116" s="241" t="n">
        <v>0.0</v>
      </c>
      <c r="CR116" s="242" t="n">
        <v>0.0</v>
      </c>
      <c r="CS116" s="243" t="n">
        <v>14.0</v>
      </c>
      <c r="CT116" s="244" t="n">
        <v>0.0</v>
      </c>
      <c r="CU116" s="245" t="n">
        <v>27.0</v>
      </c>
      <c r="CV116" s="246" t="inlineStr">
        <is>
          <t/>
        </is>
      </c>
      <c r="CW116" s="247" t="inlineStr">
        <is>
          <t/>
        </is>
      </c>
      <c r="CX116" s="248" t="n">
        <v>0.0</v>
      </c>
      <c r="CY116" s="249" t="n">
        <v>11.0</v>
      </c>
      <c r="CZ116" s="250" t="n">
        <v>0.0</v>
      </c>
      <c r="DA116" s="251" t="n">
        <v>28.0</v>
      </c>
      <c r="DB116" s="252" t="n">
        <v>1.21</v>
      </c>
      <c r="DC116" s="253" t="n">
        <v>55.0</v>
      </c>
      <c r="DD116" s="254" t="n">
        <v>0.29</v>
      </c>
      <c r="DE116" s="255" t="n">
        <v>31.64</v>
      </c>
      <c r="DF116" s="256" t="n">
        <v>2.38</v>
      </c>
      <c r="DG116" s="257" t="n">
        <v>71.0</v>
      </c>
      <c r="DH116" s="258" t="n">
        <v>0.04</v>
      </c>
      <c r="DI116" s="259" t="n">
        <v>7.0</v>
      </c>
      <c r="DJ116" s="260" t="inlineStr">
        <is>
          <t/>
        </is>
      </c>
      <c r="DK116" s="261" t="inlineStr">
        <is>
          <t/>
        </is>
      </c>
      <c r="DL116" s="262" t="n">
        <v>2.38</v>
      </c>
      <c r="DM116" s="263" t="n">
        <v>69.0</v>
      </c>
      <c r="DN116" s="264" t="n">
        <v>0.04</v>
      </c>
      <c r="DO116" s="265" t="n">
        <v>8.0</v>
      </c>
      <c r="DP116" s="266" t="inlineStr">
        <is>
          <t/>
        </is>
      </c>
      <c r="DQ116" s="267" t="inlineStr">
        <is>
          <t/>
        </is>
      </c>
      <c r="DR116" s="268" t="inlineStr">
        <is>
          <t/>
        </is>
      </c>
      <c r="DS116" s="269" t="n">
        <v>81.0</v>
      </c>
      <c r="DT116" s="270" t="n">
        <v>0.0</v>
      </c>
      <c r="DU116" s="271" t="n">
        <v>0.0</v>
      </c>
      <c r="DV116" s="272" t="n">
        <v>15.0</v>
      </c>
      <c r="DW116" s="273" t="n">
        <v>0.0</v>
      </c>
      <c r="DX116" s="274" t="n">
        <v>0.0</v>
      </c>
      <c r="DY116" s="275" t="inlineStr">
        <is>
          <t>PitchBook Research</t>
        </is>
      </c>
      <c r="DZ116" s="276" t="n">
        <v>43491.0</v>
      </c>
      <c r="EA116" s="277" t="inlineStr">
        <is>
          <t/>
        </is>
      </c>
      <c r="EB116" s="278" t="inlineStr">
        <is>
          <t/>
        </is>
      </c>
      <c r="EC116" s="279" t="inlineStr">
        <is>
          <t/>
        </is>
      </c>
      <c r="ED116" s="548">
        <f>HYPERLINK("https://my.pitchbook.com?c=62215-30", "View company online")</f>
      </c>
    </row>
    <row r="117">
      <c r="A117" s="13" t="inlineStr">
        <is>
          <t>152823-16</t>
        </is>
      </c>
      <c r="B117" s="14" t="inlineStr">
        <is>
          <t>Hansae Yes24 Holdings (KRX: 016450)</t>
        </is>
      </c>
      <c r="C117" s="15" t="inlineStr">
        <is>
          <t>Hansae Company</t>
        </is>
      </c>
      <c r="D117" s="16" t="inlineStr">
        <is>
          <t/>
        </is>
      </c>
      <c r="E117" s="17" t="inlineStr">
        <is>
          <t>152823-16</t>
        </is>
      </c>
      <c r="F117" s="18" t="inlineStr">
        <is>
          <t>Hansae Yes24 Holdings Co Ltd. through its subsidiaries is engaged in the manufacture and sale of knitted clothing and apparel. The company produces shirts, formal dress, and casual wears. It also offers cardigan, suits, jackets, knitted blouses, coats, nightwear, skirts, and other related products. In addition, it is also involved in the sale of various cultural products, such as DVDs, gifts, theater tickets, and publishing of textbooks, as well as the provision of digital content services. All the business activity of the group is operated through Korea and the products are distributed within Korean and to overseas market.</t>
        </is>
      </c>
      <c r="G117" s="19" t="inlineStr">
        <is>
          <t>Consumer Products and Services (B2C)</t>
        </is>
      </c>
      <c r="H117" s="20" t="inlineStr">
        <is>
          <t>Apparel and Accessories</t>
        </is>
      </c>
      <c r="I117" s="21" t="inlineStr">
        <is>
          <t>Clothing</t>
        </is>
      </c>
      <c r="J117" s="22" t="inlineStr">
        <is>
          <t>Clothing*</t>
        </is>
      </c>
      <c r="K117" s="23" t="inlineStr">
        <is>
          <t>Manufacturing</t>
        </is>
      </c>
      <c r="L117" s="24" t="inlineStr">
        <is>
          <t>garments</t>
        </is>
      </c>
      <c r="M117" s="25" t="inlineStr">
        <is>
          <t>Corporation</t>
        </is>
      </c>
      <c r="N117" s="26" t="inlineStr">
        <is>
          <t/>
        </is>
      </c>
      <c r="O117" s="27" t="inlineStr">
        <is>
          <t>Profitable</t>
        </is>
      </c>
      <c r="P117" s="28" t="inlineStr">
        <is>
          <t>Publicly Held</t>
        </is>
      </c>
      <c r="Q117" s="29" t="inlineStr">
        <is>
          <t>Publicly Listed</t>
        </is>
      </c>
      <c r="R117" s="30" t="inlineStr">
        <is>
          <t>www.hansaeyes24.com</t>
        </is>
      </c>
      <c r="S117" s="31" t="n">
        <v>22.0</v>
      </c>
      <c r="T117" s="32" t="inlineStr">
        <is>
          <t>2007: 430, 2008: 434, 2009: 12, 2010: 13, 2011: 14, 2012: 15, 2013: 15, 2014: 16, 2015: 16, 2016: 15, 2017: 20, 2018: 22</t>
        </is>
      </c>
      <c r="U117" s="33" t="inlineStr">
        <is>
          <t>KRX</t>
        </is>
      </c>
      <c r="V117" s="34" t="inlineStr">
        <is>
          <t>016450</t>
        </is>
      </c>
      <c r="W117" s="35" t="n">
        <v>1982.0</v>
      </c>
      <c r="X117" s="36" t="inlineStr">
        <is>
          <t/>
        </is>
      </c>
      <c r="Y117" s="37" t="inlineStr">
        <is>
          <t/>
        </is>
      </c>
      <c r="Z117" s="38" t="inlineStr">
        <is>
          <t/>
        </is>
      </c>
      <c r="AA117" s="39" t="n">
        <v>2294.13</v>
      </c>
      <c r="AB117" s="40" t="n">
        <v>580.46</v>
      </c>
      <c r="AC117" s="41" t="n">
        <v>-14.48</v>
      </c>
      <c r="AD117" s="42" t="n">
        <v>889.96</v>
      </c>
      <c r="AE117" s="43" t="n">
        <v>25.28</v>
      </c>
      <c r="AF117" s="44" t="inlineStr">
        <is>
          <t>FY 2018</t>
        </is>
      </c>
      <c r="AG117" s="45" t="n">
        <v>-16.41</v>
      </c>
      <c r="AH117" s="46" t="n">
        <v>303.65</v>
      </c>
      <c r="AI117" s="47" t="n">
        <v>289.23</v>
      </c>
      <c r="AJ117" s="48" t="inlineStr">
        <is>
          <t/>
        </is>
      </c>
      <c r="AK117" s="49" t="inlineStr">
        <is>
          <t/>
        </is>
      </c>
      <c r="AL117" s="50" t="inlineStr">
        <is>
          <t/>
        </is>
      </c>
      <c r="AM117" s="51" t="inlineStr">
        <is>
          <t/>
        </is>
      </c>
      <c r="AN117" s="52" t="inlineStr">
        <is>
          <t/>
        </is>
      </c>
      <c r="AO117" s="53" t="inlineStr">
        <is>
          <t>Seoul, South Korea</t>
        </is>
      </c>
      <c r="AP117" s="54" t="inlineStr">
        <is>
          <t>6th Floor, Ilshin Building, 11 Eunhaeng-ro</t>
        </is>
      </c>
      <c r="AQ117" s="55" t="inlineStr">
        <is>
          <t>Yeongdeungpo-gu</t>
        </is>
      </c>
      <c r="AR117" s="56" t="inlineStr">
        <is>
          <t>Seoul</t>
        </is>
      </c>
      <c r="AS117" s="57" t="inlineStr">
        <is>
          <t/>
        </is>
      </c>
      <c r="AT117" s="58" t="inlineStr">
        <is>
          <t>07237</t>
        </is>
      </c>
      <c r="AU117" s="59" t="inlineStr">
        <is>
          <t>South Korea</t>
        </is>
      </c>
      <c r="AV117" s="60" t="inlineStr">
        <is>
          <t/>
        </is>
      </c>
      <c r="AW117" s="61" t="inlineStr">
        <is>
          <t/>
        </is>
      </c>
      <c r="AX117" s="62" t="inlineStr">
        <is>
          <t/>
        </is>
      </c>
      <c r="AY117" s="63" t="inlineStr">
        <is>
          <t>Asia</t>
        </is>
      </c>
      <c r="AZ117" s="64" t="inlineStr">
        <is>
          <t>East Asia</t>
        </is>
      </c>
      <c r="BA117" s="65" t="inlineStr">
        <is>
          <t/>
        </is>
      </c>
      <c r="BB117" s="66" t="inlineStr">
        <is>
          <t/>
        </is>
      </c>
      <c r="BC117" s="67" t="inlineStr">
        <is>
          <t/>
        </is>
      </c>
      <c r="BD117" s="68" t="inlineStr">
        <is>
          <t/>
        </is>
      </c>
      <c r="BE117" s="69" t="inlineStr">
        <is>
          <t/>
        </is>
      </c>
      <c r="BF117" s="70" t="inlineStr">
        <is>
          <t/>
        </is>
      </c>
      <c r="BG117" s="71" t="inlineStr">
        <is>
          <t/>
        </is>
      </c>
      <c r="BH117" s="72" t="inlineStr">
        <is>
          <t/>
        </is>
      </c>
      <c r="BI117" s="73" t="inlineStr">
        <is>
          <t/>
        </is>
      </c>
      <c r="BJ117" s="74" t="inlineStr">
        <is>
          <t/>
        </is>
      </c>
      <c r="BK117" s="75" t="inlineStr">
        <is>
          <t/>
        </is>
      </c>
      <c r="BL117" s="76" t="inlineStr">
        <is>
          <t/>
        </is>
      </c>
      <c r="BM117" s="77" t="inlineStr">
        <is>
          <t/>
        </is>
      </c>
      <c r="BN117" s="78" t="inlineStr">
        <is>
          <t/>
        </is>
      </c>
      <c r="BO117" s="79" t="inlineStr">
        <is>
          <t/>
        </is>
      </c>
      <c r="BP117" s="80" t="inlineStr">
        <is>
          <t/>
        </is>
      </c>
      <c r="BQ117" s="81" t="inlineStr">
        <is>
          <t/>
        </is>
      </c>
      <c r="BR117" s="82" t="inlineStr">
        <is>
          <t/>
        </is>
      </c>
      <c r="BS117" s="83" t="inlineStr">
        <is>
          <t/>
        </is>
      </c>
      <c r="BT117" s="84" t="inlineStr">
        <is>
          <t/>
        </is>
      </c>
      <c r="BU117" s="85" t="inlineStr">
        <is>
          <t/>
        </is>
      </c>
      <c r="BV117" s="86" t="inlineStr">
        <is>
          <t/>
        </is>
      </c>
      <c r="BW117" s="87" t="inlineStr">
        <is>
          <t/>
        </is>
      </c>
      <c r="BX117" s="88" t="inlineStr">
        <is>
          <t/>
        </is>
      </c>
      <c r="BY117" s="89" t="inlineStr">
        <is>
          <t/>
        </is>
      </c>
      <c r="BZ117" s="90" t="inlineStr">
        <is>
          <t/>
        </is>
      </c>
      <c r="CA117" s="91" t="inlineStr">
        <is>
          <t/>
        </is>
      </c>
      <c r="CB117" s="92" t="inlineStr">
        <is>
          <t/>
        </is>
      </c>
      <c r="CC117" s="93" t="inlineStr">
        <is>
          <t/>
        </is>
      </c>
      <c r="CD117" s="94" t="inlineStr">
        <is>
          <t/>
        </is>
      </c>
      <c r="CE117" s="95" t="inlineStr">
        <is>
          <t/>
        </is>
      </c>
      <c r="CF117" s="96" t="inlineStr">
        <is>
          <t/>
        </is>
      </c>
      <c r="CG117" s="97" t="inlineStr">
        <is>
          <t/>
        </is>
      </c>
      <c r="CH117" s="98" t="inlineStr">
        <is>
          <t/>
        </is>
      </c>
      <c r="CI117" s="99" t="inlineStr">
        <is>
          <t/>
        </is>
      </c>
      <c r="CJ117" s="100" t="inlineStr">
        <is>
          <t/>
        </is>
      </c>
      <c r="CK117" s="101" t="inlineStr">
        <is>
          <t/>
        </is>
      </c>
      <c r="CL117" s="102" t="inlineStr">
        <is>
          <t/>
        </is>
      </c>
      <c r="CM117" s="103" t="inlineStr">
        <is>
          <t/>
        </is>
      </c>
      <c r="CN117" s="104" t="n">
        <v>0.0</v>
      </c>
      <c r="CO117" s="105" t="n">
        <v>18.0</v>
      </c>
      <c r="CP117" s="106" t="n">
        <v>0.0</v>
      </c>
      <c r="CQ117" s="107" t="n">
        <v>0.0</v>
      </c>
      <c r="CR117" s="108" t="n">
        <v>0.0</v>
      </c>
      <c r="CS117" s="109" t="n">
        <v>14.0</v>
      </c>
      <c r="CT117" s="110" t="n">
        <v>-0.01</v>
      </c>
      <c r="CU117" s="111" t="n">
        <v>25.0</v>
      </c>
      <c r="CV117" s="112" t="inlineStr">
        <is>
          <t/>
        </is>
      </c>
      <c r="CW117" s="113" t="inlineStr">
        <is>
          <t/>
        </is>
      </c>
      <c r="CX117" s="114" t="n">
        <v>0.0</v>
      </c>
      <c r="CY117" s="115" t="n">
        <v>11.0</v>
      </c>
      <c r="CZ117" s="116" t="inlineStr">
        <is>
          <t/>
        </is>
      </c>
      <c r="DA117" s="117" t="inlineStr">
        <is>
          <t/>
        </is>
      </c>
      <c r="DB117" s="118" t="n">
        <v>1.58</v>
      </c>
      <c r="DC117" s="119" t="n">
        <v>62.0</v>
      </c>
      <c r="DD117" s="120" t="n">
        <v>0.22</v>
      </c>
      <c r="DE117" s="121" t="n">
        <v>16.07</v>
      </c>
      <c r="DF117" s="122" t="n">
        <v>1.5</v>
      </c>
      <c r="DG117" s="123" t="n">
        <v>60.0</v>
      </c>
      <c r="DH117" s="124" t="n">
        <v>1.66</v>
      </c>
      <c r="DI117" s="125" t="n">
        <v>59.0</v>
      </c>
      <c r="DJ117" s="126" t="inlineStr">
        <is>
          <t/>
        </is>
      </c>
      <c r="DK117" s="127" t="inlineStr">
        <is>
          <t/>
        </is>
      </c>
      <c r="DL117" s="128" t="n">
        <v>1.5</v>
      </c>
      <c r="DM117" s="129" t="n">
        <v>60.0</v>
      </c>
      <c r="DN117" s="130" t="inlineStr">
        <is>
          <t/>
        </is>
      </c>
      <c r="DO117" s="131" t="inlineStr">
        <is>
          <t/>
        </is>
      </c>
      <c r="DP117" s="132" t="inlineStr">
        <is>
          <t/>
        </is>
      </c>
      <c r="DQ117" s="133" t="inlineStr">
        <is>
          <t/>
        </is>
      </c>
      <c r="DR117" s="134" t="inlineStr">
        <is>
          <t/>
        </is>
      </c>
      <c r="DS117" s="135" t="n">
        <v>50.0</v>
      </c>
      <c r="DT117" s="136" t="n">
        <v>2.0</v>
      </c>
      <c r="DU117" s="137" t="n">
        <v>4.17</v>
      </c>
      <c r="DV117" s="138" t="inlineStr">
        <is>
          <t/>
        </is>
      </c>
      <c r="DW117" s="139" t="inlineStr">
        <is>
          <t/>
        </is>
      </c>
      <c r="DX117" s="140" t="inlineStr">
        <is>
          <t/>
        </is>
      </c>
      <c r="DY117" s="141" t="inlineStr">
        <is>
          <t>PitchBook Research</t>
        </is>
      </c>
      <c r="DZ117" s="142" t="n">
        <v>43548.0</v>
      </c>
      <c r="EA117" s="143" t="inlineStr">
        <is>
          <t/>
        </is>
      </c>
      <c r="EB117" s="144" t="inlineStr">
        <is>
          <t/>
        </is>
      </c>
      <c r="EC117" s="145" t="inlineStr">
        <is>
          <t/>
        </is>
      </c>
      <c r="ED117" s="547">
        <f>HYPERLINK("https://my.pitchbook.com?c=152823-16", "View company online")</f>
      </c>
    </row>
    <row r="118">
      <c r="A118" s="147" t="inlineStr">
        <is>
          <t>165780-64</t>
        </is>
      </c>
      <c r="B118" s="148" t="inlineStr">
        <is>
          <t>Jinzhou Cihang Group Company (SHE: 000587)</t>
        </is>
      </c>
      <c r="C118" s="149" t="inlineStr">
        <is>
          <t>Goldleaf Jewelry</t>
        </is>
      </c>
      <c r="D118" s="150" t="inlineStr">
        <is>
          <t/>
        </is>
      </c>
      <c r="E118" s="151" t="inlineStr">
        <is>
          <t>165780-64</t>
        </is>
      </c>
      <c r="F118" s="152" t="inlineStr">
        <is>
          <t>Jinzhou Cihang Group Co Ltd is engaged in processing, manufacturing, and selling of precious metals, jewelry, jade-based arts and crafts, and recycling of gold in China.</t>
        </is>
      </c>
      <c r="G118" s="153" t="inlineStr">
        <is>
          <t>Consumer Products and Services (B2C)</t>
        </is>
      </c>
      <c r="H118" s="154" t="inlineStr">
        <is>
          <t>Apparel and Accessories</t>
        </is>
      </c>
      <c r="I118" s="155" t="inlineStr">
        <is>
          <t>Accessories</t>
        </is>
      </c>
      <c r="J118" s="156" t="inlineStr">
        <is>
          <t>Accessories*</t>
        </is>
      </c>
      <c r="K118" s="157" t="inlineStr">
        <is>
          <t>Manufacturing</t>
        </is>
      </c>
      <c r="L118" s="158" t="inlineStr">
        <is>
          <t>fashion jewelry, gold chain, gold jewelry</t>
        </is>
      </c>
      <c r="M118" s="159" t="inlineStr">
        <is>
          <t>Corporation</t>
        </is>
      </c>
      <c r="N118" s="160" t="inlineStr">
        <is>
          <t/>
        </is>
      </c>
      <c r="O118" s="161" t="inlineStr">
        <is>
          <t>Profitable</t>
        </is>
      </c>
      <c r="P118" s="162" t="inlineStr">
        <is>
          <t>Publicly Held</t>
        </is>
      </c>
      <c r="Q118" s="163" t="inlineStr">
        <is>
          <t>Publicly Listed</t>
        </is>
      </c>
      <c r="R118" s="164" t="inlineStr">
        <is>
          <t>www.goldzb.com</t>
        </is>
      </c>
      <c r="S118" s="165" t="n">
        <v>1149.0</v>
      </c>
      <c r="T118" s="166" t="inlineStr">
        <is>
          <t>2000: 2760, 2001: 2855, 2002: 2914, 2003: 2933, 2004: 2875, 2005: 2265, 2006: 2156, 2007: 1657, 2008: 1192, 2009: 1110, 2010: 5, 2011: 1038, 2012: 1207, 2013: 1440, 2014: 1416, 2015: 1332, 2016: 1167, 2017: 1149</t>
        </is>
      </c>
      <c r="U118" s="167" t="inlineStr">
        <is>
          <t>SHE</t>
        </is>
      </c>
      <c r="V118" s="168" t="inlineStr">
        <is>
          <t>000587</t>
        </is>
      </c>
      <c r="W118" s="169" t="n">
        <v>1985.0</v>
      </c>
      <c r="X118" s="170" t="inlineStr">
        <is>
          <t/>
        </is>
      </c>
      <c r="Y118" s="171" t="inlineStr">
        <is>
          <t/>
        </is>
      </c>
      <c r="Z118" s="172" t="inlineStr">
        <is>
          <t/>
        </is>
      </c>
      <c r="AA118" s="173" t="n">
        <v>2279.68</v>
      </c>
      <c r="AB118" s="174" t="n">
        <v>173.2</v>
      </c>
      <c r="AC118" s="175" t="n">
        <v>19.08</v>
      </c>
      <c r="AD118" s="176" t="n">
        <v>2317.86</v>
      </c>
      <c r="AE118" s="177" t="n">
        <v>103.06</v>
      </c>
      <c r="AF118" s="178" t="inlineStr">
        <is>
          <t>TTM 3Q2018</t>
        </is>
      </c>
      <c r="AG118" s="179" t="n">
        <v>101.76</v>
      </c>
      <c r="AH118" s="180" t="n">
        <v>1065.02</v>
      </c>
      <c r="AI118" s="181" t="n">
        <v>1221.76</v>
      </c>
      <c r="AJ118" s="182" t="inlineStr">
        <is>
          <t/>
        </is>
      </c>
      <c r="AK118" s="183" t="inlineStr">
        <is>
          <t/>
        </is>
      </c>
      <c r="AL118" s="184" t="inlineStr">
        <is>
          <t/>
        </is>
      </c>
      <c r="AM118" s="185" t="inlineStr">
        <is>
          <t/>
        </is>
      </c>
      <c r="AN118" s="186" t="inlineStr">
        <is>
          <t/>
        </is>
      </c>
      <c r="AO118" s="187" t="inlineStr">
        <is>
          <t>Yichun, China</t>
        </is>
      </c>
      <c r="AP118" s="188" t="inlineStr">
        <is>
          <t>No. 118 Qingshan West Road</t>
        </is>
      </c>
      <c r="AQ118" s="189" t="inlineStr">
        <is>
          <t>Yichun District</t>
        </is>
      </c>
      <c r="AR118" s="190" t="inlineStr">
        <is>
          <t>Yichun</t>
        </is>
      </c>
      <c r="AS118" s="191" t="inlineStr">
        <is>
          <t>Heilongjiang</t>
        </is>
      </c>
      <c r="AT118" s="192" t="inlineStr">
        <is>
          <t>153000</t>
        </is>
      </c>
      <c r="AU118" s="193" t="inlineStr">
        <is>
          <t>China</t>
        </is>
      </c>
      <c r="AV118" s="194" t="inlineStr">
        <is>
          <t>+86 (0)45 8361 0587</t>
        </is>
      </c>
      <c r="AW118" s="195" t="inlineStr">
        <is>
          <t>+86 (0)45 8613 5999</t>
        </is>
      </c>
      <c r="AX118" s="196" t="inlineStr">
        <is>
          <t/>
        </is>
      </c>
      <c r="AY118" s="197" t="inlineStr">
        <is>
          <t>Asia</t>
        </is>
      </c>
      <c r="AZ118" s="198" t="inlineStr">
        <is>
          <t>East Asia</t>
        </is>
      </c>
      <c r="BA118" s="199" t="inlineStr">
        <is>
          <t/>
        </is>
      </c>
      <c r="BB118" s="200" t="inlineStr">
        <is>
          <t/>
        </is>
      </c>
      <c r="BC118" s="201" t="inlineStr">
        <is>
          <t/>
        </is>
      </c>
      <c r="BD118" s="202" t="inlineStr">
        <is>
          <t/>
        </is>
      </c>
      <c r="BE118" s="203" t="inlineStr">
        <is>
          <t/>
        </is>
      </c>
      <c r="BF118" s="204" t="inlineStr">
        <is>
          <t/>
        </is>
      </c>
      <c r="BG118" s="205" t="inlineStr">
        <is>
          <t/>
        </is>
      </c>
      <c r="BH118" s="206" t="inlineStr">
        <is>
          <t/>
        </is>
      </c>
      <c r="BI118" s="207" t="inlineStr">
        <is>
          <t/>
        </is>
      </c>
      <c r="BJ118" s="208" t="inlineStr">
        <is>
          <t/>
        </is>
      </c>
      <c r="BK118" s="209" t="inlineStr">
        <is>
          <t/>
        </is>
      </c>
      <c r="BL118" s="210" t="inlineStr">
        <is>
          <t/>
        </is>
      </c>
      <c r="BM118" s="211" t="inlineStr">
        <is>
          <t/>
        </is>
      </c>
      <c r="BN118" s="212" t="inlineStr">
        <is>
          <t/>
        </is>
      </c>
      <c r="BO118" s="213" t="inlineStr">
        <is>
          <t/>
        </is>
      </c>
      <c r="BP118" s="214" t="inlineStr">
        <is>
          <t/>
        </is>
      </c>
      <c r="BQ118" s="215" t="inlineStr">
        <is>
          <t/>
        </is>
      </c>
      <c r="BR118" s="216" t="inlineStr">
        <is>
          <t/>
        </is>
      </c>
      <c r="BS118" s="217" t="inlineStr">
        <is>
          <t/>
        </is>
      </c>
      <c r="BT118" s="218" t="inlineStr">
        <is>
          <t/>
        </is>
      </c>
      <c r="BU118" s="219" t="inlineStr">
        <is>
          <t/>
        </is>
      </c>
      <c r="BV118" s="220" t="inlineStr">
        <is>
          <t/>
        </is>
      </c>
      <c r="BW118" s="221" t="inlineStr">
        <is>
          <t/>
        </is>
      </c>
      <c r="BX118" s="222" t="inlineStr">
        <is>
          <t/>
        </is>
      </c>
      <c r="BY118" s="223" t="inlineStr">
        <is>
          <t/>
        </is>
      </c>
      <c r="BZ118" s="224" t="inlineStr">
        <is>
          <t/>
        </is>
      </c>
      <c r="CA118" s="225" t="inlineStr">
        <is>
          <t/>
        </is>
      </c>
      <c r="CB118" s="226" t="inlineStr">
        <is>
          <t/>
        </is>
      </c>
      <c r="CC118" s="227" t="inlineStr">
        <is>
          <t/>
        </is>
      </c>
      <c r="CD118" s="228" t="inlineStr">
        <is>
          <t/>
        </is>
      </c>
      <c r="CE118" s="229" t="inlineStr">
        <is>
          <t/>
        </is>
      </c>
      <c r="CF118" s="230" t="inlineStr">
        <is>
          <t/>
        </is>
      </c>
      <c r="CG118" s="231" t="inlineStr">
        <is>
          <t/>
        </is>
      </c>
      <c r="CH118" s="232" t="inlineStr">
        <is>
          <t/>
        </is>
      </c>
      <c r="CI118" s="233" t="inlineStr">
        <is>
          <t/>
        </is>
      </c>
      <c r="CJ118" s="234" t="inlineStr">
        <is>
          <t/>
        </is>
      </c>
      <c r="CK118" s="235" t="inlineStr">
        <is>
          <t/>
        </is>
      </c>
      <c r="CL118" s="236" t="inlineStr">
        <is>
          <t/>
        </is>
      </c>
      <c r="CM118" s="237" t="inlineStr">
        <is>
          <t/>
        </is>
      </c>
      <c r="CN118" s="238" t="n">
        <v>-0.96</v>
      </c>
      <c r="CO118" s="239" t="n">
        <v>5.0</v>
      </c>
      <c r="CP118" s="240" t="n">
        <v>0.24</v>
      </c>
      <c r="CQ118" s="241" t="n">
        <v>19.91</v>
      </c>
      <c r="CR118" s="242" t="n">
        <v>-0.96</v>
      </c>
      <c r="CS118" s="243" t="n">
        <v>6.0</v>
      </c>
      <c r="CT118" s="244" t="inlineStr">
        <is>
          <t/>
        </is>
      </c>
      <c r="CU118" s="245" t="inlineStr">
        <is>
          <t/>
        </is>
      </c>
      <c r="CV118" s="246" t="inlineStr">
        <is>
          <t/>
        </is>
      </c>
      <c r="CW118" s="247" t="inlineStr">
        <is>
          <t/>
        </is>
      </c>
      <c r="CX118" s="248" t="n">
        <v>-0.96</v>
      </c>
      <c r="CY118" s="249" t="n">
        <v>4.0</v>
      </c>
      <c r="CZ118" s="250" t="inlineStr">
        <is>
          <t/>
        </is>
      </c>
      <c r="DA118" s="251" t="inlineStr">
        <is>
          <t/>
        </is>
      </c>
      <c r="DB118" s="252" t="n">
        <v>4.41</v>
      </c>
      <c r="DC118" s="253" t="n">
        <v>81.0</v>
      </c>
      <c r="DD118" s="254" t="n">
        <v>1.12</v>
      </c>
      <c r="DE118" s="255" t="n">
        <v>34.14</v>
      </c>
      <c r="DF118" s="256" t="n">
        <v>4.41</v>
      </c>
      <c r="DG118" s="257" t="n">
        <v>81.0</v>
      </c>
      <c r="DH118" s="258" t="inlineStr">
        <is>
          <t/>
        </is>
      </c>
      <c r="DI118" s="259" t="inlineStr">
        <is>
          <t/>
        </is>
      </c>
      <c r="DJ118" s="260" t="inlineStr">
        <is>
          <t/>
        </is>
      </c>
      <c r="DK118" s="261" t="inlineStr">
        <is>
          <t/>
        </is>
      </c>
      <c r="DL118" s="262" t="n">
        <v>4.41</v>
      </c>
      <c r="DM118" s="263" t="n">
        <v>80.0</v>
      </c>
      <c r="DN118" s="264" t="inlineStr">
        <is>
          <t/>
        </is>
      </c>
      <c r="DO118" s="265" t="inlineStr">
        <is>
          <t/>
        </is>
      </c>
      <c r="DP118" s="266" t="inlineStr">
        <is>
          <t/>
        </is>
      </c>
      <c r="DQ118" s="267" t="inlineStr">
        <is>
          <t/>
        </is>
      </c>
      <c r="DR118" s="268" t="inlineStr">
        <is>
          <t/>
        </is>
      </c>
      <c r="DS118" s="269" t="n">
        <v>149.0</v>
      </c>
      <c r="DT118" s="270" t="n">
        <v>1.0</v>
      </c>
      <c r="DU118" s="271" t="n">
        <v>0.68</v>
      </c>
      <c r="DV118" s="272" t="inlineStr">
        <is>
          <t/>
        </is>
      </c>
      <c r="DW118" s="273" t="inlineStr">
        <is>
          <t/>
        </is>
      </c>
      <c r="DX118" s="274" t="inlineStr">
        <is>
          <t/>
        </is>
      </c>
      <c r="DY118" s="275" t="inlineStr">
        <is>
          <t>PitchBook Research</t>
        </is>
      </c>
      <c r="DZ118" s="276" t="n">
        <v>43502.0</v>
      </c>
      <c r="EA118" s="277" t="inlineStr">
        <is>
          <t/>
        </is>
      </c>
      <c r="EB118" s="278" t="inlineStr">
        <is>
          <t/>
        </is>
      </c>
      <c r="EC118" s="279" t="inlineStr">
        <is>
          <t/>
        </is>
      </c>
      <c r="ED118" s="548">
        <f>HYPERLINK("https://my.pitchbook.com?c=165780-64", "View company online")</f>
      </c>
    </row>
    <row r="119">
      <c r="A119" s="13" t="inlineStr">
        <is>
          <t>11029-60</t>
        </is>
      </c>
      <c r="B119" s="14" t="inlineStr">
        <is>
          <t>J. Crew</t>
        </is>
      </c>
      <c r="C119" s="15" t="inlineStr">
        <is>
          <t/>
        </is>
      </c>
      <c r="D119" s="16" t="inlineStr">
        <is>
          <t>preppy clothing</t>
        </is>
      </c>
      <c r="E119" s="17" t="inlineStr">
        <is>
          <t>11029-60</t>
        </is>
      </c>
      <c r="F119" s="18" t="inlineStr">
        <is>
          <t>Retailer of apparel and accessories created for men and women. The company's men's and women's apparel and accessories are distributed through its retail stores, online website and other retail channels enabling its clients with clothes that looks best when they're lived in.</t>
        </is>
      </c>
      <c r="G119" s="19" t="inlineStr">
        <is>
          <t>Consumer Products and Services (B2C)</t>
        </is>
      </c>
      <c r="H119" s="20" t="inlineStr">
        <is>
          <t>Apparel and Accessories</t>
        </is>
      </c>
      <c r="I119" s="21" t="inlineStr">
        <is>
          <t>Clothing</t>
        </is>
      </c>
      <c r="J119" s="22" t="inlineStr">
        <is>
          <t>Clothing*, Specialty Retail</t>
        </is>
      </c>
      <c r="K119" s="23" t="inlineStr">
        <is>
          <t/>
        </is>
      </c>
      <c r="L119" s="24" t="inlineStr">
        <is>
          <t>apparel retailer, clothing retailer, mens apparel</t>
        </is>
      </c>
      <c r="M119" s="25" t="inlineStr">
        <is>
          <t>Private Equity-Backed</t>
        </is>
      </c>
      <c r="N119" s="26" t="n">
        <v>653.0</v>
      </c>
      <c r="O119" s="27" t="inlineStr">
        <is>
          <t>Profitable</t>
        </is>
      </c>
      <c r="P119" s="28" t="inlineStr">
        <is>
          <t>Privately Held (backing)</t>
        </is>
      </c>
      <c r="Q119" s="29" t="inlineStr">
        <is>
          <t>Debt Financed, Private Equity, Publicly Listed</t>
        </is>
      </c>
      <c r="R119" s="30" t="inlineStr">
        <is>
          <t>www.jcrew.com</t>
        </is>
      </c>
      <c r="S119" s="31" t="n">
        <v>13200.0</v>
      </c>
      <c r="T119" s="32" t="inlineStr">
        <is>
          <t>1998: 6200, 1999: 5400, 2000: 5400, 2001: 5600, 2002: 5800, 2003: 5600, 2004: 5500, 2005: 6100, 2006: 6800, 2007: 7600, 2008: 8700, 2009: 10900, 2010: 12000, 2011: 12700, 2012: 13100, 2013: 13900, 2014: 15300, 2017: 14500, 2018: 13200</t>
        </is>
      </c>
      <c r="U119" s="33" t="inlineStr">
        <is>
          <t/>
        </is>
      </c>
      <c r="V119" s="34" t="inlineStr">
        <is>
          <t/>
        </is>
      </c>
      <c r="W119" s="35" t="n">
        <v>1983.0</v>
      </c>
      <c r="X119" s="36" t="inlineStr">
        <is>
          <t/>
        </is>
      </c>
      <c r="Y119" s="37" t="inlineStr">
        <is>
          <t>Promotion (New) Michael Nicholson, President &amp; Chief Operating Officer</t>
        </is>
      </c>
      <c r="Z119" s="38" t="inlineStr">
        <is>
          <t>Promotion (New) Michael Nicholson, President &amp; Chief Operating Officer, News (New) , Filing (New) </t>
        </is>
      </c>
      <c r="AA119" s="39" t="n">
        <v>2260.0</v>
      </c>
      <c r="AB119" s="40" t="inlineStr">
        <is>
          <t/>
        </is>
      </c>
      <c r="AC119" s="41" t="inlineStr">
        <is>
          <t/>
        </is>
      </c>
      <c r="AD119" s="42" t="inlineStr">
        <is>
          <t/>
        </is>
      </c>
      <c r="AE119" s="43" t="inlineStr">
        <is>
          <t/>
        </is>
      </c>
      <c r="AF119" s="44" t="inlineStr">
        <is>
          <t>FY 2019</t>
        </is>
      </c>
      <c r="AG119" s="45" t="inlineStr">
        <is>
          <t/>
        </is>
      </c>
      <c r="AH119" s="46" t="inlineStr">
        <is>
          <t/>
        </is>
      </c>
      <c r="AI119" s="47" t="inlineStr">
        <is>
          <t/>
        </is>
      </c>
      <c r="AJ119" s="48" t="inlineStr">
        <is>
          <t>65252-26P</t>
        </is>
      </c>
      <c r="AK119" s="49" t="inlineStr">
        <is>
          <t>Michael Nicholson</t>
        </is>
      </c>
      <c r="AL119" s="50" t="inlineStr">
        <is>
          <t>President &amp; Chief Operating Officer</t>
        </is>
      </c>
      <c r="AM119" s="51" t="inlineStr">
        <is>
          <t>michael.nicholson@jcrew.com</t>
        </is>
      </c>
      <c r="AN119" s="52" t="inlineStr">
        <is>
          <t>+1 (800) 562-0258</t>
        </is>
      </c>
      <c r="AO119" s="53" t="inlineStr">
        <is>
          <t>Lynchburg, VA</t>
        </is>
      </c>
      <c r="AP119" s="54" t="inlineStr">
        <is>
          <t>One Ivy Crescent</t>
        </is>
      </c>
      <c r="AQ119" s="55" t="inlineStr">
        <is>
          <t/>
        </is>
      </c>
      <c r="AR119" s="56" t="inlineStr">
        <is>
          <t>Lynchburg</t>
        </is>
      </c>
      <c r="AS119" s="57" t="inlineStr">
        <is>
          <t>Virginia</t>
        </is>
      </c>
      <c r="AT119" s="58" t="inlineStr">
        <is>
          <t>24513</t>
        </is>
      </c>
      <c r="AU119" s="59" t="inlineStr">
        <is>
          <t>United States</t>
        </is>
      </c>
      <c r="AV119" s="60" t="inlineStr">
        <is>
          <t>+1 (800) 562-0258</t>
        </is>
      </c>
      <c r="AW119" s="61" t="inlineStr">
        <is>
          <t>+1 (434) 385-5750</t>
        </is>
      </c>
      <c r="AX119" s="62" t="inlineStr">
        <is>
          <t>help@jcrew.com</t>
        </is>
      </c>
      <c r="AY119" s="63" t="inlineStr">
        <is>
          <t>Americas</t>
        </is>
      </c>
      <c r="AZ119" s="64" t="inlineStr">
        <is>
          <t>North America</t>
        </is>
      </c>
      <c r="BA119" s="65" t="inlineStr">
        <is>
          <t>Undisclosed investors were in talks to convert $566.6 million of debt into an equity stake of the company on June 13, 2017. Subsequently the deal was cancelled on November 16, 2017. Previously, the company (NYSE: JCG) was acquired by TPG Capital and Leonard Green &amp; Partners through $3 billion public to private LBO on March 7, 2011. Under the terms, TPG would acquire a 75% stake in the company and Leonard Green would have a 25% stake. As a part of the transaction, Bank of America Merrill Lynch, The Goldman Sachs Group and Corporate Capital Trust provided debt financing in support of the deal.</t>
        </is>
      </c>
      <c r="BB119" s="66" t="inlineStr">
        <is>
          <t>Leonard Green &amp; Partners, TPG Capital</t>
        </is>
      </c>
      <c r="BC119" s="67" t="n">
        <v>2.0</v>
      </c>
      <c r="BD119" s="68" t="inlineStr">
        <is>
          <t/>
        </is>
      </c>
      <c r="BE119" s="69" t="inlineStr">
        <is>
          <t/>
        </is>
      </c>
      <c r="BF119" s="70" t="inlineStr">
        <is>
          <t>E.Land Group, Fast Retailing Company</t>
        </is>
      </c>
      <c r="BG119" s="71" t="inlineStr">
        <is>
          <t>Leonard Green &amp; Partners(www.leonardgreen.com), TPG Capital(www.tpg.com)</t>
        </is>
      </c>
      <c r="BH119" s="72" t="inlineStr">
        <is>
          <t/>
        </is>
      </c>
      <c r="BI119" s="73" t="inlineStr">
        <is>
          <t>Fast Retailing Company(www.fastretailing.com)</t>
        </is>
      </c>
      <c r="BJ119" s="74" t="inlineStr">
        <is>
          <t>ClearBridge Compensation Group(Consulting), Cowan, Liebowitz &amp; Latman(Legal Advisor), Glocap Search(Consulting), PMG Worldwide(Consulting), Richards Layton &amp; Finger(Legal Advisor), Robert K. Futterman &amp; Associates(Consulting), The Brownestone Group(Consulting)</t>
        </is>
      </c>
      <c r="BK119" s="75" t="inlineStr">
        <is>
          <t>American Capital (ACAS)(Debt Financing), Bank of America Merrill Lynch(Underwriter), Bear Stearns(Underwriter), Black Canyon Capital(Debt Financing), Chinos Intermediate Holdings(Debt Financing), Citigroup(Underwriter), Cleary Gottlieb Steen &amp; Hamilton(Legal Advisor), Congress Financial(Advisor: General), Corporate Capital Trust(Debt Financing), Cravath, Swaine &amp; Moore(Legal Advisor), Credit Suisse(Underwriter), Gladstone Capital(Debt Financing), Invesco(Debt Financing), J.P. Morgan(Underwriter), KPMG(Accounting), Lazard(Advisor: General), Lehman Brothers(Underwriter), Leonard Green &amp; Partners(Debt Financing), Morgan Stanley(Advisor: General), Perella Weinberg Partners(Advisor: General), The Goldman Sachs Group(Underwriter), U.S. Bank(Advisor: General), UBS(Advisor: General), Wachovia Bank(Underwriter), Weil, Gotshal &amp; Manges(Legal Advisor)</t>
        </is>
      </c>
      <c r="BL119" s="76" t="n">
        <v>35719.0</v>
      </c>
      <c r="BM119" s="77" t="n">
        <v>163.4</v>
      </c>
      <c r="BN119" s="78" t="inlineStr">
        <is>
          <t>Actual</t>
        </is>
      </c>
      <c r="BO119" s="79" t="n">
        <v>185.68</v>
      </c>
      <c r="BP119" s="80" t="inlineStr">
        <is>
          <t>Estimated</t>
        </is>
      </c>
      <c r="BQ119" s="81" t="inlineStr">
        <is>
          <t>Buyout/LBO</t>
        </is>
      </c>
      <c r="BR119" s="82" t="inlineStr">
        <is>
          <t/>
        </is>
      </c>
      <c r="BS119" s="83" t="inlineStr">
        <is>
          <t/>
        </is>
      </c>
      <c r="BT119" s="84" t="inlineStr">
        <is>
          <t>Private Equity</t>
        </is>
      </c>
      <c r="BU119" s="85" t="inlineStr">
        <is>
          <t>Senior Debt</t>
        </is>
      </c>
      <c r="BV119" s="86" t="inlineStr">
        <is>
          <t>Loan</t>
        </is>
      </c>
      <c r="BW119" s="87" t="inlineStr">
        <is>
          <t/>
        </is>
      </c>
      <c r="BX119" s="88" t="inlineStr">
        <is>
          <t>Completed</t>
        </is>
      </c>
      <c r="BY119" s="89" t="n">
        <v>43055.0</v>
      </c>
      <c r="BZ119" s="90" t="n">
        <v>566.6</v>
      </c>
      <c r="CA119" s="91" t="inlineStr">
        <is>
          <t>Actual</t>
        </is>
      </c>
      <c r="CB119" s="92" t="inlineStr">
        <is>
          <t/>
        </is>
      </c>
      <c r="CC119" s="93" t="inlineStr">
        <is>
          <t/>
        </is>
      </c>
      <c r="CD119" s="94" t="inlineStr">
        <is>
          <t>Debt Conversion</t>
        </is>
      </c>
      <c r="CE119" s="95" t="inlineStr">
        <is>
          <t/>
        </is>
      </c>
      <c r="CF119" s="96" t="inlineStr">
        <is>
          <t/>
        </is>
      </c>
      <c r="CG119" s="97" t="inlineStr">
        <is>
          <t>Debt</t>
        </is>
      </c>
      <c r="CH119" s="98" t="inlineStr">
        <is>
          <t/>
        </is>
      </c>
      <c r="CI119" s="99" t="inlineStr">
        <is>
          <t/>
        </is>
      </c>
      <c r="CJ119" s="100" t="inlineStr">
        <is>
          <t/>
        </is>
      </c>
      <c r="CK119" s="101" t="inlineStr">
        <is>
          <t>Failed/Cancelled</t>
        </is>
      </c>
      <c r="CL119" s="102" t="n">
        <v>41820.0</v>
      </c>
      <c r="CM119" s="103" t="inlineStr">
        <is>
          <t/>
        </is>
      </c>
      <c r="CN119" s="104" t="n">
        <v>0.14</v>
      </c>
      <c r="CO119" s="105" t="n">
        <v>86.0</v>
      </c>
      <c r="CP119" s="106" t="n">
        <v>0.0</v>
      </c>
      <c r="CQ119" s="107" t="n">
        <v>2.11</v>
      </c>
      <c r="CR119" s="108" t="n">
        <v>0.33</v>
      </c>
      <c r="CS119" s="109" t="n">
        <v>92.0</v>
      </c>
      <c r="CT119" s="110" t="n">
        <v>-0.06</v>
      </c>
      <c r="CU119" s="111" t="n">
        <v>13.0</v>
      </c>
      <c r="CV119" s="112" t="n">
        <v>0.38</v>
      </c>
      <c r="CW119" s="113" t="n">
        <v>84.0</v>
      </c>
      <c r="CX119" s="114" t="n">
        <v>0.28</v>
      </c>
      <c r="CY119" s="115" t="n">
        <v>90.0</v>
      </c>
      <c r="CZ119" s="116" t="n">
        <v>-0.06</v>
      </c>
      <c r="DA119" s="117" t="n">
        <v>16.0</v>
      </c>
      <c r="DB119" s="118" t="n">
        <v>1528.8</v>
      </c>
      <c r="DC119" s="119" t="n">
        <v>100.0</v>
      </c>
      <c r="DD119" s="120" t="n">
        <v>63.32</v>
      </c>
      <c r="DE119" s="121" t="n">
        <v>4.32</v>
      </c>
      <c r="DF119" s="122" t="n">
        <v>2008.63</v>
      </c>
      <c r="DG119" s="123" t="n">
        <v>100.0</v>
      </c>
      <c r="DH119" s="124" t="n">
        <v>1048.96</v>
      </c>
      <c r="DI119" s="125" t="n">
        <v>100.0</v>
      </c>
      <c r="DJ119" s="126" t="n">
        <v>3037.26</v>
      </c>
      <c r="DK119" s="127" t="n">
        <v>100.0</v>
      </c>
      <c r="DL119" s="128" t="n">
        <v>980.0</v>
      </c>
      <c r="DM119" s="129" t="n">
        <v>100.0</v>
      </c>
      <c r="DN119" s="130" t="n">
        <v>1048.96</v>
      </c>
      <c r="DO119" s="131" t="n">
        <v>100.0</v>
      </c>
      <c r="DP119" s="132" t="n">
        <v>2178367.0</v>
      </c>
      <c r="DQ119" s="133" t="n">
        <v>-115196.0</v>
      </c>
      <c r="DR119" s="134" t="n">
        <v>-5.02</v>
      </c>
      <c r="DS119" s="135" t="n">
        <v>33247.0</v>
      </c>
      <c r="DT119" s="136" t="n">
        <v>159.0</v>
      </c>
      <c r="DU119" s="137" t="n">
        <v>0.48</v>
      </c>
      <c r="DV119" s="138" t="n">
        <v>376739.0</v>
      </c>
      <c r="DW119" s="139" t="n">
        <v>-419.0</v>
      </c>
      <c r="DX119" s="140" t="n">
        <v>-0.11</v>
      </c>
      <c r="DY119" s="141" t="inlineStr">
        <is>
          <t>PitchBook Research</t>
        </is>
      </c>
      <c r="DZ119" s="142" t="n">
        <v>43549.0</v>
      </c>
      <c r="EA119" s="143" t="n">
        <v>3000.0</v>
      </c>
      <c r="EB119" s="144" t="n">
        <v>40609.0</v>
      </c>
      <c r="EC119" s="145" t="inlineStr">
        <is>
          <t>Buyout/LBO</t>
        </is>
      </c>
      <c r="ED119" s="547">
        <f>HYPERLINK("https://my.pitchbook.com?c=11029-60", "View company online")</f>
      </c>
    </row>
    <row r="120">
      <c r="A120" s="147" t="inlineStr">
        <is>
          <t>61603-57</t>
        </is>
      </c>
      <c r="B120" s="148" t="inlineStr">
        <is>
          <t>Aoyama Trading Company (TKS: 8219)</t>
        </is>
      </c>
      <c r="C120" s="149" t="inlineStr">
        <is>
          <t/>
        </is>
      </c>
      <c r="D120" s="150" t="inlineStr">
        <is>
          <t/>
        </is>
      </c>
      <c r="E120" s="151" t="inlineStr">
        <is>
          <t>61603-57</t>
        </is>
      </c>
      <c r="F120" s="152" t="inlineStr">
        <is>
          <t>Aoyama Trading Co., Ltd. is an apparel retailer specializing in business wear. Men's business wear accounts for roughly two thirds of the company's total sales, while women's business wear accounts for roughly 10%. Business wear stores include Yofuku-no-Aoyama, which is the company's primary brand and has nearly 800 locations; The Suit Company; and Next Blue. Other business segments include casual wear, with store brands including Universal Language and Calaja; credit cards; printing and media; and total repair service, which includes the company's Mister Minit stores, providing repair services such as shoe repair and key duplication. Aoyama's sales are primarily in Japan, but the firm has business throughout the Asia-Pacific region.</t>
        </is>
      </c>
      <c r="G120" s="153" t="inlineStr">
        <is>
          <t>Consumer Products and Services (B2C)</t>
        </is>
      </c>
      <c r="H120" s="154" t="inlineStr">
        <is>
          <t>Apparel and Accessories</t>
        </is>
      </c>
      <c r="I120" s="155" t="inlineStr">
        <is>
          <t>Clothing</t>
        </is>
      </c>
      <c r="J120" s="156" t="inlineStr">
        <is>
          <t>Clothing*</t>
        </is>
      </c>
      <c r="K120" s="157" t="inlineStr">
        <is>
          <t/>
        </is>
      </c>
      <c r="L120" s="158" t="inlineStr">
        <is>
          <t/>
        </is>
      </c>
      <c r="M120" s="159" t="inlineStr">
        <is>
          <t>Corporation</t>
        </is>
      </c>
      <c r="N120" s="160" t="inlineStr">
        <is>
          <t/>
        </is>
      </c>
      <c r="O120" s="161" t="inlineStr">
        <is>
          <t>Profitable</t>
        </is>
      </c>
      <c r="P120" s="162" t="inlineStr">
        <is>
          <t>Publicly Held</t>
        </is>
      </c>
      <c r="Q120" s="163" t="inlineStr">
        <is>
          <t>Publicly Listed</t>
        </is>
      </c>
      <c r="R120" s="164" t="inlineStr">
        <is>
          <t>www.aoyama-syouji.co.jp</t>
        </is>
      </c>
      <c r="S120" s="165" t="n">
        <v>11627.0</v>
      </c>
      <c r="T120" s="166" t="inlineStr">
        <is>
          <t>2006: 3803, 2007: 4029, 2009: 4366, 2010: 4453, 2011: 4386, 2012: 5376, 2013: 5182, 2014: 5296, 2015: 5891, 2016: 7147, 2017: 7527, 2018: 11627</t>
        </is>
      </c>
      <c r="U120" s="167" t="inlineStr">
        <is>
          <t>TKS</t>
        </is>
      </c>
      <c r="V120" s="168" t="inlineStr">
        <is>
          <t>8219</t>
        </is>
      </c>
      <c r="W120" s="169" t="inlineStr">
        <is>
          <t/>
        </is>
      </c>
      <c r="X120" s="170" t="inlineStr">
        <is>
          <t/>
        </is>
      </c>
      <c r="Y120" s="171" t="inlineStr">
        <is>
          <t/>
        </is>
      </c>
      <c r="Z120" s="172" t="inlineStr">
        <is>
          <t/>
        </is>
      </c>
      <c r="AA120" s="173" t="n">
        <v>2258.03</v>
      </c>
      <c r="AB120" s="174" t="n">
        <v>1237.81</v>
      </c>
      <c r="AC120" s="175" t="n">
        <v>61.9</v>
      </c>
      <c r="AD120" s="176" t="n">
        <v>1456.46</v>
      </c>
      <c r="AE120" s="177" t="n">
        <v>110.59</v>
      </c>
      <c r="AF120" s="178" t="inlineStr">
        <is>
          <t>TTM 3Q2019</t>
        </is>
      </c>
      <c r="AG120" s="179" t="n">
        <v>110.59</v>
      </c>
      <c r="AH120" s="180" t="n">
        <v>1049.04</v>
      </c>
      <c r="AI120" s="181" t="n">
        <v>258.77</v>
      </c>
      <c r="AJ120" s="182" t="inlineStr">
        <is>
          <t>150760-09P</t>
        </is>
      </c>
      <c r="AK120" s="183" t="inlineStr">
        <is>
          <t>Osamu Aoyama</t>
        </is>
      </c>
      <c r="AL120" s="184" t="inlineStr">
        <is>
          <t>Chief Executive Officer, President, Executive President, Chairman &amp; President of Subsidiaries</t>
        </is>
      </c>
      <c r="AM120" s="185" t="inlineStr">
        <is>
          <t>o-aoyama@aoyama-syouji.co.jp</t>
        </is>
      </c>
      <c r="AN120" s="186" t="inlineStr">
        <is>
          <t>+81 (0)12 017 6417</t>
        </is>
      </c>
      <c r="AO120" s="187" t="inlineStr">
        <is>
          <t>Hiroshima, Japan</t>
        </is>
      </c>
      <c r="AP120" s="188" t="inlineStr">
        <is>
          <t>3-5, Ohji-cho 1-chome</t>
        </is>
      </c>
      <c r="AQ120" s="189" t="inlineStr">
        <is>
          <t>Fukuyama</t>
        </is>
      </c>
      <c r="AR120" s="190" t="inlineStr">
        <is>
          <t>Hiroshima</t>
        </is>
      </c>
      <c r="AS120" s="191" t="inlineStr">
        <is>
          <t/>
        </is>
      </c>
      <c r="AT120" s="192" t="inlineStr">
        <is>
          <t>721-8556</t>
        </is>
      </c>
      <c r="AU120" s="193" t="inlineStr">
        <is>
          <t>Japan</t>
        </is>
      </c>
      <c r="AV120" s="194" t="inlineStr">
        <is>
          <t>+81 (0)12 017 6417</t>
        </is>
      </c>
      <c r="AW120" s="195" t="inlineStr">
        <is>
          <t>+81</t>
        </is>
      </c>
      <c r="AX120" s="196" t="inlineStr">
        <is>
          <t/>
        </is>
      </c>
      <c r="AY120" s="197" t="inlineStr">
        <is>
          <t>Asia</t>
        </is>
      </c>
      <c r="AZ120" s="198" t="inlineStr">
        <is>
          <t>East Asia</t>
        </is>
      </c>
      <c r="BA120" s="199" t="inlineStr">
        <is>
          <t/>
        </is>
      </c>
      <c r="BB120" s="200" t="inlineStr">
        <is>
          <t/>
        </is>
      </c>
      <c r="BC120" s="201" t="inlineStr">
        <is>
          <t/>
        </is>
      </c>
      <c r="BD120" s="202" t="inlineStr">
        <is>
          <t/>
        </is>
      </c>
      <c r="BE120" s="203" t="inlineStr">
        <is>
          <t/>
        </is>
      </c>
      <c r="BF120" s="204" t="inlineStr">
        <is>
          <t/>
        </is>
      </c>
      <c r="BG120" s="205" t="inlineStr">
        <is>
          <t/>
        </is>
      </c>
      <c r="BH120" s="206" t="inlineStr">
        <is>
          <t/>
        </is>
      </c>
      <c r="BI120" s="207" t="inlineStr">
        <is>
          <t/>
        </is>
      </c>
      <c r="BJ120" s="208" t="inlineStr">
        <is>
          <t/>
        </is>
      </c>
      <c r="BK120" s="209" t="inlineStr">
        <is>
          <t/>
        </is>
      </c>
      <c r="BL120" s="210" t="inlineStr">
        <is>
          <t/>
        </is>
      </c>
      <c r="BM120" s="211" t="inlineStr">
        <is>
          <t/>
        </is>
      </c>
      <c r="BN120" s="212" t="inlineStr">
        <is>
          <t/>
        </is>
      </c>
      <c r="BO120" s="213" t="inlineStr">
        <is>
          <t/>
        </is>
      </c>
      <c r="BP120" s="214" t="inlineStr">
        <is>
          <t/>
        </is>
      </c>
      <c r="BQ120" s="215" t="inlineStr">
        <is>
          <t/>
        </is>
      </c>
      <c r="BR120" s="216" t="inlineStr">
        <is>
          <t/>
        </is>
      </c>
      <c r="BS120" s="217" t="inlineStr">
        <is>
          <t/>
        </is>
      </c>
      <c r="BT120" s="218" t="inlineStr">
        <is>
          <t/>
        </is>
      </c>
      <c r="BU120" s="219" t="inlineStr">
        <is>
          <t/>
        </is>
      </c>
      <c r="BV120" s="220" t="inlineStr">
        <is>
          <t/>
        </is>
      </c>
      <c r="BW120" s="221" t="inlineStr">
        <is>
          <t/>
        </is>
      </c>
      <c r="BX120" s="222" t="inlineStr">
        <is>
          <t/>
        </is>
      </c>
      <c r="BY120" s="223" t="inlineStr">
        <is>
          <t/>
        </is>
      </c>
      <c r="BZ120" s="224" t="inlineStr">
        <is>
          <t/>
        </is>
      </c>
      <c r="CA120" s="225" t="inlineStr">
        <is>
          <t/>
        </is>
      </c>
      <c r="CB120" s="226" t="inlineStr">
        <is>
          <t/>
        </is>
      </c>
      <c r="CC120" s="227" t="inlineStr">
        <is>
          <t/>
        </is>
      </c>
      <c r="CD120" s="228" t="inlineStr">
        <is>
          <t/>
        </is>
      </c>
      <c r="CE120" s="229" t="inlineStr">
        <is>
          <t/>
        </is>
      </c>
      <c r="CF120" s="230" t="inlineStr">
        <is>
          <t/>
        </is>
      </c>
      <c r="CG120" s="231" t="inlineStr">
        <is>
          <t/>
        </is>
      </c>
      <c r="CH120" s="232" t="inlineStr">
        <is>
          <t/>
        </is>
      </c>
      <c r="CI120" s="233" t="inlineStr">
        <is>
          <t/>
        </is>
      </c>
      <c r="CJ120" s="234" t="inlineStr">
        <is>
          <t/>
        </is>
      </c>
      <c r="CK120" s="235" t="inlineStr">
        <is>
          <t/>
        </is>
      </c>
      <c r="CL120" s="236" t="inlineStr">
        <is>
          <t/>
        </is>
      </c>
      <c r="CM120" s="237" t="inlineStr">
        <is>
          <t/>
        </is>
      </c>
      <c r="CN120" s="238" t="inlineStr">
        <is>
          <t/>
        </is>
      </c>
      <c r="CO120" s="239" t="inlineStr">
        <is>
          <t/>
        </is>
      </c>
      <c r="CP120" s="240" t="inlineStr">
        <is>
          <t/>
        </is>
      </c>
      <c r="CQ120" s="241" t="inlineStr">
        <is>
          <t/>
        </is>
      </c>
      <c r="CR120" s="242" t="inlineStr">
        <is>
          <t/>
        </is>
      </c>
      <c r="CS120" s="243" t="inlineStr">
        <is>
          <t/>
        </is>
      </c>
      <c r="CT120" s="244" t="inlineStr">
        <is>
          <t/>
        </is>
      </c>
      <c r="CU120" s="245" t="inlineStr">
        <is>
          <t/>
        </is>
      </c>
      <c r="CV120" s="246" t="inlineStr">
        <is>
          <t/>
        </is>
      </c>
      <c r="CW120" s="247" t="inlineStr">
        <is>
          <t/>
        </is>
      </c>
      <c r="CX120" s="248" t="inlineStr">
        <is>
          <t/>
        </is>
      </c>
      <c r="CY120" s="249" t="inlineStr">
        <is>
          <t/>
        </is>
      </c>
      <c r="CZ120" s="250" t="inlineStr">
        <is>
          <t/>
        </is>
      </c>
      <c r="DA120" s="251" t="inlineStr">
        <is>
          <t/>
        </is>
      </c>
      <c r="DB120" s="252" t="inlineStr">
        <is>
          <t/>
        </is>
      </c>
      <c r="DC120" s="253" t="inlineStr">
        <is>
          <t/>
        </is>
      </c>
      <c r="DD120" s="254" t="inlineStr">
        <is>
          <t/>
        </is>
      </c>
      <c r="DE120" s="255" t="inlineStr">
        <is>
          <t/>
        </is>
      </c>
      <c r="DF120" s="256" t="inlineStr">
        <is>
          <t/>
        </is>
      </c>
      <c r="DG120" s="257" t="inlineStr">
        <is>
          <t/>
        </is>
      </c>
      <c r="DH120" s="258" t="inlineStr">
        <is>
          <t/>
        </is>
      </c>
      <c r="DI120" s="259" t="inlineStr">
        <is>
          <t/>
        </is>
      </c>
      <c r="DJ120" s="260" t="inlineStr">
        <is>
          <t/>
        </is>
      </c>
      <c r="DK120" s="261" t="inlineStr">
        <is>
          <t/>
        </is>
      </c>
      <c r="DL120" s="262" t="inlineStr">
        <is>
          <t/>
        </is>
      </c>
      <c r="DM120" s="263" t="inlineStr">
        <is>
          <t/>
        </is>
      </c>
      <c r="DN120" s="264" t="inlineStr">
        <is>
          <t/>
        </is>
      </c>
      <c r="DO120" s="265" t="inlineStr">
        <is>
          <t/>
        </is>
      </c>
      <c r="DP120" s="266" t="inlineStr">
        <is>
          <t/>
        </is>
      </c>
      <c r="DQ120" s="267" t="inlineStr">
        <is>
          <t/>
        </is>
      </c>
      <c r="DR120" s="268" t="inlineStr">
        <is>
          <t/>
        </is>
      </c>
      <c r="DS120" s="269" t="inlineStr">
        <is>
          <t/>
        </is>
      </c>
      <c r="DT120" s="270" t="inlineStr">
        <is>
          <t/>
        </is>
      </c>
      <c r="DU120" s="271" t="inlineStr">
        <is>
          <t/>
        </is>
      </c>
      <c r="DV120" s="272" t="inlineStr">
        <is>
          <t/>
        </is>
      </c>
      <c r="DW120" s="273" t="inlineStr">
        <is>
          <t/>
        </is>
      </c>
      <c r="DX120" s="274" t="inlineStr">
        <is>
          <t/>
        </is>
      </c>
      <c r="DY120" s="275" t="inlineStr">
        <is>
          <t>PitchBook Research</t>
        </is>
      </c>
      <c r="DZ120" s="276" t="n">
        <v>43491.0</v>
      </c>
      <c r="EA120" s="277" t="inlineStr">
        <is>
          <t/>
        </is>
      </c>
      <c r="EB120" s="278" t="inlineStr">
        <is>
          <t/>
        </is>
      </c>
      <c r="EC120" s="279" t="inlineStr">
        <is>
          <t/>
        </is>
      </c>
      <c r="ED120" s="548">
        <f>HYPERLINK("https://my.pitchbook.com?c=61603-57", "View company online")</f>
      </c>
    </row>
    <row r="121">
      <c r="A121" s="13" t="inlineStr">
        <is>
          <t>41035-33</t>
        </is>
      </c>
      <c r="B121" s="14" t="inlineStr">
        <is>
          <t>Wolverine World Wide (NYS: WWW)</t>
        </is>
      </c>
      <c r="C121" s="15" t="inlineStr">
        <is>
          <t/>
        </is>
      </c>
      <c r="D121" s="16" t="inlineStr">
        <is>
          <t/>
        </is>
      </c>
      <c r="E121" s="17" t="inlineStr">
        <is>
          <t>41035-33</t>
        </is>
      </c>
      <c r="F121" s="18" t="inlineStr">
        <is>
          <t>Wolverine World Wide makes a wide range of footwear and apparel that it sells globally through three main divisions. The company sells casual footwear and apparel through its lifestyle group, and it sells performance and athletic apparel through its performance group. Its heritage group consists largely of industrial and work boots and shoes. Company brands include Sperry, Stride Rite, Hush Puppies, Keds, Merrell, and Saucony. The company also licenses brands including Harley-Davidson and Cat. Most company sales are wholesale to third-party retailers, but Wolverine also has some direct-to-consumer exposure and bids for U.S. military contracts. The company sources most of its product from third-party manufacturers in Asia. Wolverine manufactures some products internally.</t>
        </is>
      </c>
      <c r="G121" s="19" t="inlineStr">
        <is>
          <t>Consumer Products and Services (B2C)</t>
        </is>
      </c>
      <c r="H121" s="20" t="inlineStr">
        <is>
          <t>Apparel and Accessories</t>
        </is>
      </c>
      <c r="I121" s="21" t="inlineStr">
        <is>
          <t>Footwear</t>
        </is>
      </c>
      <c r="J121" s="22" t="inlineStr">
        <is>
          <t>Footwear*</t>
        </is>
      </c>
      <c r="K121" s="23" t="inlineStr">
        <is>
          <t/>
        </is>
      </c>
      <c r="L121" s="24" t="inlineStr">
        <is>
          <t/>
        </is>
      </c>
      <c r="M121" s="25" t="inlineStr">
        <is>
          <t>Corporation</t>
        </is>
      </c>
      <c r="N121" s="26" t="inlineStr">
        <is>
          <t/>
        </is>
      </c>
      <c r="O121" s="27" t="inlineStr">
        <is>
          <t>Profitable</t>
        </is>
      </c>
      <c r="P121" s="28" t="inlineStr">
        <is>
          <t>Publicly Held</t>
        </is>
      </c>
      <c r="Q121" s="29" t="inlineStr">
        <is>
          <t>Publicly Listed</t>
        </is>
      </c>
      <c r="R121" s="30" t="inlineStr">
        <is>
          <t/>
        </is>
      </c>
      <c r="S121" s="31" t="n">
        <v>3700.0</v>
      </c>
      <c r="T121" s="32" t="inlineStr">
        <is>
          <t>1989: 5436, 1990: 4782, 1991: 4747, 1992: 4761, 1993: 5088, 1994: 5205, 1995: 5586, 1996: 6775, 1997: 6696, 1998: 6600, 1999: 5900, 2000: 4903, 2001: 4614, 2002: 4426, 2003: 4784, 2004: 5134, 2005: 4502, 2006: 4532, 2007: 4651, 2008: 4578, 2009: 4018, 2011: 4435, 2012: 8299, 2013: 7274, 2015: 6600, 2016: 6550, 2017: 3700, 2018: 3700</t>
        </is>
      </c>
      <c r="U121" s="33" t="inlineStr">
        <is>
          <t>NYS</t>
        </is>
      </c>
      <c r="V121" s="34" t="inlineStr">
        <is>
          <t>WWW</t>
        </is>
      </c>
      <c r="W121" s="35" t="inlineStr">
        <is>
          <t/>
        </is>
      </c>
      <c r="X121" s="36" t="inlineStr">
        <is>
          <t/>
        </is>
      </c>
      <c r="Y121" s="37" t="inlineStr">
        <is>
          <t>News (New) </t>
        </is>
      </c>
      <c r="Z121" s="38" t="inlineStr">
        <is>
          <t>News (New) </t>
        </is>
      </c>
      <c r="AA121" s="39" t="n">
        <v>2239.2</v>
      </c>
      <c r="AB121" s="40" t="n">
        <v>921.3</v>
      </c>
      <c r="AC121" s="41" t="n">
        <v>200.1</v>
      </c>
      <c r="AD121" s="42" t="n">
        <v>3464.84</v>
      </c>
      <c r="AE121" s="43" t="n">
        <v>283.4</v>
      </c>
      <c r="AF121" s="44" t="inlineStr">
        <is>
          <t>FY 2018</t>
        </is>
      </c>
      <c r="AG121" s="45" t="n">
        <v>251.9</v>
      </c>
      <c r="AH121" s="46" t="n">
        <v>3168.48</v>
      </c>
      <c r="AI121" s="47" t="n">
        <v>427.4</v>
      </c>
      <c r="AJ121" s="48" t="inlineStr">
        <is>
          <t>83876-86P</t>
        </is>
      </c>
      <c r="AK121" s="49" t="inlineStr">
        <is>
          <t>Michael Stornant</t>
        </is>
      </c>
      <c r="AL121" s="50" t="inlineStr">
        <is>
          <t>Chief Financial Officer, Senior Vice President and Treasurer</t>
        </is>
      </c>
      <c r="AM121" s="51" t="inlineStr">
        <is>
          <t>mike.stornant@wwwinc.com</t>
        </is>
      </c>
      <c r="AN121" s="52" t="inlineStr">
        <is>
          <t>+1 (616) 866-5500</t>
        </is>
      </c>
      <c r="AO121" s="53" t="inlineStr">
        <is>
          <t>Rockford, MI</t>
        </is>
      </c>
      <c r="AP121" s="54" t="inlineStr">
        <is>
          <t>9341 Courtland Drive NorthEast</t>
        </is>
      </c>
      <c r="AQ121" s="55" t="inlineStr">
        <is>
          <t/>
        </is>
      </c>
      <c r="AR121" s="56" t="inlineStr">
        <is>
          <t>Rockford</t>
        </is>
      </c>
      <c r="AS121" s="57" t="inlineStr">
        <is>
          <t>Michigan</t>
        </is>
      </c>
      <c r="AT121" s="58" t="inlineStr">
        <is>
          <t>49351</t>
        </is>
      </c>
      <c r="AU121" s="59" t="inlineStr">
        <is>
          <t>United States</t>
        </is>
      </c>
      <c r="AV121" s="60" t="inlineStr">
        <is>
          <t>+1 (616) 866-5500</t>
        </is>
      </c>
      <c r="AW121" s="61" t="inlineStr">
        <is>
          <t>+1 (616) 866-5550</t>
        </is>
      </c>
      <c r="AX121" s="62" t="inlineStr">
        <is>
          <t/>
        </is>
      </c>
      <c r="AY121" s="63" t="inlineStr">
        <is>
          <t>Americas</t>
        </is>
      </c>
      <c r="AZ121" s="64" t="inlineStr">
        <is>
          <t>North America</t>
        </is>
      </c>
      <c r="BA121" s="65" t="inlineStr">
        <is>
          <t/>
        </is>
      </c>
      <c r="BB121" s="66" t="inlineStr">
        <is>
          <t/>
        </is>
      </c>
      <c r="BC121" s="67" t="inlineStr">
        <is>
          <t/>
        </is>
      </c>
      <c r="BD121" s="68" t="inlineStr">
        <is>
          <t/>
        </is>
      </c>
      <c r="BE121" s="69" t="inlineStr">
        <is>
          <t/>
        </is>
      </c>
      <c r="BF121" s="70" t="inlineStr">
        <is>
          <t/>
        </is>
      </c>
      <c r="BG121" s="71" t="inlineStr">
        <is>
          <t/>
        </is>
      </c>
      <c r="BH121" s="72" t="inlineStr">
        <is>
          <t/>
        </is>
      </c>
      <c r="BI121" s="73" t="inlineStr">
        <is>
          <t/>
        </is>
      </c>
      <c r="BJ121" s="74" t="inlineStr">
        <is>
          <t/>
        </is>
      </c>
      <c r="BK121" s="75" t="inlineStr">
        <is>
          <t/>
        </is>
      </c>
      <c r="BL121" s="76" t="inlineStr">
        <is>
          <t/>
        </is>
      </c>
      <c r="BM121" s="77" t="inlineStr">
        <is>
          <t/>
        </is>
      </c>
      <c r="BN121" s="78" t="inlineStr">
        <is>
          <t/>
        </is>
      </c>
      <c r="BO121" s="79" t="inlineStr">
        <is>
          <t/>
        </is>
      </c>
      <c r="BP121" s="80" t="inlineStr">
        <is>
          <t/>
        </is>
      </c>
      <c r="BQ121" s="81" t="inlineStr">
        <is>
          <t/>
        </is>
      </c>
      <c r="BR121" s="82" t="inlineStr">
        <is>
          <t/>
        </is>
      </c>
      <c r="BS121" s="83" t="inlineStr">
        <is>
          <t/>
        </is>
      </c>
      <c r="BT121" s="84" t="inlineStr">
        <is>
          <t/>
        </is>
      </c>
      <c r="BU121" s="85" t="inlineStr">
        <is>
          <t/>
        </is>
      </c>
      <c r="BV121" s="86" t="inlineStr">
        <is>
          <t/>
        </is>
      </c>
      <c r="BW121" s="87" t="inlineStr">
        <is>
          <t/>
        </is>
      </c>
      <c r="BX121" s="88" t="inlineStr">
        <is>
          <t/>
        </is>
      </c>
      <c r="BY121" s="89" t="inlineStr">
        <is>
          <t/>
        </is>
      </c>
      <c r="BZ121" s="90" t="inlineStr">
        <is>
          <t/>
        </is>
      </c>
      <c r="CA121" s="91" t="inlineStr">
        <is>
          <t/>
        </is>
      </c>
      <c r="CB121" s="92" t="inlineStr">
        <is>
          <t/>
        </is>
      </c>
      <c r="CC121" s="93" t="inlineStr">
        <is>
          <t/>
        </is>
      </c>
      <c r="CD121" s="94" t="inlineStr">
        <is>
          <t/>
        </is>
      </c>
      <c r="CE121" s="95" t="inlineStr">
        <is>
          <t/>
        </is>
      </c>
      <c r="CF121" s="96" t="inlineStr">
        <is>
          <t/>
        </is>
      </c>
      <c r="CG121" s="97" t="inlineStr">
        <is>
          <t/>
        </is>
      </c>
      <c r="CH121" s="98" t="inlineStr">
        <is>
          <t/>
        </is>
      </c>
      <c r="CI121" s="99" t="inlineStr">
        <is>
          <t/>
        </is>
      </c>
      <c r="CJ121" s="100" t="inlineStr">
        <is>
          <t/>
        </is>
      </c>
      <c r="CK121" s="101" t="inlineStr">
        <is>
          <t/>
        </is>
      </c>
      <c r="CL121" s="102" t="inlineStr">
        <is>
          <t/>
        </is>
      </c>
      <c r="CM121" s="103" t="inlineStr">
        <is>
          <t/>
        </is>
      </c>
      <c r="CN121" s="104" t="n">
        <v>-0.39</v>
      </c>
      <c r="CO121" s="105" t="n">
        <v>8.0</v>
      </c>
      <c r="CP121" s="106" t="n">
        <v>-0.24</v>
      </c>
      <c r="CQ121" s="107" t="n">
        <v>-149.15</v>
      </c>
      <c r="CR121" s="108" t="n">
        <v>-0.39</v>
      </c>
      <c r="CS121" s="109" t="n">
        <v>9.0</v>
      </c>
      <c r="CT121" s="110" t="inlineStr">
        <is>
          <t/>
        </is>
      </c>
      <c r="CU121" s="111" t="inlineStr">
        <is>
          <t/>
        </is>
      </c>
      <c r="CV121" s="112" t="n">
        <v>-1.09</v>
      </c>
      <c r="CW121" s="113" t="n">
        <v>26.0</v>
      </c>
      <c r="CX121" s="114" t="n">
        <v>0.3</v>
      </c>
      <c r="CY121" s="115" t="n">
        <v>91.0</v>
      </c>
      <c r="CZ121" s="116" t="inlineStr">
        <is>
          <t/>
        </is>
      </c>
      <c r="DA121" s="117" t="inlineStr">
        <is>
          <t/>
        </is>
      </c>
      <c r="DB121" s="118" t="n">
        <v>27.77</v>
      </c>
      <c r="DC121" s="119" t="n">
        <v>96.0</v>
      </c>
      <c r="DD121" s="120" t="n">
        <v>11.78</v>
      </c>
      <c r="DE121" s="121" t="n">
        <v>73.67</v>
      </c>
      <c r="DF121" s="122" t="n">
        <v>27.77</v>
      </c>
      <c r="DG121" s="123" t="n">
        <v>96.0</v>
      </c>
      <c r="DH121" s="124" t="inlineStr">
        <is>
          <t/>
        </is>
      </c>
      <c r="DI121" s="125" t="inlineStr">
        <is>
          <t/>
        </is>
      </c>
      <c r="DJ121" s="126" t="n">
        <v>8.05</v>
      </c>
      <c r="DK121" s="127" t="n">
        <v>84.0</v>
      </c>
      <c r="DL121" s="128" t="n">
        <v>47.5</v>
      </c>
      <c r="DM121" s="129" t="n">
        <v>98.0</v>
      </c>
      <c r="DN121" s="130" t="inlineStr">
        <is>
          <t/>
        </is>
      </c>
      <c r="DO121" s="131" t="inlineStr">
        <is>
          <t/>
        </is>
      </c>
      <c r="DP121" s="132" t="n">
        <v>5750.0</v>
      </c>
      <c r="DQ121" s="133" t="n">
        <v>-98.0</v>
      </c>
      <c r="DR121" s="134" t="n">
        <v>-1.68</v>
      </c>
      <c r="DS121" s="135" t="n">
        <v>1615.0</v>
      </c>
      <c r="DT121" s="136" t="n">
        <v>1.0</v>
      </c>
      <c r="DU121" s="137" t="n">
        <v>0.06</v>
      </c>
      <c r="DV121" s="138" t="inlineStr">
        <is>
          <t/>
        </is>
      </c>
      <c r="DW121" s="139" t="inlineStr">
        <is>
          <t/>
        </is>
      </c>
      <c r="DX121" s="140" t="inlineStr">
        <is>
          <t/>
        </is>
      </c>
      <c r="DY121" s="141" t="inlineStr">
        <is>
          <t>PitchBook Research</t>
        </is>
      </c>
      <c r="DZ121" s="142" t="n">
        <v>43543.0</v>
      </c>
      <c r="EA121" s="143" t="inlineStr">
        <is>
          <t/>
        </is>
      </c>
      <c r="EB121" s="144" t="inlineStr">
        <is>
          <t/>
        </is>
      </c>
      <c r="EC121" s="145" t="inlineStr">
        <is>
          <t/>
        </is>
      </c>
      <c r="ED121" s="547">
        <f>HYPERLINK("https://my.pitchbook.com?c=41035-33", "View company online")</f>
      </c>
    </row>
    <row r="122">
      <c r="A122" s="147" t="inlineStr">
        <is>
          <t>52241-32</t>
        </is>
      </c>
      <c r="B122" s="148" t="inlineStr">
        <is>
          <t>Fanatics</t>
        </is>
      </c>
      <c r="C122" s="149" t="inlineStr">
        <is>
          <t>Football Fanatics</t>
        </is>
      </c>
      <c r="D122" s="150" t="inlineStr">
        <is>
          <t/>
        </is>
      </c>
      <c r="E122" s="151" t="inlineStr">
        <is>
          <t>52241-32</t>
        </is>
      </c>
      <c r="F122" s="152" t="inlineStr">
        <is>
          <t>Operator of a multi-channel sports merchandise retailer. The company's retailer channels operate the e-commerce business for all major professional sports leagues, major media brands and collegiate and professional team properties. In addition to e-commerce, the company's capabilities include multichannel-integrated event and team retail across all leagues and major events, an industry-leading tech, data and mobile platform, and an in-house merchandise division. The company's vertical manufacturing engine is built for today's on-demand economy and brings much-needed agility to the industry, better servicing today's passionate sports fans and their growing real-time expectations with more unique and innovative products readily available across retail channels.</t>
        </is>
      </c>
      <c r="G122" s="153" t="inlineStr">
        <is>
          <t>Consumer Products and Services (B2C)</t>
        </is>
      </c>
      <c r="H122" s="154" t="inlineStr">
        <is>
          <t>Retail</t>
        </is>
      </c>
      <c r="I122" s="155" t="inlineStr">
        <is>
          <t>Internet Retail</t>
        </is>
      </c>
      <c r="J122" s="156" t="inlineStr">
        <is>
          <t>Internet Retail*, Other Apparel, Other Retail</t>
        </is>
      </c>
      <c r="K122" s="157" t="inlineStr">
        <is>
          <t>E-Commerce, TMT</t>
        </is>
      </c>
      <c r="L122" s="158" t="inlineStr">
        <is>
          <t>online retail, sports merchandise, sports product, sportswear</t>
        </is>
      </c>
      <c r="M122" s="159" t="inlineStr">
        <is>
          <t>Private Equity-Backed</t>
        </is>
      </c>
      <c r="N122" s="160" t="n">
        <v>1620.0</v>
      </c>
      <c r="O122" s="161" t="inlineStr">
        <is>
          <t>Profitable</t>
        </is>
      </c>
      <c r="P122" s="162" t="inlineStr">
        <is>
          <t>Acquired/Merged (Operating Subsidiary)</t>
        </is>
      </c>
      <c r="Q122" s="163" t="inlineStr">
        <is>
          <t>M&amp;A, Private Equity, Venture Capital</t>
        </is>
      </c>
      <c r="R122" s="164" t="inlineStr">
        <is>
          <t>www.fanatics.com</t>
        </is>
      </c>
      <c r="S122" s="165" t="n">
        <v>1178.0</v>
      </c>
      <c r="T122" s="166" t="inlineStr">
        <is>
          <t>2011: 400, 2014: 1072, 2015: 1178</t>
        </is>
      </c>
      <c r="U122" s="167" t="inlineStr">
        <is>
          <t/>
        </is>
      </c>
      <c r="V122" s="168" t="inlineStr">
        <is>
          <t/>
        </is>
      </c>
      <c r="W122" s="169" t="n">
        <v>1995.0</v>
      </c>
      <c r="X122" s="170" t="inlineStr">
        <is>
          <t>Kynetic</t>
        </is>
      </c>
      <c r="Y122" s="171" t="inlineStr">
        <is>
          <t/>
        </is>
      </c>
      <c r="Z122" s="172" t="inlineStr">
        <is>
          <t/>
        </is>
      </c>
      <c r="AA122" s="173" t="n">
        <v>2200.0</v>
      </c>
      <c r="AB122" s="174" t="inlineStr">
        <is>
          <t/>
        </is>
      </c>
      <c r="AC122" s="175" t="inlineStr">
        <is>
          <t/>
        </is>
      </c>
      <c r="AD122" s="176" t="inlineStr">
        <is>
          <t/>
        </is>
      </c>
      <c r="AE122" s="177" t="inlineStr">
        <is>
          <t/>
        </is>
      </c>
      <c r="AF122" s="178" t="inlineStr">
        <is>
          <t>FY 2017</t>
        </is>
      </c>
      <c r="AG122" s="179" t="inlineStr">
        <is>
          <t/>
        </is>
      </c>
      <c r="AH122" s="180" t="inlineStr">
        <is>
          <t/>
        </is>
      </c>
      <c r="AI122" s="181" t="inlineStr">
        <is>
          <t/>
        </is>
      </c>
      <c r="AJ122" s="182" t="inlineStr">
        <is>
          <t>31062-88P</t>
        </is>
      </c>
      <c r="AK122" s="183" t="inlineStr">
        <is>
          <t>Lauren Levitan</t>
        </is>
      </c>
      <c r="AL122" s="184" t="inlineStr">
        <is>
          <t>Chief Financial Officer</t>
        </is>
      </c>
      <c r="AM122" s="185" t="inlineStr">
        <is>
          <t>lauren@fanaticsinc.com</t>
        </is>
      </c>
      <c r="AN122" s="186" t="inlineStr">
        <is>
          <t>+1 (904) 421-1897</t>
        </is>
      </c>
      <c r="AO122" s="187" t="inlineStr">
        <is>
          <t>Jacksonville, FL</t>
        </is>
      </c>
      <c r="AP122" s="188" t="inlineStr">
        <is>
          <t>8100 Nations Way</t>
        </is>
      </c>
      <c r="AQ122" s="189" t="inlineStr">
        <is>
          <t/>
        </is>
      </c>
      <c r="AR122" s="190" t="inlineStr">
        <is>
          <t>Jacksonville</t>
        </is>
      </c>
      <c r="AS122" s="191" t="inlineStr">
        <is>
          <t>Florida</t>
        </is>
      </c>
      <c r="AT122" s="192" t="inlineStr">
        <is>
          <t>32256</t>
        </is>
      </c>
      <c r="AU122" s="193" t="inlineStr">
        <is>
          <t>United States</t>
        </is>
      </c>
      <c r="AV122" s="194" t="inlineStr">
        <is>
          <t>+1 (904) 421-1897</t>
        </is>
      </c>
      <c r="AW122" s="195" t="inlineStr">
        <is>
          <t>+1 (904) 269-7053</t>
        </is>
      </c>
      <c r="AX122" s="196" t="inlineStr">
        <is>
          <t>info@fanatics.co.uk</t>
        </is>
      </c>
      <c r="AY122" s="197" t="inlineStr">
        <is>
          <t>Americas</t>
        </is>
      </c>
      <c r="AZ122" s="198" t="inlineStr">
        <is>
          <t>North America</t>
        </is>
      </c>
      <c r="BA122" s="199" t="inlineStr">
        <is>
          <t>The company received $1 billion of financing from SoftBank Capital, National Football League and MLB Advanced Media on September 6, 2017. With this transaction, the company secured $1.8 billion in total funding. The funding will give it the firepower to expand internationally.</t>
        </is>
      </c>
      <c r="BB122" s="200" t="inlineStr">
        <is>
          <t>32 Equity, Alibaba Capital Partners, Andreessen Horowitz, MLB Advanced Media, National Football League, Silver Lake Management, SoftBank Group, Temasek Holdings</t>
        </is>
      </c>
      <c r="BC122" s="201" t="n">
        <v>8.0</v>
      </c>
      <c r="BD122" s="202" t="inlineStr">
        <is>
          <t>Kynetic</t>
        </is>
      </c>
      <c r="BE122" s="203" t="inlineStr">
        <is>
          <t>Insight Venture Partners, Radial (acquired 2015)</t>
        </is>
      </c>
      <c r="BF122" s="204" t="inlineStr">
        <is>
          <t/>
        </is>
      </c>
      <c r="BG122" s="205" t="inlineStr">
        <is>
          <t>Alibaba Capital Partners(www.alibabacapital.com), Andreessen Horowitz(www.a16z.com), MLB Advanced Media(www.mlb.com), National Football League(www.nfl.com), Silver Lake Management(www.silverlake.com), SoftBank Group(www.softbank.jp), Temasek Holdings(www.temasek.com.sg)</t>
        </is>
      </c>
      <c r="BH122" s="206" t="inlineStr">
        <is>
          <t>Insight Venture Partners(www.insightpartners.com)</t>
        </is>
      </c>
      <c r="BI122" s="207" t="inlineStr">
        <is>
          <t/>
        </is>
      </c>
      <c r="BJ122" s="208" t="inlineStr">
        <is>
          <t>Carl Marks Advisors(Advisor: General), Daversa Partners(Consulting), Liolios Investor Relations(Advisor: General), Morgan, Lewis &amp; Bockius(Legal Advisor), Rich Talent Group(Consulting)</t>
        </is>
      </c>
      <c r="BK122" s="209" t="inlineStr">
        <is>
          <t>Bank of America(Debt Financing), Barack Ferrazzano Kirschbaum &amp; Nagelberg(Legal Advisor), J.P. Morgan(Advisor: General), Lowenstein Sandler(Legal Advisor), Morgan, Lewis &amp; Bockius(Legal Advisor), Paul Hastings(Legal Advisor), RBC Capital Markets(Advisor: General)</t>
        </is>
      </c>
      <c r="BL122" s="210" t="n">
        <v>39309.0</v>
      </c>
      <c r="BM122" s="211" t="n">
        <v>45.0</v>
      </c>
      <c r="BN122" s="212" t="inlineStr">
        <is>
          <t>Actual</t>
        </is>
      </c>
      <c r="BO122" s="213" t="n">
        <v>174.0</v>
      </c>
      <c r="BP122" s="214" t="inlineStr">
        <is>
          <t>Actual</t>
        </is>
      </c>
      <c r="BQ122" s="215" t="inlineStr">
        <is>
          <t>Early Stage VC</t>
        </is>
      </c>
      <c r="BR122" s="216" t="inlineStr">
        <is>
          <t>Series A</t>
        </is>
      </c>
      <c r="BS122" s="217" t="inlineStr">
        <is>
          <t/>
        </is>
      </c>
      <c r="BT122" s="218" t="inlineStr">
        <is>
          <t>Venture Capital</t>
        </is>
      </c>
      <c r="BU122" s="219" t="inlineStr">
        <is>
          <t/>
        </is>
      </c>
      <c r="BV122" s="220" t="inlineStr">
        <is>
          <t/>
        </is>
      </c>
      <c r="BW122" s="221" t="inlineStr">
        <is>
          <t/>
        </is>
      </c>
      <c r="BX122" s="222" t="inlineStr">
        <is>
          <t>Completed</t>
        </is>
      </c>
      <c r="BY122" s="223" t="n">
        <v>42984.0</v>
      </c>
      <c r="BZ122" s="224" t="n">
        <v>1000.0</v>
      </c>
      <c r="CA122" s="225" t="inlineStr">
        <is>
          <t>Actual</t>
        </is>
      </c>
      <c r="CB122" s="226" t="n">
        <v>4500.0</v>
      </c>
      <c r="CC122" s="227" t="inlineStr">
        <is>
          <t>Actual</t>
        </is>
      </c>
      <c r="CD122" s="228" t="inlineStr">
        <is>
          <t>Corporate</t>
        </is>
      </c>
      <c r="CE122" s="229" t="inlineStr">
        <is>
          <t>Corporate</t>
        </is>
      </c>
      <c r="CF122" s="230" t="inlineStr">
        <is>
          <t/>
        </is>
      </c>
      <c r="CG122" s="231" t="inlineStr">
        <is>
          <t>Corporate</t>
        </is>
      </c>
      <c r="CH122" s="232" t="inlineStr">
        <is>
          <t/>
        </is>
      </c>
      <c r="CI122" s="233" t="inlineStr">
        <is>
          <t/>
        </is>
      </c>
      <c r="CJ122" s="234" t="inlineStr">
        <is>
          <t/>
        </is>
      </c>
      <c r="CK122" s="235" t="inlineStr">
        <is>
          <t>Completed</t>
        </is>
      </c>
      <c r="CL122" s="236" t="n">
        <v>41066.0</v>
      </c>
      <c r="CM122" s="237" t="n">
        <v>75.0</v>
      </c>
      <c r="CN122" s="238" t="n">
        <v>1.27</v>
      </c>
      <c r="CO122" s="239" t="n">
        <v>98.0</v>
      </c>
      <c r="CP122" s="240" t="n">
        <v>-0.31</v>
      </c>
      <c r="CQ122" s="241" t="n">
        <v>-19.55</v>
      </c>
      <c r="CR122" s="242" t="n">
        <v>2.36</v>
      </c>
      <c r="CS122" s="243" t="n">
        <v>99.0</v>
      </c>
      <c r="CT122" s="244" t="n">
        <v>0.26</v>
      </c>
      <c r="CU122" s="245" t="n">
        <v>88.0</v>
      </c>
      <c r="CV122" s="246" t="n">
        <v>5.82</v>
      </c>
      <c r="CW122" s="247" t="n">
        <v>98.0</v>
      </c>
      <c r="CX122" s="248" t="n">
        <v>-1.11</v>
      </c>
      <c r="CY122" s="249" t="n">
        <v>4.0</v>
      </c>
      <c r="CZ122" s="250" t="n">
        <v>0.37</v>
      </c>
      <c r="DA122" s="251" t="n">
        <v>93.0</v>
      </c>
      <c r="DB122" s="252" t="n">
        <v>701.49</v>
      </c>
      <c r="DC122" s="253" t="n">
        <v>100.0</v>
      </c>
      <c r="DD122" s="254" t="n">
        <v>18.59</v>
      </c>
      <c r="DE122" s="255" t="n">
        <v>2.72</v>
      </c>
      <c r="DF122" s="256" t="n">
        <v>1471.14</v>
      </c>
      <c r="DG122" s="257" t="n">
        <v>100.0</v>
      </c>
      <c r="DH122" s="258" t="n">
        <v>221.45</v>
      </c>
      <c r="DI122" s="259" t="n">
        <v>99.0</v>
      </c>
      <c r="DJ122" s="260" t="n">
        <v>2685.05</v>
      </c>
      <c r="DK122" s="261" t="n">
        <v>100.0</v>
      </c>
      <c r="DL122" s="262" t="n">
        <v>257.24</v>
      </c>
      <c r="DM122" s="263" t="n">
        <v>100.0</v>
      </c>
      <c r="DN122" s="264" t="n">
        <v>133.97</v>
      </c>
      <c r="DO122" s="265" t="n">
        <v>99.0</v>
      </c>
      <c r="DP122" s="266" t="n">
        <v>1911861.0</v>
      </c>
      <c r="DQ122" s="267" t="n">
        <v>23221.0</v>
      </c>
      <c r="DR122" s="268" t="n">
        <v>1.23</v>
      </c>
      <c r="DS122" s="269" t="n">
        <v>8732.0</v>
      </c>
      <c r="DT122" s="270" t="n">
        <v>8.0</v>
      </c>
      <c r="DU122" s="271" t="n">
        <v>0.09</v>
      </c>
      <c r="DV122" s="272" t="n">
        <v>48044.0</v>
      </c>
      <c r="DW122" s="273" t="n">
        <v>174.0</v>
      </c>
      <c r="DX122" s="274" t="n">
        <v>0.36</v>
      </c>
      <c r="DY122" s="275" t="inlineStr">
        <is>
          <t>PitchBook Research</t>
        </is>
      </c>
      <c r="DZ122" s="276" t="n">
        <v>43441.0</v>
      </c>
      <c r="EA122" s="277" t="n">
        <v>4500.0</v>
      </c>
      <c r="EB122" s="278" t="n">
        <v>42984.0</v>
      </c>
      <c r="EC122" s="279" t="inlineStr">
        <is>
          <t>Corporate</t>
        </is>
      </c>
      <c r="ED122" s="548">
        <f>HYPERLINK("https://my.pitchbook.com?c=52241-32", "View company online")</f>
      </c>
    </row>
    <row r="123">
      <c r="A123" s="13" t="inlineStr">
        <is>
          <t>10820-62</t>
        </is>
      </c>
      <c r="B123" s="14" t="inlineStr">
        <is>
          <t>Genesco (NYS: GCO)</t>
        </is>
      </c>
      <c r="C123" s="15" t="inlineStr">
        <is>
          <t>Jarman Shoe Company, General Shoe Company</t>
        </is>
      </c>
      <c r="D123" s="16" t="inlineStr">
        <is>
          <t/>
        </is>
      </c>
      <c r="E123" s="17" t="inlineStr">
        <is>
          <t>10820-62</t>
        </is>
      </c>
      <c r="F123" s="18" t="inlineStr">
        <is>
          <t>Genesco sells footwear, headwear, sports apparel, and accessories. It sells direct to consumers through its company stores and websites and wholesale to department and specialty stores. In footwear, it owns the Journeys, Schuh, and Johnston &amp; Murphy brands and has a license to make Dockers footwear. Its Lids Sports Group makes licensed sports headwear and accessories. Most of the company's retail stores are in the United States, but it also has many locations in Canada and Europe. Genesco owns many distribution warehouses in the U.S. and Scotland and sources its products from third-party manufacturers worldwide.</t>
        </is>
      </c>
      <c r="G123" s="19" t="inlineStr">
        <is>
          <t>Consumer Products and Services (B2C)</t>
        </is>
      </c>
      <c r="H123" s="20" t="inlineStr">
        <is>
          <t>Apparel and Accessories</t>
        </is>
      </c>
      <c r="I123" s="21" t="inlineStr">
        <is>
          <t>Footwear</t>
        </is>
      </c>
      <c r="J123" s="22" t="inlineStr">
        <is>
          <t>Accessories, Footwear*, Specialty Retail</t>
        </is>
      </c>
      <c r="K123" s="23" t="inlineStr">
        <is>
          <t/>
        </is>
      </c>
      <c r="L123" s="24" t="inlineStr">
        <is>
          <t>accessories retailer, branding footwear, footwear retail, headware retailer, slippers retailer</t>
        </is>
      </c>
      <c r="M123" s="25" t="inlineStr">
        <is>
          <t>Corporation</t>
        </is>
      </c>
      <c r="N123" s="26" t="inlineStr">
        <is>
          <t/>
        </is>
      </c>
      <c r="O123" s="27" t="inlineStr">
        <is>
          <t>Generating Revenue/Not Profitable</t>
        </is>
      </c>
      <c r="P123" s="28" t="inlineStr">
        <is>
          <t>Publicly Held</t>
        </is>
      </c>
      <c r="Q123" s="29" t="inlineStr">
        <is>
          <t>Publicly Listed</t>
        </is>
      </c>
      <c r="R123" s="30" t="inlineStr">
        <is>
          <t>www.genesco.com</t>
        </is>
      </c>
      <c r="S123" s="31" t="n">
        <v>30500.0</v>
      </c>
      <c r="T123" s="32" t="inlineStr">
        <is>
          <t>1992: 6150, 1993: 6150, 1994: 6180, 1995: 5400, 1996: 3750, 1997: 5005, 1998: 4300, 1999: 3650, 2000: 4250, 2001: 4700, 2002: 5325, 2003: 5700, 2004: 6200, 2005: 9600, 2006: 11100, 2007: 12750, 2008: 13950, 2009: 14125, 2010: 13900, 2011: 15200, 2012: 21475, 2013: 22700, 2014: 22250, 2015: 27325, 2016: 27500, 2017: 27200, 2018: 30500</t>
        </is>
      </c>
      <c r="U123" s="33" t="inlineStr">
        <is>
          <t>NYS</t>
        </is>
      </c>
      <c r="V123" s="34" t="inlineStr">
        <is>
          <t>GCO</t>
        </is>
      </c>
      <c r="W123" s="35" t="n">
        <v>1924.0</v>
      </c>
      <c r="X123" s="36" t="inlineStr">
        <is>
          <t/>
        </is>
      </c>
      <c r="Y123" s="37" t="inlineStr">
        <is>
          <t/>
        </is>
      </c>
      <c r="Z123" s="38" t="inlineStr">
        <is>
          <t>News (New) </t>
        </is>
      </c>
      <c r="AA123" s="39" t="n">
        <v>2188.55</v>
      </c>
      <c r="AB123" s="40" t="n">
        <v>1047.06</v>
      </c>
      <c r="AC123" s="41" t="n">
        <v>-51.93</v>
      </c>
      <c r="AD123" s="42" t="n">
        <v>940.66</v>
      </c>
      <c r="AE123" s="43" t="n">
        <v>81.6</v>
      </c>
      <c r="AF123" s="44" t="inlineStr">
        <is>
          <t>FY 2019</t>
        </is>
      </c>
      <c r="AG123" s="45" t="n">
        <v>81.6</v>
      </c>
      <c r="AH123" s="46" t="n">
        <v>833.55</v>
      </c>
      <c r="AI123" s="47" t="n">
        <v>-101.61</v>
      </c>
      <c r="AJ123" s="48" t="inlineStr">
        <is>
          <t>15968-71P</t>
        </is>
      </c>
      <c r="AK123" s="49" t="inlineStr">
        <is>
          <t>Robert Dennis</t>
        </is>
      </c>
      <c r="AL123" s="50" t="inlineStr">
        <is>
          <t>Chairman, President &amp; Chief Executive Officer</t>
        </is>
      </c>
      <c r="AM123" s="51" t="inlineStr">
        <is>
          <t>bdennis@genesco.com</t>
        </is>
      </c>
      <c r="AN123" s="52" t="inlineStr">
        <is>
          <t>+1 (214) 740-3600</t>
        </is>
      </c>
      <c r="AO123" s="53" t="inlineStr">
        <is>
          <t>Nashville, TN</t>
        </is>
      </c>
      <c r="AP123" s="54" t="inlineStr">
        <is>
          <t>1415 Murfreesboro Road</t>
        </is>
      </c>
      <c r="AQ123" s="55" t="inlineStr">
        <is>
          <t>P.O. Box 731</t>
        </is>
      </c>
      <c r="AR123" s="56" t="inlineStr">
        <is>
          <t>Nashville</t>
        </is>
      </c>
      <c r="AS123" s="57" t="inlineStr">
        <is>
          <t>Tennessee</t>
        </is>
      </c>
      <c r="AT123" s="58" t="inlineStr">
        <is>
          <t>37202</t>
        </is>
      </c>
      <c r="AU123" s="59" t="inlineStr">
        <is>
          <t>United States</t>
        </is>
      </c>
      <c r="AV123" s="60" t="inlineStr">
        <is>
          <t>+1 (615) 367-7000</t>
        </is>
      </c>
      <c r="AW123" s="61" t="inlineStr">
        <is>
          <t/>
        </is>
      </c>
      <c r="AX123" s="62" t="inlineStr">
        <is>
          <t>info@genesco.com</t>
        </is>
      </c>
      <c r="AY123" s="63" t="inlineStr">
        <is>
          <t>Americas</t>
        </is>
      </c>
      <c r="AZ123" s="64" t="inlineStr">
        <is>
          <t>North America</t>
        </is>
      </c>
      <c r="BA123" s="65" t="inlineStr">
        <is>
          <t>Envestnet, Ohio Public Employees Retirement System, Quantbot Technologies, Société Générale and PNC acquired a stake in the company for an undisclosed amount in March 2017.</t>
        </is>
      </c>
      <c r="BB123" s="66" t="inlineStr">
        <is>
          <t>Envestnet, Ohio Public Employees Retirement System, PNC, Quantbot Technologies, Société Générale</t>
        </is>
      </c>
      <c r="BC123" s="67" t="n">
        <v>5.0</v>
      </c>
      <c r="BD123" s="68" t="inlineStr">
        <is>
          <t/>
        </is>
      </c>
      <c r="BE123" s="69" t="inlineStr">
        <is>
          <t/>
        </is>
      </c>
      <c r="BF123" s="70" t="inlineStr">
        <is>
          <t/>
        </is>
      </c>
      <c r="BG123" s="71" t="inlineStr">
        <is>
          <t>Envestnet(www.envestnet.com), Ohio Public Employees Retirement System(www.opers.org), PNC(www.pnc.com), Quantbot Technologies(www.quantbot.com), Société Générale(www.societegenerale.com)</t>
        </is>
      </c>
      <c r="BH123" s="72" t="inlineStr">
        <is>
          <t/>
        </is>
      </c>
      <c r="BI123" s="73" t="inlineStr">
        <is>
          <t/>
        </is>
      </c>
      <c r="BJ123" s="74" t="inlineStr">
        <is>
          <t/>
        </is>
      </c>
      <c r="BK123" s="75" t="inlineStr">
        <is>
          <t/>
        </is>
      </c>
      <c r="BL123" s="76" t="n">
        <v>14246.0</v>
      </c>
      <c r="BM123" s="77" t="inlineStr">
        <is>
          <t/>
        </is>
      </c>
      <c r="BN123" s="78" t="inlineStr">
        <is>
          <t/>
        </is>
      </c>
      <c r="BO123" s="79" t="inlineStr">
        <is>
          <t/>
        </is>
      </c>
      <c r="BP123" s="80" t="inlineStr">
        <is>
          <t/>
        </is>
      </c>
      <c r="BQ123" s="81" t="inlineStr">
        <is>
          <t>IPO</t>
        </is>
      </c>
      <c r="BR123" s="82" t="inlineStr">
        <is>
          <t/>
        </is>
      </c>
      <c r="BS123" s="83" t="inlineStr">
        <is>
          <t/>
        </is>
      </c>
      <c r="BT123" s="84" t="inlineStr">
        <is>
          <t>Public Investment</t>
        </is>
      </c>
      <c r="BU123" s="85" t="inlineStr">
        <is>
          <t/>
        </is>
      </c>
      <c r="BV123" s="86" t="inlineStr">
        <is>
          <t/>
        </is>
      </c>
      <c r="BW123" s="87" t="inlineStr">
        <is>
          <t/>
        </is>
      </c>
      <c r="BX123" s="88" t="inlineStr">
        <is>
          <t>Completed</t>
        </is>
      </c>
      <c r="BY123" s="89" t="n">
        <v>42795.0</v>
      </c>
      <c r="BZ123" s="90" t="inlineStr">
        <is>
          <t/>
        </is>
      </c>
      <c r="CA123" s="91" t="inlineStr">
        <is>
          <t/>
        </is>
      </c>
      <c r="CB123" s="92" t="inlineStr">
        <is>
          <t/>
        </is>
      </c>
      <c r="CC123" s="93" t="inlineStr">
        <is>
          <t/>
        </is>
      </c>
      <c r="CD123" s="94" t="inlineStr">
        <is>
          <t>Secondary Transaction - Private</t>
        </is>
      </c>
      <c r="CE123" s="95" t="inlineStr">
        <is>
          <t/>
        </is>
      </c>
      <c r="CF123" s="96" t="inlineStr">
        <is>
          <t/>
        </is>
      </c>
      <c r="CG123" s="97" t="inlineStr">
        <is>
          <t/>
        </is>
      </c>
      <c r="CH123" s="98" t="inlineStr">
        <is>
          <t/>
        </is>
      </c>
      <c r="CI123" s="99" t="inlineStr">
        <is>
          <t/>
        </is>
      </c>
      <c r="CJ123" s="100" t="inlineStr">
        <is>
          <t/>
        </is>
      </c>
      <c r="CK123" s="101" t="inlineStr">
        <is>
          <t>Completed</t>
        </is>
      </c>
      <c r="CL123" s="102" t="inlineStr">
        <is>
          <t/>
        </is>
      </c>
      <c r="CM123" s="103" t="inlineStr">
        <is>
          <t/>
        </is>
      </c>
      <c r="CN123" s="104" t="n">
        <v>0.93</v>
      </c>
      <c r="CO123" s="105" t="n">
        <v>97.0</v>
      </c>
      <c r="CP123" s="106" t="n">
        <v>0.0</v>
      </c>
      <c r="CQ123" s="107" t="n">
        <v>0.0</v>
      </c>
      <c r="CR123" s="108" t="n">
        <v>1.86</v>
      </c>
      <c r="CS123" s="109" t="n">
        <v>99.0</v>
      </c>
      <c r="CT123" s="110" t="n">
        <v>0.0</v>
      </c>
      <c r="CU123" s="111" t="n">
        <v>27.0</v>
      </c>
      <c r="CV123" s="112" t="n">
        <v>3.71</v>
      </c>
      <c r="CW123" s="113" t="n">
        <v>95.0</v>
      </c>
      <c r="CX123" s="114" t="n">
        <v>0.0</v>
      </c>
      <c r="CY123" s="115" t="n">
        <v>11.0</v>
      </c>
      <c r="CZ123" s="116" t="n">
        <v>0.0</v>
      </c>
      <c r="DA123" s="117" t="n">
        <v>28.0</v>
      </c>
      <c r="DB123" s="118" t="n">
        <v>11.64</v>
      </c>
      <c r="DC123" s="119" t="n">
        <v>91.0</v>
      </c>
      <c r="DD123" s="120" t="n">
        <v>1.92</v>
      </c>
      <c r="DE123" s="121" t="n">
        <v>19.72</v>
      </c>
      <c r="DF123" s="122" t="n">
        <v>23.05</v>
      </c>
      <c r="DG123" s="123" t="n">
        <v>95.0</v>
      </c>
      <c r="DH123" s="124" t="n">
        <v>0.23</v>
      </c>
      <c r="DI123" s="125" t="n">
        <v>25.0</v>
      </c>
      <c r="DJ123" s="126" t="n">
        <v>14.65</v>
      </c>
      <c r="DK123" s="127" t="n">
        <v>89.0</v>
      </c>
      <c r="DL123" s="128" t="n">
        <v>31.44</v>
      </c>
      <c r="DM123" s="129" t="n">
        <v>96.0</v>
      </c>
      <c r="DN123" s="130" t="n">
        <v>0.23</v>
      </c>
      <c r="DO123" s="131" t="n">
        <v>26.0</v>
      </c>
      <c r="DP123" s="132" t="n">
        <v>10454.0</v>
      </c>
      <c r="DQ123" s="133" t="n">
        <v>-73.0</v>
      </c>
      <c r="DR123" s="134" t="n">
        <v>-0.69</v>
      </c>
      <c r="DS123" s="135" t="n">
        <v>1069.0</v>
      </c>
      <c r="DT123" s="136" t="n">
        <v>2.0</v>
      </c>
      <c r="DU123" s="137" t="n">
        <v>0.19</v>
      </c>
      <c r="DV123" s="138" t="n">
        <v>82.0</v>
      </c>
      <c r="DW123" s="139" t="n">
        <v>0.0</v>
      </c>
      <c r="DX123" s="140" t="n">
        <v>0.0</v>
      </c>
      <c r="DY123" s="141" t="inlineStr">
        <is>
          <t>PitchBook Research</t>
        </is>
      </c>
      <c r="DZ123" s="142" t="n">
        <v>43549.0</v>
      </c>
      <c r="EA123" s="143" t="inlineStr">
        <is>
          <t/>
        </is>
      </c>
      <c r="EB123" s="144" t="inlineStr">
        <is>
          <t/>
        </is>
      </c>
      <c r="EC123" s="145" t="inlineStr">
        <is>
          <t/>
        </is>
      </c>
      <c r="ED123" s="547">
        <f>HYPERLINK("https://my.pitchbook.com?c=10820-62", "View company online")</f>
      </c>
    </row>
    <row r="124">
      <c r="A124" s="147" t="inlineStr">
        <is>
          <t>59617-18</t>
        </is>
      </c>
      <c r="B124" s="148" t="inlineStr">
        <is>
          <t>Onward Holdings (TKS: 8016)</t>
        </is>
      </c>
      <c r="C124" s="149" t="inlineStr">
        <is>
          <t/>
        </is>
      </c>
      <c r="D124" s="150" t="inlineStr">
        <is>
          <t/>
        </is>
      </c>
      <c r="E124" s="151" t="inlineStr">
        <is>
          <t>59617-18</t>
        </is>
      </c>
      <c r="F124" s="152" t="inlineStr">
        <is>
          <t>Onward Holdings Co Ltd manufactures and sells clothing, shoes, uniforms, bags, and other items. Women's clothing sales account for the majority of Onward's apparel revenue. The company's core brands include Nijyusanku, Kumikyoku, ICB, Jiyuku, J.Press, and Gotairiku. More than three fourths of Onward's sales are through department stores. Remaining sales are through other retailers, directly managed stores, and e-commerce. More than three fourths of Onward's sales are in Japan, and most of the company's remaining sales are in Europe. The company manufactures its products primarily in China.</t>
        </is>
      </c>
      <c r="G124" s="153" t="inlineStr">
        <is>
          <t>Consumer Products and Services (B2C)</t>
        </is>
      </c>
      <c r="H124" s="154" t="inlineStr">
        <is>
          <t>Apparel and Accessories</t>
        </is>
      </c>
      <c r="I124" s="155" t="inlineStr">
        <is>
          <t>Accessories</t>
        </is>
      </c>
      <c r="J124" s="156" t="inlineStr">
        <is>
          <t>Accessories*</t>
        </is>
      </c>
      <c r="K124" s="157" t="inlineStr">
        <is>
          <t/>
        </is>
      </c>
      <c r="L124" s="158" t="inlineStr">
        <is>
          <t/>
        </is>
      </c>
      <c r="M124" s="159" t="inlineStr">
        <is>
          <t>Corporation</t>
        </is>
      </c>
      <c r="N124" s="160" t="inlineStr">
        <is>
          <t/>
        </is>
      </c>
      <c r="O124" s="161" t="inlineStr">
        <is>
          <t>Profitable</t>
        </is>
      </c>
      <c r="P124" s="162" t="inlineStr">
        <is>
          <t>Publicly Held</t>
        </is>
      </c>
      <c r="Q124" s="163" t="inlineStr">
        <is>
          <t>Publicly Listed</t>
        </is>
      </c>
      <c r="R124" s="164" t="inlineStr">
        <is>
          <t>www.onward-hd.co.jp</t>
        </is>
      </c>
      <c r="S124" s="165" t="n">
        <v>13689.0</v>
      </c>
      <c r="T124" s="166" t="inlineStr">
        <is>
          <t>2006: 2653, 2007: 2614, 2008: 2469, 2009: 2473, 2010: 4008, 2011: 3964, 2012: 3993, 2013: 17211, 2014: 17204, 2015: 16631, 2016: 15958, 2017: 13978, 2018: 13689</t>
        </is>
      </c>
      <c r="U124" s="167" t="inlineStr">
        <is>
          <t>TKS</t>
        </is>
      </c>
      <c r="V124" s="168" t="inlineStr">
        <is>
          <t>8016</t>
        </is>
      </c>
      <c r="W124" s="169" t="inlineStr">
        <is>
          <t/>
        </is>
      </c>
      <c r="X124" s="170" t="inlineStr">
        <is>
          <t/>
        </is>
      </c>
      <c r="Y124" s="171" t="inlineStr">
        <is>
          <t/>
        </is>
      </c>
      <c r="Z124" s="172" t="inlineStr">
        <is>
          <t/>
        </is>
      </c>
      <c r="AA124" s="173" t="n">
        <v>2180.25</v>
      </c>
      <c r="AB124" s="174" t="n">
        <v>1007.14</v>
      </c>
      <c r="AC124" s="175" t="n">
        <v>26.04</v>
      </c>
      <c r="AD124" s="176" t="n">
        <v>1102.45</v>
      </c>
      <c r="AE124" s="177" t="n">
        <v>115.05</v>
      </c>
      <c r="AF124" s="178" t="inlineStr">
        <is>
          <t>TTM 3Q2019</t>
        </is>
      </c>
      <c r="AG124" s="179" t="n">
        <v>45.07</v>
      </c>
      <c r="AH124" s="180" t="n">
        <v>714.13</v>
      </c>
      <c r="AI124" s="181" t="n">
        <v>233.01</v>
      </c>
      <c r="AJ124" s="182" t="inlineStr">
        <is>
          <t/>
        </is>
      </c>
      <c r="AK124" s="183" t="inlineStr">
        <is>
          <t/>
        </is>
      </c>
      <c r="AL124" s="184" t="inlineStr">
        <is>
          <t/>
        </is>
      </c>
      <c r="AM124" s="185" t="inlineStr">
        <is>
          <t/>
        </is>
      </c>
      <c r="AN124" s="186" t="inlineStr">
        <is>
          <t/>
        </is>
      </c>
      <c r="AO124" s="187" t="inlineStr">
        <is>
          <t>Tokyo, Japan</t>
        </is>
      </c>
      <c r="AP124" s="188" t="inlineStr">
        <is>
          <t>Toda Building</t>
        </is>
      </c>
      <c r="AQ124" s="189" t="inlineStr">
        <is>
          <t>7-1, Kyobashi 1-chome, Chuo-ku</t>
        </is>
      </c>
      <c r="AR124" s="190" t="inlineStr">
        <is>
          <t>Tokyo</t>
        </is>
      </c>
      <c r="AS124" s="191" t="inlineStr">
        <is>
          <t/>
        </is>
      </c>
      <c r="AT124" s="192" t="inlineStr">
        <is>
          <t>104-8329</t>
        </is>
      </c>
      <c r="AU124" s="193" t="inlineStr">
        <is>
          <t>Japan</t>
        </is>
      </c>
      <c r="AV124" s="194" t="inlineStr">
        <is>
          <t>+81 (0)34 512 1020</t>
        </is>
      </c>
      <c r="AW124" s="195" t="inlineStr">
        <is>
          <t>+81 (0)34 512 1021</t>
        </is>
      </c>
      <c r="AX124" s="196" t="inlineStr">
        <is>
          <t/>
        </is>
      </c>
      <c r="AY124" s="197" t="inlineStr">
        <is>
          <t>Asia</t>
        </is>
      </c>
      <c r="AZ124" s="198" t="inlineStr">
        <is>
          <t>East Asia</t>
        </is>
      </c>
      <c r="BA124" s="199" t="inlineStr">
        <is>
          <t/>
        </is>
      </c>
      <c r="BB124" s="200" t="inlineStr">
        <is>
          <t/>
        </is>
      </c>
      <c r="BC124" s="201" t="inlineStr">
        <is>
          <t/>
        </is>
      </c>
      <c r="BD124" s="202" t="inlineStr">
        <is>
          <t/>
        </is>
      </c>
      <c r="BE124" s="203" t="inlineStr">
        <is>
          <t/>
        </is>
      </c>
      <c r="BF124" s="204" t="inlineStr">
        <is>
          <t/>
        </is>
      </c>
      <c r="BG124" s="205" t="inlineStr">
        <is>
          <t/>
        </is>
      </c>
      <c r="BH124" s="206" t="inlineStr">
        <is>
          <t/>
        </is>
      </c>
      <c r="BI124" s="207" t="inlineStr">
        <is>
          <t/>
        </is>
      </c>
      <c r="BJ124" s="208" t="inlineStr">
        <is>
          <t/>
        </is>
      </c>
      <c r="BK124" s="209" t="inlineStr">
        <is>
          <t/>
        </is>
      </c>
      <c r="BL124" s="210" t="inlineStr">
        <is>
          <t/>
        </is>
      </c>
      <c r="BM124" s="211" t="inlineStr">
        <is>
          <t/>
        </is>
      </c>
      <c r="BN124" s="212" t="inlineStr">
        <is>
          <t/>
        </is>
      </c>
      <c r="BO124" s="213" t="inlineStr">
        <is>
          <t/>
        </is>
      </c>
      <c r="BP124" s="214" t="inlineStr">
        <is>
          <t/>
        </is>
      </c>
      <c r="BQ124" s="215" t="inlineStr">
        <is>
          <t/>
        </is>
      </c>
      <c r="BR124" s="216" t="inlineStr">
        <is>
          <t/>
        </is>
      </c>
      <c r="BS124" s="217" t="inlineStr">
        <is>
          <t/>
        </is>
      </c>
      <c r="BT124" s="218" t="inlineStr">
        <is>
          <t/>
        </is>
      </c>
      <c r="BU124" s="219" t="inlineStr">
        <is>
          <t/>
        </is>
      </c>
      <c r="BV124" s="220" t="inlineStr">
        <is>
          <t/>
        </is>
      </c>
      <c r="BW124" s="221" t="inlineStr">
        <is>
          <t/>
        </is>
      </c>
      <c r="BX124" s="222" t="inlineStr">
        <is>
          <t/>
        </is>
      </c>
      <c r="BY124" s="223" t="inlineStr">
        <is>
          <t/>
        </is>
      </c>
      <c r="BZ124" s="224" t="inlineStr">
        <is>
          <t/>
        </is>
      </c>
      <c r="CA124" s="225" t="inlineStr">
        <is>
          <t/>
        </is>
      </c>
      <c r="CB124" s="226" t="inlineStr">
        <is>
          <t/>
        </is>
      </c>
      <c r="CC124" s="227" t="inlineStr">
        <is>
          <t/>
        </is>
      </c>
      <c r="CD124" s="228" t="inlineStr">
        <is>
          <t/>
        </is>
      </c>
      <c r="CE124" s="229" t="inlineStr">
        <is>
          <t/>
        </is>
      </c>
      <c r="CF124" s="230" t="inlineStr">
        <is>
          <t/>
        </is>
      </c>
      <c r="CG124" s="231" t="inlineStr">
        <is>
          <t/>
        </is>
      </c>
      <c r="CH124" s="232" t="inlineStr">
        <is>
          <t/>
        </is>
      </c>
      <c r="CI124" s="233" t="inlineStr">
        <is>
          <t/>
        </is>
      </c>
      <c r="CJ124" s="234" t="inlineStr">
        <is>
          <t/>
        </is>
      </c>
      <c r="CK124" s="235" t="inlineStr">
        <is>
          <t/>
        </is>
      </c>
      <c r="CL124" s="236" t="inlineStr">
        <is>
          <t/>
        </is>
      </c>
      <c r="CM124" s="237" t="inlineStr">
        <is>
          <t/>
        </is>
      </c>
      <c r="CN124" s="238" t="n">
        <v>-2.26</v>
      </c>
      <c r="CO124" s="239" t="n">
        <v>2.0</v>
      </c>
      <c r="CP124" s="240" t="n">
        <v>0.01</v>
      </c>
      <c r="CQ124" s="241" t="n">
        <v>0.54</v>
      </c>
      <c r="CR124" s="242" t="n">
        <v>-2.26</v>
      </c>
      <c r="CS124" s="243" t="n">
        <v>3.0</v>
      </c>
      <c r="CT124" s="244" t="inlineStr">
        <is>
          <t/>
        </is>
      </c>
      <c r="CU124" s="245" t="inlineStr">
        <is>
          <t/>
        </is>
      </c>
      <c r="CV124" s="246" t="inlineStr">
        <is>
          <t/>
        </is>
      </c>
      <c r="CW124" s="247" t="inlineStr">
        <is>
          <t/>
        </is>
      </c>
      <c r="CX124" s="248" t="n">
        <v>-2.26</v>
      </c>
      <c r="CY124" s="249" t="n">
        <v>2.0</v>
      </c>
      <c r="CZ124" s="250" t="inlineStr">
        <is>
          <t/>
        </is>
      </c>
      <c r="DA124" s="251" t="inlineStr">
        <is>
          <t/>
        </is>
      </c>
      <c r="DB124" s="252" t="n">
        <v>14.68</v>
      </c>
      <c r="DC124" s="253" t="n">
        <v>93.0</v>
      </c>
      <c r="DD124" s="254" t="n">
        <v>3.54</v>
      </c>
      <c r="DE124" s="255" t="n">
        <v>31.82</v>
      </c>
      <c r="DF124" s="256" t="n">
        <v>14.68</v>
      </c>
      <c r="DG124" s="257" t="n">
        <v>92.0</v>
      </c>
      <c r="DH124" s="258" t="inlineStr">
        <is>
          <t/>
        </is>
      </c>
      <c r="DI124" s="259" t="inlineStr">
        <is>
          <t/>
        </is>
      </c>
      <c r="DJ124" s="260" t="inlineStr">
        <is>
          <t/>
        </is>
      </c>
      <c r="DK124" s="261" t="inlineStr">
        <is>
          <t/>
        </is>
      </c>
      <c r="DL124" s="262" t="n">
        <v>14.68</v>
      </c>
      <c r="DM124" s="263" t="n">
        <v>91.0</v>
      </c>
      <c r="DN124" s="264" t="inlineStr">
        <is>
          <t/>
        </is>
      </c>
      <c r="DO124" s="265" t="inlineStr">
        <is>
          <t/>
        </is>
      </c>
      <c r="DP124" s="266" t="inlineStr">
        <is>
          <t/>
        </is>
      </c>
      <c r="DQ124" s="267" t="inlineStr">
        <is>
          <t/>
        </is>
      </c>
      <c r="DR124" s="268" t="inlineStr">
        <is>
          <t/>
        </is>
      </c>
      <c r="DS124" s="269" t="n">
        <v>499.0</v>
      </c>
      <c r="DT124" s="270" t="n">
        <v>-2.0</v>
      </c>
      <c r="DU124" s="271" t="n">
        <v>-0.4</v>
      </c>
      <c r="DV124" s="272" t="inlineStr">
        <is>
          <t/>
        </is>
      </c>
      <c r="DW124" s="273" t="inlineStr">
        <is>
          <t/>
        </is>
      </c>
      <c r="DX124" s="274" t="inlineStr">
        <is>
          <t/>
        </is>
      </c>
      <c r="DY124" s="275" t="inlineStr">
        <is>
          <t>PitchBook Research</t>
        </is>
      </c>
      <c r="DZ124" s="276" t="n">
        <v>43508.0</v>
      </c>
      <c r="EA124" s="277" t="inlineStr">
        <is>
          <t/>
        </is>
      </c>
      <c r="EB124" s="278" t="inlineStr">
        <is>
          <t/>
        </is>
      </c>
      <c r="EC124" s="279" t="inlineStr">
        <is>
          <t/>
        </is>
      </c>
      <c r="ED124" s="548">
        <f>HYPERLINK("https://my.pitchbook.com?c=59617-18", "View company online")</f>
      </c>
    </row>
    <row r="125">
      <c r="A125" s="13" t="inlineStr">
        <is>
          <t>41047-57</t>
        </is>
      </c>
      <c r="B125" s="14" t="inlineStr">
        <is>
          <t>Chico's FAS (NYS: CHS)</t>
        </is>
      </c>
      <c r="C125" s="15" t="inlineStr">
        <is>
          <t/>
        </is>
      </c>
      <c r="D125" s="16" t="inlineStr">
        <is>
          <t>Chico's</t>
        </is>
      </c>
      <c r="E125" s="17" t="inlineStr">
        <is>
          <t>41047-57</t>
        </is>
      </c>
      <c r="F125" s="18" t="inlineStr">
        <is>
          <t>Chico's FAS Inc is an apparel retailer with a portfolio of private-label brands that sell women's clothing and accessories. Brands include Chico's, White House/Black Market, and Soma Intimates. The brands generally target women over 35 years old with moderate to high-income levels. It sells directly to the consumer through its retail stores, websites, and telephone call centers. The company sources most of its product from foreign manufacturers and distributes all products from its distribution center in Georgia.</t>
        </is>
      </c>
      <c r="G125" s="19" t="inlineStr">
        <is>
          <t>Consumer Products and Services (B2C)</t>
        </is>
      </c>
      <c r="H125" s="20" t="inlineStr">
        <is>
          <t>Retail</t>
        </is>
      </c>
      <c r="I125" s="21" t="inlineStr">
        <is>
          <t>Specialty Retail</t>
        </is>
      </c>
      <c r="J125" s="22" t="inlineStr">
        <is>
          <t>Accessories, Clothing, Specialty Retail*</t>
        </is>
      </c>
      <c r="K125" s="23" t="inlineStr">
        <is>
          <t/>
        </is>
      </c>
      <c r="L125" s="24" t="inlineStr">
        <is>
          <t>accessories retail, fashion apparel, women's apparel, women's retail</t>
        </is>
      </c>
      <c r="M125" s="25" t="inlineStr">
        <is>
          <t>Corporation</t>
        </is>
      </c>
      <c r="N125" s="26" t="n">
        <v>34.0</v>
      </c>
      <c r="O125" s="27" t="inlineStr">
        <is>
          <t>Profitable</t>
        </is>
      </c>
      <c r="P125" s="28" t="inlineStr">
        <is>
          <t>Publicly Held</t>
        </is>
      </c>
      <c r="Q125" s="29" t="inlineStr">
        <is>
          <t>Private Equity, Publicly Listed</t>
        </is>
      </c>
      <c r="R125" s="30" t="inlineStr">
        <is>
          <t>www.chicosfas.com</t>
        </is>
      </c>
      <c r="S125" s="31" t="n">
        <v>18500.0</v>
      </c>
      <c r="T125" s="32" t="inlineStr">
        <is>
          <t>1992: 490, 1993: 475, 1994: 459, 1995: 459, 1997: 488, 1998: 600, 1999: 660, 2000: 1835, 2001: 2750, 2002: 2750, 2003: 4600, 2004: 7100, 2005: 8800, 2006: 16940, 2007: 12500, 2008: 14300, 2009: 14460, 2010: 16200, 2011: 18900, 2012: 19800, 2013: 22100, 2014: 23700, 2015: 23800, 2016: 22700, 2017: 21000, 2018: 19000, 2019: 18500</t>
        </is>
      </c>
      <c r="U125" s="33" t="inlineStr">
        <is>
          <t>NYS</t>
        </is>
      </c>
      <c r="V125" s="34" t="inlineStr">
        <is>
          <t>CHS</t>
        </is>
      </c>
      <c r="W125" s="35" t="n">
        <v>1983.0</v>
      </c>
      <c r="X125" s="36" t="inlineStr">
        <is>
          <t/>
        </is>
      </c>
      <c r="Y125" s="37" t="inlineStr">
        <is>
          <t/>
        </is>
      </c>
      <c r="Z125" s="38" t="inlineStr">
        <is>
          <t>News (New) , Filing (New) </t>
        </is>
      </c>
      <c r="AA125" s="39" t="n">
        <v>2131.14</v>
      </c>
      <c r="AB125" s="40" t="n">
        <v>763.41</v>
      </c>
      <c r="AC125" s="41" t="n">
        <v>35.61</v>
      </c>
      <c r="AD125" s="42" t="n">
        <v>561.65</v>
      </c>
      <c r="AE125" s="43" t="n">
        <v>135.0</v>
      </c>
      <c r="AF125" s="44" t="inlineStr">
        <is>
          <t>FY 2019</t>
        </is>
      </c>
      <c r="AG125" s="45" t="n">
        <v>43.67</v>
      </c>
      <c r="AH125" s="46" t="n">
        <v>492.78</v>
      </c>
      <c r="AI125" s="47" t="n">
        <v>-128.61</v>
      </c>
      <c r="AJ125" s="48" t="inlineStr">
        <is>
          <t>69353-11P</t>
        </is>
      </c>
      <c r="AK125" s="49" t="inlineStr">
        <is>
          <t>Kent Kleeberger</t>
        </is>
      </c>
      <c r="AL125" s="50" t="inlineStr">
        <is>
          <t>Chief Operating Officer &amp; Executive Vice President</t>
        </is>
      </c>
      <c r="AM125" s="51" t="inlineStr">
        <is>
          <t>kent.kleeberger@chicos.com</t>
        </is>
      </c>
      <c r="AN125" s="52" t="inlineStr">
        <is>
          <t>+1 (239) 277-6200</t>
        </is>
      </c>
      <c r="AO125" s="53" t="inlineStr">
        <is>
          <t>Fort Myers, FL</t>
        </is>
      </c>
      <c r="AP125" s="54" t="inlineStr">
        <is>
          <t>11215 Metro Parkway</t>
        </is>
      </c>
      <c r="AQ125" s="55" t="inlineStr">
        <is>
          <t/>
        </is>
      </c>
      <c r="AR125" s="56" t="inlineStr">
        <is>
          <t>Fort Myers</t>
        </is>
      </c>
      <c r="AS125" s="57" t="inlineStr">
        <is>
          <t>Florida</t>
        </is>
      </c>
      <c r="AT125" s="58" t="inlineStr">
        <is>
          <t>33966</t>
        </is>
      </c>
      <c r="AU125" s="59" t="inlineStr">
        <is>
          <t>United States</t>
        </is>
      </c>
      <c r="AV125" s="60" t="inlineStr">
        <is>
          <t>+1 (239) 277-6200</t>
        </is>
      </c>
      <c r="AW125" s="61" t="inlineStr">
        <is>
          <t/>
        </is>
      </c>
      <c r="AX125" s="62" t="inlineStr">
        <is>
          <t/>
        </is>
      </c>
      <c r="AY125" s="63" t="inlineStr">
        <is>
          <t>Americas</t>
        </is>
      </c>
      <c r="AZ125" s="64" t="inlineStr">
        <is>
          <t>North America</t>
        </is>
      </c>
      <c r="BA125" s="65" t="inlineStr">
        <is>
          <t>Existing shareholders sold stake in the company (NYS: CHS) for an undisclosed amount. The company will not receive any proceeds from the offering.</t>
        </is>
      </c>
      <c r="BB125" s="66" t="inlineStr">
        <is>
          <t/>
        </is>
      </c>
      <c r="BC125" s="67" t="inlineStr">
        <is>
          <t/>
        </is>
      </c>
      <c r="BD125" s="68" t="inlineStr">
        <is>
          <t/>
        </is>
      </c>
      <c r="BE125" s="69" t="inlineStr">
        <is>
          <t>Barington Capital Group, Leonard Green &amp; Partners</t>
        </is>
      </c>
      <c r="BF125" s="70" t="inlineStr">
        <is>
          <t>Sycamore Partners Management</t>
        </is>
      </c>
      <c r="BG125" s="71" t="inlineStr">
        <is>
          <t/>
        </is>
      </c>
      <c r="BH125" s="72" t="inlineStr">
        <is>
          <t>Barington Capital Group(www.barington.com), Leonard Green &amp; Partners(www.leonardgreen.com)</t>
        </is>
      </c>
      <c r="BI125" s="73" t="inlineStr">
        <is>
          <t>Sycamore Partners Management(www.sycamorepartners.com)</t>
        </is>
      </c>
      <c r="BJ125" s="74" t="inlineStr">
        <is>
          <t>Herbert Mines Associates(Placement Agent), Odeon Capital Group(Advisor: General), Telsey Advisory Group(Advisor: General), The Brownestone Group(Consulting)</t>
        </is>
      </c>
      <c r="BK125" s="75" t="inlineStr">
        <is>
          <t>Paul, Weiss, Rifkind, Wharton &amp; Garrison(Legal Advisor), PJ SOLOMON(Advisor: General)</t>
        </is>
      </c>
      <c r="BL125" s="76" t="n">
        <v>34052.0</v>
      </c>
      <c r="BM125" s="77" t="inlineStr">
        <is>
          <t/>
        </is>
      </c>
      <c r="BN125" s="78" t="inlineStr">
        <is>
          <t/>
        </is>
      </c>
      <c r="BO125" s="79" t="inlineStr">
        <is>
          <t/>
        </is>
      </c>
      <c r="BP125" s="80" t="inlineStr">
        <is>
          <t/>
        </is>
      </c>
      <c r="BQ125" s="81" t="inlineStr">
        <is>
          <t>IPO</t>
        </is>
      </c>
      <c r="BR125" s="82" t="inlineStr">
        <is>
          <t/>
        </is>
      </c>
      <c r="BS125" s="83" t="inlineStr">
        <is>
          <t/>
        </is>
      </c>
      <c r="BT125" s="84" t="inlineStr">
        <is>
          <t>Public Investment</t>
        </is>
      </c>
      <c r="BU125" s="85" t="inlineStr">
        <is>
          <t/>
        </is>
      </c>
      <c r="BV125" s="86" t="inlineStr">
        <is>
          <t/>
        </is>
      </c>
      <c r="BW125" s="87" t="inlineStr">
        <is>
          <t/>
        </is>
      </c>
      <c r="BX125" s="88" t="inlineStr">
        <is>
          <t>Completed</t>
        </is>
      </c>
      <c r="BY125" s="89" t="inlineStr">
        <is>
          <t/>
        </is>
      </c>
      <c r="BZ125" s="90" t="inlineStr">
        <is>
          <t/>
        </is>
      </c>
      <c r="CA125" s="91" t="inlineStr">
        <is>
          <t/>
        </is>
      </c>
      <c r="CB125" s="92" t="inlineStr">
        <is>
          <t/>
        </is>
      </c>
      <c r="CC125" s="93" t="inlineStr">
        <is>
          <t/>
        </is>
      </c>
      <c r="CD125" s="94" t="inlineStr">
        <is>
          <t>Secondary Transaction - Open Market</t>
        </is>
      </c>
      <c r="CE125" s="95" t="inlineStr">
        <is>
          <t/>
        </is>
      </c>
      <c r="CF125" s="96" t="inlineStr">
        <is>
          <t/>
        </is>
      </c>
      <c r="CG125" s="97" t="inlineStr">
        <is>
          <t>Private Equity</t>
        </is>
      </c>
      <c r="CH125" s="98" t="inlineStr">
        <is>
          <t/>
        </is>
      </c>
      <c r="CI125" s="99" t="inlineStr">
        <is>
          <t/>
        </is>
      </c>
      <c r="CJ125" s="100" t="inlineStr">
        <is>
          <t/>
        </is>
      </c>
      <c r="CK125" s="101" t="inlineStr">
        <is>
          <t>Completed</t>
        </is>
      </c>
      <c r="CL125" s="102" t="inlineStr">
        <is>
          <t/>
        </is>
      </c>
      <c r="CM125" s="103" t="inlineStr">
        <is>
          <t/>
        </is>
      </c>
      <c r="CN125" s="104" t="n">
        <v>-0.02</v>
      </c>
      <c r="CO125" s="105" t="n">
        <v>16.0</v>
      </c>
      <c r="CP125" s="106" t="n">
        <v>-0.01</v>
      </c>
      <c r="CQ125" s="107" t="n">
        <v>-89.93</v>
      </c>
      <c r="CR125" s="108" t="n">
        <v>0.0</v>
      </c>
      <c r="CS125" s="109" t="n">
        <v>14.0</v>
      </c>
      <c r="CT125" s="110" t="n">
        <v>-0.04</v>
      </c>
      <c r="CU125" s="111" t="n">
        <v>17.0</v>
      </c>
      <c r="CV125" s="112" t="inlineStr">
        <is>
          <t/>
        </is>
      </c>
      <c r="CW125" s="113" t="inlineStr">
        <is>
          <t/>
        </is>
      </c>
      <c r="CX125" s="114" t="n">
        <v>0.0</v>
      </c>
      <c r="CY125" s="115" t="n">
        <v>11.0</v>
      </c>
      <c r="CZ125" s="116" t="n">
        <v>-0.04</v>
      </c>
      <c r="DA125" s="117" t="n">
        <v>21.0</v>
      </c>
      <c r="DB125" s="118" t="n">
        <v>62.65</v>
      </c>
      <c r="DC125" s="119" t="n">
        <v>99.0</v>
      </c>
      <c r="DD125" s="120" t="n">
        <v>-315.34</v>
      </c>
      <c r="DE125" s="121" t="n">
        <v>-83.43</v>
      </c>
      <c r="DF125" s="122" t="n">
        <v>0.03</v>
      </c>
      <c r="DG125" s="123" t="n">
        <v>1.0</v>
      </c>
      <c r="DH125" s="124" t="n">
        <v>125.27</v>
      </c>
      <c r="DI125" s="125" t="n">
        <v>98.0</v>
      </c>
      <c r="DJ125" s="126" t="inlineStr">
        <is>
          <t/>
        </is>
      </c>
      <c r="DK125" s="127" t="inlineStr">
        <is>
          <t/>
        </is>
      </c>
      <c r="DL125" s="128" t="n">
        <v>0.03</v>
      </c>
      <c r="DM125" s="129" t="n">
        <v>1.0</v>
      </c>
      <c r="DN125" s="130" t="n">
        <v>125.27</v>
      </c>
      <c r="DO125" s="131" t="n">
        <v>98.0</v>
      </c>
      <c r="DP125" s="132" t="inlineStr">
        <is>
          <t/>
        </is>
      </c>
      <c r="DQ125" s="133" t="inlineStr">
        <is>
          <t/>
        </is>
      </c>
      <c r="DR125" s="134" t="inlineStr">
        <is>
          <t/>
        </is>
      </c>
      <c r="DS125" s="135" t="n">
        <v>1.0</v>
      </c>
      <c r="DT125" s="136" t="n">
        <v>0.0</v>
      </c>
      <c r="DU125" s="137" t="n">
        <v>0.0</v>
      </c>
      <c r="DV125" s="138" t="n">
        <v>44978.0</v>
      </c>
      <c r="DW125" s="139" t="n">
        <v>-31.0</v>
      </c>
      <c r="DX125" s="140" t="n">
        <v>-0.07</v>
      </c>
      <c r="DY125" s="141" t="inlineStr">
        <is>
          <t>PitchBook Research</t>
        </is>
      </c>
      <c r="DZ125" s="142" t="n">
        <v>43545.0</v>
      </c>
      <c r="EA125" s="143" t="n">
        <v>3000.0</v>
      </c>
      <c r="EB125" s="144" t="n">
        <v>42305.0</v>
      </c>
      <c r="EC125" s="145" t="inlineStr">
        <is>
          <t>Buyout/LBO</t>
        </is>
      </c>
      <c r="ED125" s="547">
        <f>HYPERLINK("https://my.pitchbook.com?c=41047-57", "View company online")</f>
      </c>
    </row>
    <row r="126">
      <c r="A126" s="147" t="inlineStr">
        <is>
          <t>10395-73</t>
        </is>
      </c>
      <c r="B126" s="148" t="inlineStr">
        <is>
          <t>Express (NYS: EXPR)</t>
        </is>
      </c>
      <c r="C126" s="149" t="inlineStr">
        <is>
          <t>Express Parent LLC</t>
        </is>
      </c>
      <c r="D126" s="150" t="inlineStr">
        <is>
          <t>Express Stores/Limited Brands</t>
        </is>
      </c>
      <c r="E126" s="151" t="inlineStr">
        <is>
          <t>10395-73</t>
        </is>
      </c>
      <c r="F126" s="152" t="inlineStr">
        <is>
          <t>Express, Inc. is a United States based specialty apparel retailer. It offers apparel and accessories for work, casual, jeanswear, and going-out. The company also sell the products through its e-commerce website and mobile app, as well as through franchisees who operate company locations in Latin America pursuant to the franchise agreements. It derives revenue from the sales of apparel, accessories and other products, of which a majority of the revenue from the sale of apparel.</t>
        </is>
      </c>
      <c r="G126" s="153" t="inlineStr">
        <is>
          <t>Consumer Products and Services (B2C)</t>
        </is>
      </c>
      <c r="H126" s="154" t="inlineStr">
        <is>
          <t>Retail</t>
        </is>
      </c>
      <c r="I126" s="155" t="inlineStr">
        <is>
          <t>Specialty Retail</t>
        </is>
      </c>
      <c r="J126" s="156" t="inlineStr">
        <is>
          <t>Accessories, Clothing, Specialty Retail*</t>
        </is>
      </c>
      <c r="K126" s="157" t="inlineStr">
        <is>
          <t/>
        </is>
      </c>
      <c r="L126" s="158" t="inlineStr">
        <is>
          <t>apparel retailer, denim, mens apparel, mens clothing, womens apparel, womens clothing</t>
        </is>
      </c>
      <c r="M126" s="159" t="inlineStr">
        <is>
          <t>Formerly PE-Backed</t>
        </is>
      </c>
      <c r="N126" s="160" t="n">
        <v>284.7</v>
      </c>
      <c r="O126" s="161" t="inlineStr">
        <is>
          <t>Profitable</t>
        </is>
      </c>
      <c r="P126" s="162" t="inlineStr">
        <is>
          <t>Publicly Held</t>
        </is>
      </c>
      <c r="Q126" s="163" t="inlineStr">
        <is>
          <t>Private Equity, Publicly Listed</t>
        </is>
      </c>
      <c r="R126" s="164" t="inlineStr">
        <is>
          <t>www.express.com</t>
        </is>
      </c>
      <c r="S126" s="165" t="n">
        <v>15700.0</v>
      </c>
      <c r="T126" s="166" t="inlineStr">
        <is>
          <t>2010: 17000, 2011: 16000, 2012: 18000, 2013: 17000, 2014: 19000, 2015: 18000, 2016: 18000, 2017: 17000, 2018: 16000, 2019: 15700</t>
        </is>
      </c>
      <c r="U126" s="167" t="inlineStr">
        <is>
          <t>NYS</t>
        </is>
      </c>
      <c r="V126" s="168" t="inlineStr">
        <is>
          <t>EXPR</t>
        </is>
      </c>
      <c r="W126" s="169" t="n">
        <v>1980.0</v>
      </c>
      <c r="X126" s="170" t="inlineStr">
        <is>
          <t/>
        </is>
      </c>
      <c r="Y126" s="171" t="inlineStr">
        <is>
          <t/>
        </is>
      </c>
      <c r="Z126" s="172" t="inlineStr">
        <is>
          <t>Filing (New) </t>
        </is>
      </c>
      <c r="AA126" s="173" t="n">
        <v>2116.34</v>
      </c>
      <c r="AB126" s="174" t="n">
        <v>614.91</v>
      </c>
      <c r="AC126" s="175" t="n">
        <v>9.63</v>
      </c>
      <c r="AD126" s="176" t="n">
        <v>202.01</v>
      </c>
      <c r="AE126" s="177" t="n">
        <v>106.17</v>
      </c>
      <c r="AF126" s="178" t="inlineStr">
        <is>
          <t>FY 2019</t>
        </is>
      </c>
      <c r="AG126" s="179" t="n">
        <v>20.32</v>
      </c>
      <c r="AH126" s="180" t="n">
        <v>261.37</v>
      </c>
      <c r="AI126" s="181" t="n">
        <v>-171.67</v>
      </c>
      <c r="AJ126" s="182" t="inlineStr">
        <is>
          <t>69707-44P</t>
        </is>
      </c>
      <c r="AK126" s="183" t="inlineStr">
        <is>
          <t>Keith Pickens</t>
        </is>
      </c>
      <c r="AL126" s="184" t="inlineStr">
        <is>
          <t>Chief Information Officer &amp; Senior Vice President</t>
        </is>
      </c>
      <c r="AM126" s="185" t="inlineStr">
        <is>
          <t>kpickens@expressfashion.com</t>
        </is>
      </c>
      <c r="AN126" s="186" t="inlineStr">
        <is>
          <t>+1 (614) 474-4001</t>
        </is>
      </c>
      <c r="AO126" s="187" t="inlineStr">
        <is>
          <t>Columbus, OH</t>
        </is>
      </c>
      <c r="AP126" s="188" t="inlineStr">
        <is>
          <t>1 Express Drive</t>
        </is>
      </c>
      <c r="AQ126" s="189" t="inlineStr">
        <is>
          <t/>
        </is>
      </c>
      <c r="AR126" s="190" t="inlineStr">
        <is>
          <t>Columbus</t>
        </is>
      </c>
      <c r="AS126" s="191" t="inlineStr">
        <is>
          <t>Ohio</t>
        </is>
      </c>
      <c r="AT126" s="192" t="inlineStr">
        <is>
          <t>43230</t>
        </is>
      </c>
      <c r="AU126" s="193" t="inlineStr">
        <is>
          <t>United States</t>
        </is>
      </c>
      <c r="AV126" s="194" t="inlineStr">
        <is>
          <t>+1 (614) 474-4001</t>
        </is>
      </c>
      <c r="AW126" s="195" t="inlineStr">
        <is>
          <t>+1 (212) 884-3221</t>
        </is>
      </c>
      <c r="AX126" s="196" t="inlineStr">
        <is>
          <t>info@express.com</t>
        </is>
      </c>
      <c r="AY126" s="197" t="inlineStr">
        <is>
          <t>Americas</t>
        </is>
      </c>
      <c r="AZ126" s="198" t="inlineStr">
        <is>
          <t>North America</t>
        </is>
      </c>
      <c r="BA126" s="199" t="inlineStr">
        <is>
          <t>Existing shareholders sold stake in the company (NYS: EXPR) for an undisclosed amount on December 31, 2015. The company will not receive any proceeds from the offering.</t>
        </is>
      </c>
      <c r="BB126" s="200" t="inlineStr">
        <is>
          <t/>
        </is>
      </c>
      <c r="BC126" s="201" t="inlineStr">
        <is>
          <t/>
        </is>
      </c>
      <c r="BD126" s="202" t="inlineStr">
        <is>
          <t/>
        </is>
      </c>
      <c r="BE126" s="203" t="inlineStr">
        <is>
          <t>Golden Gate Capital, L Brands, Sycamore Partners Management</t>
        </is>
      </c>
      <c r="BF126" s="204" t="inlineStr">
        <is>
          <t/>
        </is>
      </c>
      <c r="BG126" s="205" t="inlineStr">
        <is>
          <t/>
        </is>
      </c>
      <c r="BH126" s="206" t="inlineStr">
        <is>
          <t>Golden Gate Capital(www.goldengatecap.com), L Brands(www.lb.com), Sycamore Partners Management(www.sycamorepartners.com)</t>
        </is>
      </c>
      <c r="BI126" s="207" t="inlineStr">
        <is>
          <t/>
        </is>
      </c>
      <c r="BJ126" s="208" t="inlineStr">
        <is>
          <t>CL King &amp; Associates(Advisor: General), Knobbe Martens(Legal Advisor), PwC(Accounting)</t>
        </is>
      </c>
      <c r="BK126" s="209" t="inlineStr">
        <is>
          <t>Bank of America Merrill Lynch(Underwriter), Barclays Investment Bank(Underwriter), Corporate Capital Trust(Debt Financing), Kirkland &amp; Ellis(Legal Advisor), Morgan Stanley(Debt Financing), Piper Jaffray(Underwriter), PwC(Accounting), Stephens(Underwriter), Stifel Financial(Underwriter), The Goldman Sachs Group(Underwriter), UBS(Underwriter), Vorys, Sater, Seymour and Pease(Legal Advisor)</t>
        </is>
      </c>
      <c r="BL126" s="210" t="inlineStr">
        <is>
          <t/>
        </is>
      </c>
      <c r="BM126" s="211" t="inlineStr">
        <is>
          <t/>
        </is>
      </c>
      <c r="BN126" s="212" t="inlineStr">
        <is>
          <t/>
        </is>
      </c>
      <c r="BO126" s="213" t="inlineStr">
        <is>
          <t/>
        </is>
      </c>
      <c r="BP126" s="214" t="inlineStr">
        <is>
          <t/>
        </is>
      </c>
      <c r="BQ126" s="215" t="inlineStr">
        <is>
          <t>IPO</t>
        </is>
      </c>
      <c r="BR126" s="216" t="inlineStr">
        <is>
          <t/>
        </is>
      </c>
      <c r="BS126" s="217" t="inlineStr">
        <is>
          <t/>
        </is>
      </c>
      <c r="BT126" s="218" t="inlineStr">
        <is>
          <t>Public Investment</t>
        </is>
      </c>
      <c r="BU126" s="219" t="inlineStr">
        <is>
          <t/>
        </is>
      </c>
      <c r="BV126" s="220" t="inlineStr">
        <is>
          <t/>
        </is>
      </c>
      <c r="BW126" s="221" t="inlineStr">
        <is>
          <t/>
        </is>
      </c>
      <c r="BX126" s="222" t="inlineStr">
        <is>
          <t>Completed</t>
        </is>
      </c>
      <c r="BY126" s="223" t="n">
        <v>42369.0</v>
      </c>
      <c r="BZ126" s="224" t="inlineStr">
        <is>
          <t/>
        </is>
      </c>
      <c r="CA126" s="225" t="inlineStr">
        <is>
          <t/>
        </is>
      </c>
      <c r="CB126" s="226" t="inlineStr">
        <is>
          <t/>
        </is>
      </c>
      <c r="CC126" s="227" t="inlineStr">
        <is>
          <t/>
        </is>
      </c>
      <c r="CD126" s="228" t="inlineStr">
        <is>
          <t>Secondary Transaction - Open Market</t>
        </is>
      </c>
      <c r="CE126" s="229" t="inlineStr">
        <is>
          <t/>
        </is>
      </c>
      <c r="CF126" s="230" t="inlineStr">
        <is>
          <t/>
        </is>
      </c>
      <c r="CG126" s="231" t="inlineStr">
        <is>
          <t>Private Equity</t>
        </is>
      </c>
      <c r="CH126" s="232" t="inlineStr">
        <is>
          <t/>
        </is>
      </c>
      <c r="CI126" s="233" t="inlineStr">
        <is>
          <t/>
        </is>
      </c>
      <c r="CJ126" s="234" t="inlineStr">
        <is>
          <t/>
        </is>
      </c>
      <c r="CK126" s="235" t="inlineStr">
        <is>
          <t>Completed</t>
        </is>
      </c>
      <c r="CL126" s="236" t="n">
        <v>40641.0</v>
      </c>
      <c r="CM126" s="237" t="n">
        <v>0.04</v>
      </c>
      <c r="CN126" s="238" t="n">
        <v>0.91</v>
      </c>
      <c r="CO126" s="239" t="n">
        <v>97.0</v>
      </c>
      <c r="CP126" s="240" t="n">
        <v>0.01</v>
      </c>
      <c r="CQ126" s="241" t="n">
        <v>1.0</v>
      </c>
      <c r="CR126" s="242" t="n">
        <v>1.63</v>
      </c>
      <c r="CS126" s="243" t="n">
        <v>98.0</v>
      </c>
      <c r="CT126" s="244" t="n">
        <v>0.0</v>
      </c>
      <c r="CU126" s="245" t="n">
        <v>27.0</v>
      </c>
      <c r="CV126" s="246" t="n">
        <v>1.63</v>
      </c>
      <c r="CW126" s="247" t="n">
        <v>89.0</v>
      </c>
      <c r="CX126" s="248" t="inlineStr">
        <is>
          <t/>
        </is>
      </c>
      <c r="CY126" s="249" t="inlineStr">
        <is>
          <t/>
        </is>
      </c>
      <c r="CZ126" s="250" t="n">
        <v>0.0</v>
      </c>
      <c r="DA126" s="251" t="n">
        <v>28.0</v>
      </c>
      <c r="DB126" s="252" t="n">
        <v>1575.61</v>
      </c>
      <c r="DC126" s="253" t="n">
        <v>100.0</v>
      </c>
      <c r="DD126" s="254" t="n">
        <v>4.52</v>
      </c>
      <c r="DE126" s="255" t="n">
        <v>0.29</v>
      </c>
      <c r="DF126" s="256" t="n">
        <v>1973.23</v>
      </c>
      <c r="DG126" s="257" t="n">
        <v>100.0</v>
      </c>
      <c r="DH126" s="258" t="n">
        <v>2617.37</v>
      </c>
      <c r="DI126" s="259" t="n">
        <v>100.0</v>
      </c>
      <c r="DJ126" s="260" t="n">
        <v>1973.23</v>
      </c>
      <c r="DK126" s="261" t="n">
        <v>100.0</v>
      </c>
      <c r="DL126" s="262" t="inlineStr">
        <is>
          <t/>
        </is>
      </c>
      <c r="DM126" s="263" t="inlineStr">
        <is>
          <t/>
        </is>
      </c>
      <c r="DN126" s="264" t="n">
        <v>0.78</v>
      </c>
      <c r="DO126" s="265" t="n">
        <v>46.0</v>
      </c>
      <c r="DP126" s="266" t="n">
        <v>1416150.0</v>
      </c>
      <c r="DQ126" s="267" t="n">
        <v>-83144.0</v>
      </c>
      <c r="DR126" s="268" t="n">
        <v>-5.55</v>
      </c>
      <c r="DS126" s="269" t="inlineStr">
        <is>
          <t/>
        </is>
      </c>
      <c r="DT126" s="270" t="inlineStr">
        <is>
          <t/>
        </is>
      </c>
      <c r="DU126" s="271" t="inlineStr">
        <is>
          <t/>
        </is>
      </c>
      <c r="DV126" s="272" t="n">
        <v>279.0</v>
      </c>
      <c r="DW126" s="273" t="n">
        <v>0.0</v>
      </c>
      <c r="DX126" s="274" t="n">
        <v>0.0</v>
      </c>
      <c r="DY126" s="275" t="inlineStr">
        <is>
          <t>PitchBook Research</t>
        </is>
      </c>
      <c r="DZ126" s="276" t="n">
        <v>43548.0</v>
      </c>
      <c r="EA126" s="277" t="n">
        <v>1508.51</v>
      </c>
      <c r="EB126" s="278" t="n">
        <v>40311.0</v>
      </c>
      <c r="EC126" s="279" t="inlineStr">
        <is>
          <t>IPO</t>
        </is>
      </c>
      <c r="ED126" s="548">
        <f>HYPERLINK("https://my.pitchbook.com?c=10395-73", "View company online")</f>
      </c>
    </row>
    <row r="127">
      <c r="A127" s="13" t="inlineStr">
        <is>
          <t>165607-12</t>
        </is>
      </c>
      <c r="B127" s="14" t="inlineStr">
        <is>
          <t>Feng Tay Enterprises Company (TAI: 9910)</t>
        </is>
      </c>
      <c r="C127" s="15" t="inlineStr">
        <is>
          <t/>
        </is>
      </c>
      <c r="D127" s="16" t="inlineStr">
        <is>
          <t/>
        </is>
      </c>
      <c r="E127" s="17" t="inlineStr">
        <is>
          <t>165607-12</t>
        </is>
      </c>
      <c r="F127" s="18" t="inlineStr">
        <is>
          <t>Feng Tay Enterprises Co Ltd primarily manufactures athletic shoes for large, international brands. It produces a substantial portion of Nike's total annual sales volume. The company also manufactures casual shoes, for companies including Clarks, Rockport, and Dr. Martens, and sporting goods, such as helmets, equipment, golf balls, and soccer balls. Feng Tay produces ice skates and in-line skates for Bauer and Rollerblade. Feng Tay's manufacturing facilities are located in China, Indonesia, Vietnam, and India.</t>
        </is>
      </c>
      <c r="G127" s="19" t="inlineStr">
        <is>
          <t>Consumer Products and Services (B2C)</t>
        </is>
      </c>
      <c r="H127" s="20" t="inlineStr">
        <is>
          <t>Apparel and Accessories</t>
        </is>
      </c>
      <c r="I127" s="21" t="inlineStr">
        <is>
          <t>Footwear</t>
        </is>
      </c>
      <c r="J127" s="22" t="inlineStr">
        <is>
          <t>Footwear*</t>
        </is>
      </c>
      <c r="K127" s="23" t="inlineStr">
        <is>
          <t>Manufacturing</t>
        </is>
      </c>
      <c r="L127" s="24" t="inlineStr">
        <is>
          <t>casual shoes, sneakers, sports shoes</t>
        </is>
      </c>
      <c r="M127" s="25" t="inlineStr">
        <is>
          <t>Corporation</t>
        </is>
      </c>
      <c r="N127" s="26" t="inlineStr">
        <is>
          <t/>
        </is>
      </c>
      <c r="O127" s="27" t="inlineStr">
        <is>
          <t>Profitable</t>
        </is>
      </c>
      <c r="P127" s="28" t="inlineStr">
        <is>
          <t>Publicly Held</t>
        </is>
      </c>
      <c r="Q127" s="29" t="inlineStr">
        <is>
          <t>Publicly Listed</t>
        </is>
      </c>
      <c r="R127" s="30" t="inlineStr">
        <is>
          <t>www.fengtay.com</t>
        </is>
      </c>
      <c r="S127" s="31" t="n">
        <v>74679.0</v>
      </c>
      <c r="T127" s="32" t="inlineStr">
        <is>
          <t>2005: 1892, 2006: 1842, 2007: 1722, 2008: 62915, 2009: 68290, 2010: 74949, 2011: 80664, 2012: 76346</t>
        </is>
      </c>
      <c r="U127" s="33" t="inlineStr">
        <is>
          <t>TAI</t>
        </is>
      </c>
      <c r="V127" s="34" t="inlineStr">
        <is>
          <t>9910</t>
        </is>
      </c>
      <c r="W127" s="35" t="n">
        <v>1971.0</v>
      </c>
      <c r="X127" s="36" t="inlineStr">
        <is>
          <t/>
        </is>
      </c>
      <c r="Y127" s="37" t="inlineStr">
        <is>
          <t/>
        </is>
      </c>
      <c r="Z127" s="38" t="inlineStr">
        <is>
          <t/>
        </is>
      </c>
      <c r="AA127" s="39" t="n">
        <v>2137.95</v>
      </c>
      <c r="AB127" s="40" t="n">
        <v>522.73</v>
      </c>
      <c r="AC127" s="41" t="n">
        <v>174.45</v>
      </c>
      <c r="AD127" s="42" t="n">
        <v>3893.32</v>
      </c>
      <c r="AE127" s="43" t="n">
        <v>350.39</v>
      </c>
      <c r="AF127" s="44" t="inlineStr">
        <is>
          <t>FY 2018</t>
        </is>
      </c>
      <c r="AG127" s="45" t="n">
        <v>289.05</v>
      </c>
      <c r="AH127" s="46" t="n">
        <v>4756.56</v>
      </c>
      <c r="AI127" s="47" t="n">
        <v>-38.4</v>
      </c>
      <c r="AJ127" s="48" t="inlineStr">
        <is>
          <t/>
        </is>
      </c>
      <c r="AK127" s="49" t="inlineStr">
        <is>
          <t/>
        </is>
      </c>
      <c r="AL127" s="50" t="inlineStr">
        <is>
          <t/>
        </is>
      </c>
      <c r="AM127" s="51" t="inlineStr">
        <is>
          <t/>
        </is>
      </c>
      <c r="AN127" s="52" t="inlineStr">
        <is>
          <t/>
        </is>
      </c>
      <c r="AO127" s="53" t="inlineStr">
        <is>
          <t>Douliou, Taiwan</t>
        </is>
      </c>
      <c r="AP127" s="54" t="inlineStr">
        <is>
          <t>No. 52 Kegong 8th Road</t>
        </is>
      </c>
      <c r="AQ127" s="55" t="inlineStr">
        <is>
          <t/>
        </is>
      </c>
      <c r="AR127" s="56" t="inlineStr">
        <is>
          <t>Douliou</t>
        </is>
      </c>
      <c r="AS127" s="57" t="inlineStr">
        <is>
          <t>Yunlin</t>
        </is>
      </c>
      <c r="AT127" s="58" t="inlineStr">
        <is>
          <t>640-64</t>
        </is>
      </c>
      <c r="AU127" s="59" t="inlineStr">
        <is>
          <t>Taiwan</t>
        </is>
      </c>
      <c r="AV127" s="60" t="inlineStr">
        <is>
          <t>+886 (0)5 5379100</t>
        </is>
      </c>
      <c r="AW127" s="61" t="inlineStr">
        <is>
          <t>+886 (0)5 5379105</t>
        </is>
      </c>
      <c r="AX127" s="62" t="inlineStr">
        <is>
          <t/>
        </is>
      </c>
      <c r="AY127" s="63" t="inlineStr">
        <is>
          <t>Asia</t>
        </is>
      </c>
      <c r="AZ127" s="64" t="inlineStr">
        <is>
          <t>East Asia</t>
        </is>
      </c>
      <c r="BA127" s="65" t="inlineStr">
        <is>
          <t/>
        </is>
      </c>
      <c r="BB127" s="66" t="inlineStr">
        <is>
          <t/>
        </is>
      </c>
      <c r="BC127" s="67" t="inlineStr">
        <is>
          <t/>
        </is>
      </c>
      <c r="BD127" s="68" t="inlineStr">
        <is>
          <t/>
        </is>
      </c>
      <c r="BE127" s="69" t="inlineStr">
        <is>
          <t/>
        </is>
      </c>
      <c r="BF127" s="70" t="inlineStr">
        <is>
          <t/>
        </is>
      </c>
      <c r="BG127" s="71" t="inlineStr">
        <is>
          <t/>
        </is>
      </c>
      <c r="BH127" s="72" t="inlineStr">
        <is>
          <t/>
        </is>
      </c>
      <c r="BI127" s="73" t="inlineStr">
        <is>
          <t/>
        </is>
      </c>
      <c r="BJ127" s="74" t="inlineStr">
        <is>
          <t/>
        </is>
      </c>
      <c r="BK127" s="75" t="inlineStr">
        <is>
          <t/>
        </is>
      </c>
      <c r="BL127" s="76" t="inlineStr">
        <is>
          <t/>
        </is>
      </c>
      <c r="BM127" s="77" t="inlineStr">
        <is>
          <t/>
        </is>
      </c>
      <c r="BN127" s="78" t="inlineStr">
        <is>
          <t/>
        </is>
      </c>
      <c r="BO127" s="79" t="inlineStr">
        <is>
          <t/>
        </is>
      </c>
      <c r="BP127" s="80" t="inlineStr">
        <is>
          <t/>
        </is>
      </c>
      <c r="BQ127" s="81" t="inlineStr">
        <is>
          <t/>
        </is>
      </c>
      <c r="BR127" s="82" t="inlineStr">
        <is>
          <t/>
        </is>
      </c>
      <c r="BS127" s="83" t="inlineStr">
        <is>
          <t/>
        </is>
      </c>
      <c r="BT127" s="84" t="inlineStr">
        <is>
          <t/>
        </is>
      </c>
      <c r="BU127" s="85" t="inlineStr">
        <is>
          <t/>
        </is>
      </c>
      <c r="BV127" s="86" t="inlineStr">
        <is>
          <t/>
        </is>
      </c>
      <c r="BW127" s="87" t="inlineStr">
        <is>
          <t/>
        </is>
      </c>
      <c r="BX127" s="88" t="inlineStr">
        <is>
          <t/>
        </is>
      </c>
      <c r="BY127" s="89" t="inlineStr">
        <is>
          <t/>
        </is>
      </c>
      <c r="BZ127" s="90" t="inlineStr">
        <is>
          <t/>
        </is>
      </c>
      <c r="CA127" s="91" t="inlineStr">
        <is>
          <t/>
        </is>
      </c>
      <c r="CB127" s="92" t="inlineStr">
        <is>
          <t/>
        </is>
      </c>
      <c r="CC127" s="93" t="inlineStr">
        <is>
          <t/>
        </is>
      </c>
      <c r="CD127" s="94" t="inlineStr">
        <is>
          <t/>
        </is>
      </c>
      <c r="CE127" s="95" t="inlineStr">
        <is>
          <t/>
        </is>
      </c>
      <c r="CF127" s="96" t="inlineStr">
        <is>
          <t/>
        </is>
      </c>
      <c r="CG127" s="97" t="inlineStr">
        <is>
          <t/>
        </is>
      </c>
      <c r="CH127" s="98" t="inlineStr">
        <is>
          <t/>
        </is>
      </c>
      <c r="CI127" s="99" t="inlineStr">
        <is>
          <t/>
        </is>
      </c>
      <c r="CJ127" s="100" t="inlineStr">
        <is>
          <t/>
        </is>
      </c>
      <c r="CK127" s="101" t="inlineStr">
        <is>
          <t/>
        </is>
      </c>
      <c r="CL127" s="102" t="inlineStr">
        <is>
          <t/>
        </is>
      </c>
      <c r="CM127" s="103" t="inlineStr">
        <is>
          <t/>
        </is>
      </c>
      <c r="CN127" s="104" t="n">
        <v>3.68</v>
      </c>
      <c r="CO127" s="105" t="n">
        <v>100.0</v>
      </c>
      <c r="CP127" s="106" t="n">
        <v>0.17</v>
      </c>
      <c r="CQ127" s="107" t="n">
        <v>4.78</v>
      </c>
      <c r="CR127" s="108" t="n">
        <v>3.68</v>
      </c>
      <c r="CS127" s="109" t="n">
        <v>100.0</v>
      </c>
      <c r="CT127" s="110" t="inlineStr">
        <is>
          <t/>
        </is>
      </c>
      <c r="CU127" s="111" t="inlineStr">
        <is>
          <t/>
        </is>
      </c>
      <c r="CV127" s="112" t="inlineStr">
        <is>
          <t/>
        </is>
      </c>
      <c r="CW127" s="113" t="inlineStr">
        <is>
          <t/>
        </is>
      </c>
      <c r="CX127" s="114" t="n">
        <v>3.68</v>
      </c>
      <c r="CY127" s="115" t="n">
        <v>100.0</v>
      </c>
      <c r="CZ127" s="116" t="inlineStr">
        <is>
          <t/>
        </is>
      </c>
      <c r="DA127" s="117" t="inlineStr">
        <is>
          <t/>
        </is>
      </c>
      <c r="DB127" s="118" t="n">
        <v>4.5</v>
      </c>
      <c r="DC127" s="119" t="n">
        <v>82.0</v>
      </c>
      <c r="DD127" s="120" t="n">
        <v>1.17</v>
      </c>
      <c r="DE127" s="121" t="n">
        <v>35.0</v>
      </c>
      <c r="DF127" s="122" t="n">
        <v>4.5</v>
      </c>
      <c r="DG127" s="123" t="n">
        <v>82.0</v>
      </c>
      <c r="DH127" s="124" t="inlineStr">
        <is>
          <t/>
        </is>
      </c>
      <c r="DI127" s="125" t="inlineStr">
        <is>
          <t/>
        </is>
      </c>
      <c r="DJ127" s="126" t="inlineStr">
        <is>
          <t/>
        </is>
      </c>
      <c r="DK127" s="127" t="inlineStr">
        <is>
          <t/>
        </is>
      </c>
      <c r="DL127" s="128" t="n">
        <v>4.5</v>
      </c>
      <c r="DM127" s="129" t="n">
        <v>80.0</v>
      </c>
      <c r="DN127" s="130" t="inlineStr">
        <is>
          <t/>
        </is>
      </c>
      <c r="DO127" s="131" t="inlineStr">
        <is>
          <t/>
        </is>
      </c>
      <c r="DP127" s="132" t="inlineStr">
        <is>
          <t/>
        </is>
      </c>
      <c r="DQ127" s="133" t="inlineStr">
        <is>
          <t/>
        </is>
      </c>
      <c r="DR127" s="134" t="inlineStr">
        <is>
          <t/>
        </is>
      </c>
      <c r="DS127" s="135" t="n">
        <v>151.0</v>
      </c>
      <c r="DT127" s="136" t="n">
        <v>2.0</v>
      </c>
      <c r="DU127" s="137" t="n">
        <v>1.34</v>
      </c>
      <c r="DV127" s="138" t="inlineStr">
        <is>
          <t/>
        </is>
      </c>
      <c r="DW127" s="139" t="inlineStr">
        <is>
          <t/>
        </is>
      </c>
      <c r="DX127" s="140" t="inlineStr">
        <is>
          <t/>
        </is>
      </c>
      <c r="DY127" s="141" t="inlineStr">
        <is>
          <t>PitchBook Research</t>
        </is>
      </c>
      <c r="DZ127" s="142" t="n">
        <v>43492.0</v>
      </c>
      <c r="EA127" s="143" t="inlineStr">
        <is>
          <t/>
        </is>
      </c>
      <c r="EB127" s="144" t="inlineStr">
        <is>
          <t/>
        </is>
      </c>
      <c r="EC127" s="145" t="inlineStr">
        <is>
          <t/>
        </is>
      </c>
      <c r="ED127" s="547">
        <f>HYPERLINK("https://my.pitchbook.com?c=165607-12", "View company online")</f>
      </c>
    </row>
    <row r="128">
      <c r="A128" s="147" t="inlineStr">
        <is>
          <t>164613-88</t>
        </is>
      </c>
      <c r="B128" s="148" t="inlineStr">
        <is>
          <t>Zhejiang Semir Garment (SHE: 002563)</t>
        </is>
      </c>
      <c r="C128" s="149" t="inlineStr">
        <is>
          <t/>
        </is>
      </c>
      <c r="D128" s="150" t="inlineStr">
        <is>
          <t/>
        </is>
      </c>
      <c r="E128" s="151" t="inlineStr">
        <is>
          <t>164613-88</t>
        </is>
      </c>
      <c r="F128" s="152" t="inlineStr">
        <is>
          <t>Zhejiang Semir Garment Co Ltd produces a series of adult leisure clothing and children's clothes. The company currently has two online branded services - Semir and Balabala. The company offers adult casual wear for an age group of 16 to 30 years and professional and fashionable children's wear for an age group of 0-14 years. The company brands include Semir, Balabala, The Children's Place, Marcolor, It MICHAA, Sarabanda, and others.</t>
        </is>
      </c>
      <c r="G128" s="153" t="inlineStr">
        <is>
          <t>Consumer Products and Services (B2C)</t>
        </is>
      </c>
      <c r="H128" s="154" t="inlineStr">
        <is>
          <t>Apparel and Accessories</t>
        </is>
      </c>
      <c r="I128" s="155" t="inlineStr">
        <is>
          <t>Clothing</t>
        </is>
      </c>
      <c r="J128" s="156" t="inlineStr">
        <is>
          <t>Clothing*</t>
        </is>
      </c>
      <c r="K128" s="157" t="inlineStr">
        <is>
          <t/>
        </is>
      </c>
      <c r="L128" s="158" t="inlineStr">
        <is>
          <t>garments, waistcoat, wool garments</t>
        </is>
      </c>
      <c r="M128" s="159" t="inlineStr">
        <is>
          <t>Corporation</t>
        </is>
      </c>
      <c r="N128" s="160" t="inlineStr">
        <is>
          <t/>
        </is>
      </c>
      <c r="O128" s="161" t="inlineStr">
        <is>
          <t>Profitable</t>
        </is>
      </c>
      <c r="P128" s="162" t="inlineStr">
        <is>
          <t>Publicly Held</t>
        </is>
      </c>
      <c r="Q128" s="163" t="inlineStr">
        <is>
          <t>Publicly Listed</t>
        </is>
      </c>
      <c r="R128" s="164" t="inlineStr">
        <is>
          <t>www.semirbiz.com</t>
        </is>
      </c>
      <c r="S128" s="165" t="n">
        <v>2957.0</v>
      </c>
      <c r="T128" s="166" t="inlineStr">
        <is>
          <t>2008: 1305, 2009: 1947, 2010: 1739, 2011: 1722, 2012: 2246, 2013: 2094, 2014: 2029, 2015: 2353, 2016: 2730, 2017: 2957</t>
        </is>
      </c>
      <c r="U128" s="167" t="inlineStr">
        <is>
          <t>SHE</t>
        </is>
      </c>
      <c r="V128" s="168" t="inlineStr">
        <is>
          <t>002563</t>
        </is>
      </c>
      <c r="W128" s="169" t="n">
        <v>1996.0</v>
      </c>
      <c r="X128" s="170" t="inlineStr">
        <is>
          <t/>
        </is>
      </c>
      <c r="Y128" s="171" t="inlineStr">
        <is>
          <t/>
        </is>
      </c>
      <c r="Z128" s="172" t="inlineStr">
        <is>
          <t/>
        </is>
      </c>
      <c r="AA128" s="173" t="n">
        <v>2102.22</v>
      </c>
      <c r="AB128" s="174" t="n">
        <v>755.41</v>
      </c>
      <c r="AC128" s="175" t="n">
        <v>213.72</v>
      </c>
      <c r="AD128" s="176" t="n">
        <v>4248.08</v>
      </c>
      <c r="AE128" s="177" t="n">
        <v>289.82</v>
      </c>
      <c r="AF128" s="178" t="inlineStr">
        <is>
          <t>TTM 3Q2018</t>
        </is>
      </c>
      <c r="AG128" s="179" t="n">
        <v>269.11</v>
      </c>
      <c r="AH128" s="180" t="n">
        <v>4686.33</v>
      </c>
      <c r="AI128" s="181" t="n">
        <v>-327.88</v>
      </c>
      <c r="AJ128" s="182" t="inlineStr">
        <is>
          <t/>
        </is>
      </c>
      <c r="AK128" s="183" t="inlineStr">
        <is>
          <t/>
        </is>
      </c>
      <c r="AL128" s="184" t="inlineStr">
        <is>
          <t/>
        </is>
      </c>
      <c r="AM128" s="185" t="inlineStr">
        <is>
          <t/>
        </is>
      </c>
      <c r="AN128" s="186" t="inlineStr">
        <is>
          <t/>
        </is>
      </c>
      <c r="AO128" s="187" t="inlineStr">
        <is>
          <t>Shanghai, China</t>
        </is>
      </c>
      <c r="AP128" s="188" t="inlineStr">
        <is>
          <t>No. 2689 Lianhua South Road</t>
        </is>
      </c>
      <c r="AQ128" s="189" t="inlineStr">
        <is>
          <t>Minhang District</t>
        </is>
      </c>
      <c r="AR128" s="190" t="inlineStr">
        <is>
          <t>Shanghai</t>
        </is>
      </c>
      <c r="AS128" s="191" t="inlineStr">
        <is>
          <t/>
        </is>
      </c>
      <c r="AT128" s="192" t="inlineStr">
        <is>
          <t>201108</t>
        </is>
      </c>
      <c r="AU128" s="193" t="inlineStr">
        <is>
          <t>China</t>
        </is>
      </c>
      <c r="AV128" s="194" t="inlineStr">
        <is>
          <t>+86 (0)121 6728 8431</t>
        </is>
      </c>
      <c r="AW128" s="195" t="inlineStr">
        <is>
          <t>+86 (0)121 6728 8432</t>
        </is>
      </c>
      <c r="AX128" s="196" t="inlineStr">
        <is>
          <t/>
        </is>
      </c>
      <c r="AY128" s="197" t="inlineStr">
        <is>
          <t>Asia</t>
        </is>
      </c>
      <c r="AZ128" s="198" t="inlineStr">
        <is>
          <t>East Asia</t>
        </is>
      </c>
      <c r="BA128" s="199" t="inlineStr">
        <is>
          <t/>
        </is>
      </c>
      <c r="BB128" s="200" t="inlineStr">
        <is>
          <t/>
        </is>
      </c>
      <c r="BC128" s="201" t="inlineStr">
        <is>
          <t/>
        </is>
      </c>
      <c r="BD128" s="202" t="inlineStr">
        <is>
          <t/>
        </is>
      </c>
      <c r="BE128" s="203" t="inlineStr">
        <is>
          <t/>
        </is>
      </c>
      <c r="BF128" s="204" t="inlineStr">
        <is>
          <t/>
        </is>
      </c>
      <c r="BG128" s="205" t="inlineStr">
        <is>
          <t/>
        </is>
      </c>
      <c r="BH128" s="206" t="inlineStr">
        <is>
          <t/>
        </is>
      </c>
      <c r="BI128" s="207" t="inlineStr">
        <is>
          <t/>
        </is>
      </c>
      <c r="BJ128" s="208" t="inlineStr">
        <is>
          <t/>
        </is>
      </c>
      <c r="BK128" s="209" t="inlineStr">
        <is>
          <t/>
        </is>
      </c>
      <c r="BL128" s="210" t="inlineStr">
        <is>
          <t/>
        </is>
      </c>
      <c r="BM128" s="211" t="inlineStr">
        <is>
          <t/>
        </is>
      </c>
      <c r="BN128" s="212" t="inlineStr">
        <is>
          <t/>
        </is>
      </c>
      <c r="BO128" s="213" t="inlineStr">
        <is>
          <t/>
        </is>
      </c>
      <c r="BP128" s="214" t="inlineStr">
        <is>
          <t/>
        </is>
      </c>
      <c r="BQ128" s="215" t="inlineStr">
        <is>
          <t/>
        </is>
      </c>
      <c r="BR128" s="216" t="inlineStr">
        <is>
          <t/>
        </is>
      </c>
      <c r="BS128" s="217" t="inlineStr">
        <is>
          <t/>
        </is>
      </c>
      <c r="BT128" s="218" t="inlineStr">
        <is>
          <t/>
        </is>
      </c>
      <c r="BU128" s="219" t="inlineStr">
        <is>
          <t/>
        </is>
      </c>
      <c r="BV128" s="220" t="inlineStr">
        <is>
          <t/>
        </is>
      </c>
      <c r="BW128" s="221" t="inlineStr">
        <is>
          <t/>
        </is>
      </c>
      <c r="BX128" s="222" t="inlineStr">
        <is>
          <t/>
        </is>
      </c>
      <c r="BY128" s="223" t="inlineStr">
        <is>
          <t/>
        </is>
      </c>
      <c r="BZ128" s="224" t="inlineStr">
        <is>
          <t/>
        </is>
      </c>
      <c r="CA128" s="225" t="inlineStr">
        <is>
          <t/>
        </is>
      </c>
      <c r="CB128" s="226" t="inlineStr">
        <is>
          <t/>
        </is>
      </c>
      <c r="CC128" s="227" t="inlineStr">
        <is>
          <t/>
        </is>
      </c>
      <c r="CD128" s="228" t="inlineStr">
        <is>
          <t/>
        </is>
      </c>
      <c r="CE128" s="229" t="inlineStr">
        <is>
          <t/>
        </is>
      </c>
      <c r="CF128" s="230" t="inlineStr">
        <is>
          <t/>
        </is>
      </c>
      <c r="CG128" s="231" t="inlineStr">
        <is>
          <t/>
        </is>
      </c>
      <c r="CH128" s="232" t="inlineStr">
        <is>
          <t/>
        </is>
      </c>
      <c r="CI128" s="233" t="inlineStr">
        <is>
          <t/>
        </is>
      </c>
      <c r="CJ128" s="234" t="inlineStr">
        <is>
          <t/>
        </is>
      </c>
      <c r="CK128" s="235" t="inlineStr">
        <is>
          <t/>
        </is>
      </c>
      <c r="CL128" s="236" t="inlineStr">
        <is>
          <t/>
        </is>
      </c>
      <c r="CM128" s="237" t="inlineStr">
        <is>
          <t/>
        </is>
      </c>
      <c r="CN128" s="238" t="n">
        <v>0.32</v>
      </c>
      <c r="CO128" s="239" t="n">
        <v>92.0</v>
      </c>
      <c r="CP128" s="240" t="n">
        <v>-0.07</v>
      </c>
      <c r="CQ128" s="241" t="n">
        <v>-18.53</v>
      </c>
      <c r="CR128" s="242" t="n">
        <v>0.32</v>
      </c>
      <c r="CS128" s="243" t="n">
        <v>92.0</v>
      </c>
      <c r="CT128" s="244" t="inlineStr">
        <is>
          <t/>
        </is>
      </c>
      <c r="CU128" s="245" t="inlineStr">
        <is>
          <t/>
        </is>
      </c>
      <c r="CV128" s="246" t="inlineStr">
        <is>
          <t/>
        </is>
      </c>
      <c r="CW128" s="247" t="inlineStr">
        <is>
          <t/>
        </is>
      </c>
      <c r="CX128" s="248" t="n">
        <v>0.32</v>
      </c>
      <c r="CY128" s="249" t="n">
        <v>91.0</v>
      </c>
      <c r="CZ128" s="250" t="inlineStr">
        <is>
          <t/>
        </is>
      </c>
      <c r="DA128" s="251" t="inlineStr">
        <is>
          <t/>
        </is>
      </c>
      <c r="DB128" s="252" t="n">
        <v>10.68</v>
      </c>
      <c r="DC128" s="253" t="n">
        <v>90.0</v>
      </c>
      <c r="DD128" s="254" t="n">
        <v>2.54</v>
      </c>
      <c r="DE128" s="255" t="n">
        <v>31.27</v>
      </c>
      <c r="DF128" s="256" t="n">
        <v>10.68</v>
      </c>
      <c r="DG128" s="257" t="n">
        <v>90.0</v>
      </c>
      <c r="DH128" s="258" t="inlineStr">
        <is>
          <t/>
        </is>
      </c>
      <c r="DI128" s="259" t="inlineStr">
        <is>
          <t/>
        </is>
      </c>
      <c r="DJ128" s="260" t="inlineStr">
        <is>
          <t/>
        </is>
      </c>
      <c r="DK128" s="261" t="inlineStr">
        <is>
          <t/>
        </is>
      </c>
      <c r="DL128" s="262" t="n">
        <v>10.68</v>
      </c>
      <c r="DM128" s="263" t="n">
        <v>89.0</v>
      </c>
      <c r="DN128" s="264" t="inlineStr">
        <is>
          <t/>
        </is>
      </c>
      <c r="DO128" s="265" t="inlineStr">
        <is>
          <t/>
        </is>
      </c>
      <c r="DP128" s="266" t="inlineStr">
        <is>
          <t/>
        </is>
      </c>
      <c r="DQ128" s="267" t="inlineStr">
        <is>
          <t/>
        </is>
      </c>
      <c r="DR128" s="268" t="inlineStr">
        <is>
          <t/>
        </is>
      </c>
      <c r="DS128" s="269" t="n">
        <v>364.0</v>
      </c>
      <c r="DT128" s="270" t="n">
        <v>1.0</v>
      </c>
      <c r="DU128" s="271" t="n">
        <v>0.28</v>
      </c>
      <c r="DV128" s="272" t="inlineStr">
        <is>
          <t/>
        </is>
      </c>
      <c r="DW128" s="273" t="inlineStr">
        <is>
          <t/>
        </is>
      </c>
      <c r="DX128" s="274" t="inlineStr">
        <is>
          <t/>
        </is>
      </c>
      <c r="DY128" s="275" t="inlineStr">
        <is>
          <t>PitchBook Research</t>
        </is>
      </c>
      <c r="DZ128" s="276" t="n">
        <v>43491.0</v>
      </c>
      <c r="EA128" s="277" t="inlineStr">
        <is>
          <t/>
        </is>
      </c>
      <c r="EB128" s="278" t="inlineStr">
        <is>
          <t/>
        </is>
      </c>
      <c r="EC128" s="279" t="inlineStr">
        <is>
          <t/>
        </is>
      </c>
      <c r="ED128" s="548">
        <f>HYPERLINK("https://my.pitchbook.com?c=164613-88", "View company online")</f>
      </c>
    </row>
    <row r="129">
      <c r="A129" s="13" t="inlineStr">
        <is>
          <t>41265-55</t>
        </is>
      </c>
      <c r="B129" s="14" t="inlineStr">
        <is>
          <t>Reebok International</t>
        </is>
      </c>
      <c r="C129" s="15" t="inlineStr">
        <is>
          <t>Reebok USA</t>
        </is>
      </c>
      <c r="D129" s="16" t="inlineStr">
        <is>
          <t>Reebok</t>
        </is>
      </c>
      <c r="E129" s="17" t="inlineStr">
        <is>
          <t>41265-55</t>
        </is>
      </c>
      <c r="F129" s="18" t="inlineStr">
        <is>
          <t>Manufacturer, distributor and retailer of sports apparel. The company designs, produces and sells a range of athletic apparel for men, women and children, including running shoes, walking shoes, basketball shoes, shorts, jackets, shirts and socks.</t>
        </is>
      </c>
      <c r="G129" s="19" t="inlineStr">
        <is>
          <t>Consumer Products and Services (B2C)</t>
        </is>
      </c>
      <c r="H129" s="20" t="inlineStr">
        <is>
          <t>Apparel and Accessories</t>
        </is>
      </c>
      <c r="I129" s="21" t="inlineStr">
        <is>
          <t>Footwear</t>
        </is>
      </c>
      <c r="J129" s="22" t="inlineStr">
        <is>
          <t>Accessories, Clothing, Footwear*</t>
        </is>
      </c>
      <c r="K129" s="23" t="inlineStr">
        <is>
          <t>Manufacturing</t>
        </is>
      </c>
      <c r="L129" s="24" t="inlineStr">
        <is>
          <t>apparel product, casual footwear, sports related</t>
        </is>
      </c>
      <c r="M129" s="25" t="inlineStr">
        <is>
          <t>Failed Transaction (PE)</t>
        </is>
      </c>
      <c r="N129" s="26" t="inlineStr">
        <is>
          <t/>
        </is>
      </c>
      <c r="O129" s="27" t="inlineStr">
        <is>
          <t>Generating Revenue</t>
        </is>
      </c>
      <c r="P129" s="28" t="inlineStr">
        <is>
          <t>Acquired/Merged (Operating Subsidiary)</t>
        </is>
      </c>
      <c r="Q129" s="29" t="inlineStr">
        <is>
          <t>M&amp;A, Private Equity, Publicly Listed</t>
        </is>
      </c>
      <c r="R129" s="30" t="inlineStr">
        <is>
          <t>www.reebok.com</t>
        </is>
      </c>
      <c r="S129" s="31" t="n">
        <v>9102.0</v>
      </c>
      <c r="T129" s="32" t="inlineStr">
        <is>
          <t>1989: 3200, 1990: 3200, 1991: 4220, 1992: 4700, 1993: 4700, 1994: 6500, 1995: 7000, 1996: 6900, 1997: 6948, 1998: 6600, 1999: 6500, 2000: 6000, 2001: 6700, 2002: 7400, 2003: 7760, 2004: 9102</t>
        </is>
      </c>
      <c r="U129" s="33" t="inlineStr">
        <is>
          <t/>
        </is>
      </c>
      <c r="V129" s="34" t="inlineStr">
        <is>
          <t/>
        </is>
      </c>
      <c r="W129" s="35" t="n">
        <v>1958.0</v>
      </c>
      <c r="X129" s="36" t="inlineStr">
        <is>
          <t>Adidas</t>
        </is>
      </c>
      <c r="Y129" s="37" t="inlineStr">
        <is>
          <t/>
        </is>
      </c>
      <c r="Z129" s="38" t="inlineStr">
        <is>
          <t>News (New) </t>
        </is>
      </c>
      <c r="AA129" s="39" t="n">
        <v>2100.0</v>
      </c>
      <c r="AB129" s="40" t="inlineStr">
        <is>
          <t/>
        </is>
      </c>
      <c r="AC129" s="41" t="inlineStr">
        <is>
          <t/>
        </is>
      </c>
      <c r="AD129" s="42" t="inlineStr">
        <is>
          <t/>
        </is>
      </c>
      <c r="AE129" s="43" t="inlineStr">
        <is>
          <t/>
        </is>
      </c>
      <c r="AF129" s="44" t="inlineStr">
        <is>
          <t>FY 2017</t>
        </is>
      </c>
      <c r="AG129" s="45" t="inlineStr">
        <is>
          <t/>
        </is>
      </c>
      <c r="AH129" s="46" t="inlineStr">
        <is>
          <t/>
        </is>
      </c>
      <c r="AI129" s="47" t="inlineStr">
        <is>
          <t/>
        </is>
      </c>
      <c r="AJ129" s="48" t="inlineStr">
        <is>
          <t>61367-32P</t>
        </is>
      </c>
      <c r="AK129" s="49" t="inlineStr">
        <is>
          <t>Brett Hiltscher</t>
        </is>
      </c>
      <c r="AL129" s="50" t="inlineStr">
        <is>
          <t>Director Strategic Brand Initiatives</t>
        </is>
      </c>
      <c r="AM129" s="51" t="inlineStr">
        <is>
          <t>brett.hiltscher@reebok.com</t>
        </is>
      </c>
      <c r="AN129" s="52" t="inlineStr">
        <is>
          <t>+1 (781) 401-5000</t>
        </is>
      </c>
      <c r="AO129" s="53" t="inlineStr">
        <is>
          <t>Canton, MA</t>
        </is>
      </c>
      <c r="AP129" s="54" t="inlineStr">
        <is>
          <t>1895 JW Foster Boulevard</t>
        </is>
      </c>
      <c r="AQ129" s="55" t="inlineStr">
        <is>
          <t/>
        </is>
      </c>
      <c r="AR129" s="56" t="inlineStr">
        <is>
          <t>Canton</t>
        </is>
      </c>
      <c r="AS129" s="57" t="inlineStr">
        <is>
          <t>Massachusetts</t>
        </is>
      </c>
      <c r="AT129" s="58" t="inlineStr">
        <is>
          <t>02021</t>
        </is>
      </c>
      <c r="AU129" s="59" t="inlineStr">
        <is>
          <t>United States</t>
        </is>
      </c>
      <c r="AV129" s="60" t="inlineStr">
        <is>
          <t>+1 (781) 401-5000</t>
        </is>
      </c>
      <c r="AW129" s="61" t="inlineStr">
        <is>
          <t>+1 (781) 401-7402</t>
        </is>
      </c>
      <c r="AX129" s="62" t="inlineStr">
        <is>
          <t/>
        </is>
      </c>
      <c r="AY129" s="63" t="inlineStr">
        <is>
          <t>Americas</t>
        </is>
      </c>
      <c r="AZ129" s="64" t="inlineStr">
        <is>
          <t>North America</t>
        </is>
      </c>
      <c r="BA129" s="65" t="inlineStr">
        <is>
          <t>The company was in talks to be acquired by Jynwel Capital through a $2.2 billion LBO on October 20, 2014. Subsequently the deal was cancelled.</t>
        </is>
      </c>
      <c r="BB129" s="66" t="inlineStr">
        <is>
          <t/>
        </is>
      </c>
      <c r="BC129" s="67" t="inlineStr">
        <is>
          <t/>
        </is>
      </c>
      <c r="BD129" s="68" t="inlineStr">
        <is>
          <t>Adidas</t>
        </is>
      </c>
      <c r="BE129" s="69" t="inlineStr">
        <is>
          <t/>
        </is>
      </c>
      <c r="BF129" s="70" t="inlineStr">
        <is>
          <t>Jynwel Capital</t>
        </is>
      </c>
      <c r="BG129" s="71" t="inlineStr">
        <is>
          <t/>
        </is>
      </c>
      <c r="BH129" s="72" t="inlineStr">
        <is>
          <t/>
        </is>
      </c>
      <c r="BI129" s="73" t="inlineStr">
        <is>
          <t>Jynwel Capital(www.jynwelcapital.com)</t>
        </is>
      </c>
      <c r="BJ129" s="74" t="inlineStr">
        <is>
          <t>Boyanov &amp; Company(Legal Advisor), Buenos Aires Capital Partners(Advisor: General), Clarity Consultants(Consulting), Corporate Professional(Advisor: General), Elixir Advisors(Advisor: General), Engro Partners(Advisor: General), Faber Daeufer &amp; Itrato(Legal Advisor), Lexport(Legal Advisor), Opus Law Group(Legal Advisor), PMI Advisors(Consulting), Robert K. Futterman &amp; Associates(Consulting), Sideman &amp; Bancroft(Legal Advisor), Winthrop Group(Consulting)</t>
        </is>
      </c>
      <c r="BK129" s="75" t="inlineStr">
        <is>
          <t>Clayton Utz(Legal Advisor), Lehman Brothers(Advisor: General), Mackenzie Partners(Advisor: General), Ropes &amp; Gray(Legal Advisor)</t>
        </is>
      </c>
      <c r="BL129" s="76" t="n">
        <v>31048.0</v>
      </c>
      <c r="BM129" s="77" t="inlineStr">
        <is>
          <t/>
        </is>
      </c>
      <c r="BN129" s="78" t="inlineStr">
        <is>
          <t/>
        </is>
      </c>
      <c r="BO129" s="79" t="inlineStr">
        <is>
          <t/>
        </is>
      </c>
      <c r="BP129" s="80" t="inlineStr">
        <is>
          <t/>
        </is>
      </c>
      <c r="BQ129" s="81" t="inlineStr">
        <is>
          <t>IPO</t>
        </is>
      </c>
      <c r="BR129" s="82" t="inlineStr">
        <is>
          <t/>
        </is>
      </c>
      <c r="BS129" s="83" t="inlineStr">
        <is>
          <t/>
        </is>
      </c>
      <c r="BT129" s="84" t="inlineStr">
        <is>
          <t>Public Investment</t>
        </is>
      </c>
      <c r="BU129" s="85" t="inlineStr">
        <is>
          <t/>
        </is>
      </c>
      <c r="BV129" s="86" t="inlineStr">
        <is>
          <t/>
        </is>
      </c>
      <c r="BW129" s="87" t="inlineStr">
        <is>
          <t/>
        </is>
      </c>
      <c r="BX129" s="88" t="inlineStr">
        <is>
          <t>Completed</t>
        </is>
      </c>
      <c r="BY129" s="89" t="n">
        <v>41932.0</v>
      </c>
      <c r="BZ129" s="90" t="n">
        <v>2200.0</v>
      </c>
      <c r="CA129" s="91" t="inlineStr">
        <is>
          <t>Actual</t>
        </is>
      </c>
      <c r="CB129" s="92" t="n">
        <v>2200.0</v>
      </c>
      <c r="CC129" s="93" t="inlineStr">
        <is>
          <t/>
        </is>
      </c>
      <c r="CD129" s="94" t="inlineStr">
        <is>
          <t>Buyout/LBO</t>
        </is>
      </c>
      <c r="CE129" s="95" t="inlineStr">
        <is>
          <t/>
        </is>
      </c>
      <c r="CF129" s="96" t="inlineStr">
        <is>
          <t/>
        </is>
      </c>
      <c r="CG129" s="97" t="inlineStr">
        <is>
          <t>Private Equity</t>
        </is>
      </c>
      <c r="CH129" s="98" t="inlineStr">
        <is>
          <t/>
        </is>
      </c>
      <c r="CI129" s="99" t="inlineStr">
        <is>
          <t/>
        </is>
      </c>
      <c r="CJ129" s="100" t="inlineStr">
        <is>
          <t/>
        </is>
      </c>
      <c r="CK129" s="101" t="inlineStr">
        <is>
          <t>Failed/Cancelled</t>
        </is>
      </c>
      <c r="CL129" s="102" t="inlineStr">
        <is>
          <t/>
        </is>
      </c>
      <c r="CM129" s="103" t="inlineStr">
        <is>
          <t/>
        </is>
      </c>
      <c r="CN129" s="104" t="n">
        <v>0.0</v>
      </c>
      <c r="CO129" s="105" t="n">
        <v>18.0</v>
      </c>
      <c r="CP129" s="106" t="n">
        <v>0.08</v>
      </c>
      <c r="CQ129" s="107" t="n">
        <v>94.92</v>
      </c>
      <c r="CR129" s="108" t="n">
        <v>0.02</v>
      </c>
      <c r="CS129" s="109" t="n">
        <v>86.0</v>
      </c>
      <c r="CT129" s="110" t="n">
        <v>-0.03</v>
      </c>
      <c r="CU129" s="111" t="n">
        <v>20.0</v>
      </c>
      <c r="CV129" s="112" t="n">
        <v>0.01</v>
      </c>
      <c r="CW129" s="113" t="n">
        <v>81.0</v>
      </c>
      <c r="CX129" s="114" t="n">
        <v>0.04</v>
      </c>
      <c r="CY129" s="115" t="n">
        <v>85.0</v>
      </c>
      <c r="CZ129" s="116" t="n">
        <v>-0.03</v>
      </c>
      <c r="DA129" s="117" t="n">
        <v>23.0</v>
      </c>
      <c r="DB129" s="118" t="n">
        <v>1312.78</v>
      </c>
      <c r="DC129" s="119" t="n">
        <v>100.0</v>
      </c>
      <c r="DD129" s="120" t="n">
        <v>32.36</v>
      </c>
      <c r="DE129" s="121" t="n">
        <v>2.53</v>
      </c>
      <c r="DF129" s="122" t="n">
        <v>588.14</v>
      </c>
      <c r="DG129" s="123" t="n">
        <v>100.0</v>
      </c>
      <c r="DH129" s="124" t="n">
        <v>2037.42</v>
      </c>
      <c r="DI129" s="125" t="n">
        <v>100.0</v>
      </c>
      <c r="DJ129" s="126" t="n">
        <v>737.11</v>
      </c>
      <c r="DK129" s="127" t="n">
        <v>100.0</v>
      </c>
      <c r="DL129" s="128" t="n">
        <v>439.18</v>
      </c>
      <c r="DM129" s="129" t="n">
        <v>100.0</v>
      </c>
      <c r="DN129" s="130" t="n">
        <v>2037.42</v>
      </c>
      <c r="DO129" s="131" t="n">
        <v>100.0</v>
      </c>
      <c r="DP129" s="132" t="n">
        <v>527104.0</v>
      </c>
      <c r="DQ129" s="133" t="n">
        <v>-13902.0</v>
      </c>
      <c r="DR129" s="134" t="n">
        <v>-2.57</v>
      </c>
      <c r="DS129" s="135" t="n">
        <v>14903.0</v>
      </c>
      <c r="DT129" s="136" t="n">
        <v>146.0</v>
      </c>
      <c r="DU129" s="137" t="n">
        <v>0.99</v>
      </c>
      <c r="DV129" s="138" t="n">
        <v>731570.0</v>
      </c>
      <c r="DW129" s="139" t="n">
        <v>-567.0</v>
      </c>
      <c r="DX129" s="140" t="n">
        <v>-0.08</v>
      </c>
      <c r="DY129" s="141" t="inlineStr">
        <is>
          <t>PitchBook Research</t>
        </is>
      </c>
      <c r="DZ129" s="142" t="n">
        <v>43524.0</v>
      </c>
      <c r="EA129" s="143" t="n">
        <v>2200.0</v>
      </c>
      <c r="EB129" s="144" t="n">
        <v>41932.0</v>
      </c>
      <c r="EC129" s="145" t="inlineStr">
        <is>
          <t>Buyout/LBO</t>
        </is>
      </c>
      <c r="ED129" s="547">
        <f>HYPERLINK("https://my.pitchbook.com?c=41265-55", "View company online")</f>
      </c>
    </row>
    <row r="130">
      <c r="A130" s="147" t="inlineStr">
        <is>
          <t>41355-73</t>
        </is>
      </c>
      <c r="B130" s="148" t="inlineStr">
        <is>
          <t>Jo-Ann Stores</t>
        </is>
      </c>
      <c r="C130" s="149" t="inlineStr">
        <is>
          <t>Fabri Centers Of America</t>
        </is>
      </c>
      <c r="D130" s="150" t="inlineStr">
        <is>
          <t>Joann</t>
        </is>
      </c>
      <c r="E130" s="151" t="inlineStr">
        <is>
          <t>41355-73</t>
        </is>
      </c>
      <c r="F130" s="152" t="inlineStr">
        <is>
          <t>Operator of a chain of craft stores in the U.S. The company operates 756 stores in 48 states, selling fabrics and other craft products.</t>
        </is>
      </c>
      <c r="G130" s="153" t="inlineStr">
        <is>
          <t>Consumer Products and Services (B2C)</t>
        </is>
      </c>
      <c r="H130" s="154" t="inlineStr">
        <is>
          <t>Retail</t>
        </is>
      </c>
      <c r="I130" s="155" t="inlineStr">
        <is>
          <t>Specialty Retail</t>
        </is>
      </c>
      <c r="J130" s="156" t="inlineStr">
        <is>
          <t>Home Furnishings, Other Apparel, Specialty Retail*</t>
        </is>
      </c>
      <c r="K130" s="157" t="inlineStr">
        <is>
          <t/>
        </is>
      </c>
      <c r="L130" s="158" t="inlineStr">
        <is>
          <t>craft stores, fabrics stores</t>
        </is>
      </c>
      <c r="M130" s="159" t="inlineStr">
        <is>
          <t>Private Equity-Backed</t>
        </is>
      </c>
      <c r="N130" s="160" t="n">
        <v>229.25</v>
      </c>
      <c r="O130" s="161" t="inlineStr">
        <is>
          <t>Profitable</t>
        </is>
      </c>
      <c r="P130" s="162" t="inlineStr">
        <is>
          <t>Privately Held (backing)</t>
        </is>
      </c>
      <c r="Q130" s="163" t="inlineStr">
        <is>
          <t>Debt Financed, Private Equity, Publicly Listed</t>
        </is>
      </c>
      <c r="R130" s="164" t="inlineStr">
        <is>
          <t>www.joann.com</t>
        </is>
      </c>
      <c r="S130" s="165" t="n">
        <v>23000.0</v>
      </c>
      <c r="T130" s="166" t="inlineStr">
        <is>
          <t>1990: 6500, 1991: 6510, 1992: 10200, 1993: 10200, 1994: 11400, 1995: 17600, 1996: 17200, 1997: 17100, 1998: 16400, 1999: 22000, 2000: 22600, 2001: 22300, 2002: 22100, 2003: 21200, 2004: 21750, 2005: 22251, 2006: 24060, 2007: 22280, 2008: 21707, 2009: 21708, 2010: 21135, 2011: 21453, 2016: 23000</t>
        </is>
      </c>
      <c r="U130" s="167" t="inlineStr">
        <is>
          <t/>
        </is>
      </c>
      <c r="V130" s="168" t="inlineStr">
        <is>
          <t/>
        </is>
      </c>
      <c r="W130" s="169" t="n">
        <v>1943.0</v>
      </c>
      <c r="X130" s="170" t="inlineStr">
        <is>
          <t/>
        </is>
      </c>
      <c r="Y130" s="171" t="inlineStr">
        <is>
          <t/>
        </is>
      </c>
      <c r="Z130" s="172" t="inlineStr">
        <is>
          <t/>
        </is>
      </c>
      <c r="AA130" s="173" t="n">
        <v>2079.0</v>
      </c>
      <c r="AB130" s="174" t="n">
        <v>1040.6</v>
      </c>
      <c r="AC130" s="175" t="n">
        <v>93.1</v>
      </c>
      <c r="AD130" s="176" t="n">
        <v>1439.71</v>
      </c>
      <c r="AE130" s="177" t="n">
        <v>211.1</v>
      </c>
      <c r="AF130" s="178" t="inlineStr">
        <is>
          <t>FY 2011</t>
        </is>
      </c>
      <c r="AG130" s="179" t="inlineStr">
        <is>
          <t/>
        </is>
      </c>
      <c r="AH130" s="180" t="inlineStr">
        <is>
          <t/>
        </is>
      </c>
      <c r="AI130" s="181" t="inlineStr">
        <is>
          <t/>
        </is>
      </c>
      <c r="AJ130" s="182" t="inlineStr">
        <is>
          <t>140039-20P</t>
        </is>
      </c>
      <c r="AK130" s="183" t="inlineStr">
        <is>
          <t>Matt Susz</t>
        </is>
      </c>
      <c r="AL130" s="184" t="inlineStr">
        <is>
          <t>Chief Information Officer &amp; Senior Vice President</t>
        </is>
      </c>
      <c r="AM130" s="185" t="inlineStr">
        <is>
          <t>matt.susz@joann.com</t>
        </is>
      </c>
      <c r="AN130" s="186" t="inlineStr">
        <is>
          <t>+1 (888) 739-4120</t>
        </is>
      </c>
      <c r="AO130" s="187" t="inlineStr">
        <is>
          <t>Hudson, OH</t>
        </is>
      </c>
      <c r="AP130" s="188" t="inlineStr">
        <is>
          <t>5555 Darrow Road</t>
        </is>
      </c>
      <c r="AQ130" s="189" t="inlineStr">
        <is>
          <t/>
        </is>
      </c>
      <c r="AR130" s="190" t="inlineStr">
        <is>
          <t>Hudson</t>
        </is>
      </c>
      <c r="AS130" s="191" t="inlineStr">
        <is>
          <t>Ohio</t>
        </is>
      </c>
      <c r="AT130" s="192" t="inlineStr">
        <is>
          <t>44236</t>
        </is>
      </c>
      <c r="AU130" s="193" t="inlineStr">
        <is>
          <t>United States</t>
        </is>
      </c>
      <c r="AV130" s="194" t="inlineStr">
        <is>
          <t>+1 (888) 739-4120</t>
        </is>
      </c>
      <c r="AW130" s="195" t="inlineStr">
        <is>
          <t/>
        </is>
      </c>
      <c r="AX130" s="196" t="inlineStr">
        <is>
          <t>info@joann.com</t>
        </is>
      </c>
      <c r="AY130" s="197" t="inlineStr">
        <is>
          <t>Americas</t>
        </is>
      </c>
      <c r="AZ130" s="198" t="inlineStr">
        <is>
          <t>North America</t>
        </is>
      </c>
      <c r="BA130" s="199" t="inlineStr">
        <is>
          <t>The company received $225 million of debt financing in an undisclosed form on May 21, 2018, from Bank of America, Barclays Bank and JP Morgan Chase Bank.</t>
        </is>
      </c>
      <c r="BB130" s="200" t="inlineStr">
        <is>
          <t>Crescent Capital Group, Leonard Green &amp; Partners, Saints Capital</t>
        </is>
      </c>
      <c r="BC130" s="201" t="n">
        <v>3.0</v>
      </c>
      <c r="BD130" s="202" t="inlineStr">
        <is>
          <t/>
        </is>
      </c>
      <c r="BE130" s="203" t="inlineStr">
        <is>
          <t/>
        </is>
      </c>
      <c r="BF130" s="204" t="inlineStr">
        <is>
          <t/>
        </is>
      </c>
      <c r="BG130" s="205" t="inlineStr">
        <is>
          <t>Crescent Capital Group(www.crescentcap.com), Leonard Green &amp; Partners(www.leonardgreen.com), Saints Capital(www.saintscapital.com)</t>
        </is>
      </c>
      <c r="BH130" s="206" t="inlineStr">
        <is>
          <t/>
        </is>
      </c>
      <c r="BI130" s="207" t="inlineStr">
        <is>
          <t/>
        </is>
      </c>
      <c r="BJ130" s="208" t="inlineStr">
        <is>
          <t>Cahill Gordon &amp; Reindel(Legal Advisor), Cowan, Liebowitz &amp; Latman(Legal Advisor), Earthbound Brands(Consulting), Emprise Partners(Advisor: General), Goldstein &amp; McClintock(Legal Advisor), Greif &amp; Company(Advisor: General), Lehman Brothers(Advisor: General), Sorling Northrup(Legal Advisor), Ulmer &amp; Berne(Legal Advisor), Wyatt Tarrant &amp; Combs(Legal Advisor)</t>
        </is>
      </c>
      <c r="BK130" s="209" t="inlineStr">
        <is>
          <t>Bank of America(Debt Financing), Bank of America Merrill Lynch(Debt Financing), Barclays Investment Bank(Advisor: General), Centerview Partners(Advisor: General), Corporate Capital Trust(Debt Financing), Crescent Capital Group(Debt Financing), De Lage Landen(Debt Financing), Duff &amp; Phelps(Advisor: General), Emprise Partners(Advisor: General), Financo(Advisor: General), FS Investment II(Debt Financing), Greif &amp; Company(Advisor: General), Ingram Book Group(Debt Financing), International Business Machines(Debt Financing), J.P. Morgan(Debt Financing), Konica Minolta Business Solutions U.S.A.(Debt Financing), Latham &amp; Watkins(Legal Advisor), League Park Advisors(Advisor: General), Logicalis US(Debt Financing), Meridian Leasing(Debt Financing), NCR(Debt Financing), Simplicity Creative Group(Debt Financing), Sullivan &amp; Cromwell(Legal Advisor), The McCall Pattern Company(Debt Financing), The Oldham Group(Debt Financing), Thompson Hine(Legal Advisor), TNG GP(Debt Financing), Wells Fargo(Debt Financing)</t>
        </is>
      </c>
      <c r="BL130" s="210" t="n">
        <v>25204.0</v>
      </c>
      <c r="BM130" s="211" t="inlineStr">
        <is>
          <t/>
        </is>
      </c>
      <c r="BN130" s="212" t="inlineStr">
        <is>
          <t/>
        </is>
      </c>
      <c r="BO130" s="213" t="inlineStr">
        <is>
          <t/>
        </is>
      </c>
      <c r="BP130" s="214" t="inlineStr">
        <is>
          <t/>
        </is>
      </c>
      <c r="BQ130" s="215" t="inlineStr">
        <is>
          <t>IPO</t>
        </is>
      </c>
      <c r="BR130" s="216" t="inlineStr">
        <is>
          <t/>
        </is>
      </c>
      <c r="BS130" s="217" t="inlineStr">
        <is>
          <t/>
        </is>
      </c>
      <c r="BT130" s="218" t="inlineStr">
        <is>
          <t>Public Investment</t>
        </is>
      </c>
      <c r="BU130" s="219" t="inlineStr">
        <is>
          <t/>
        </is>
      </c>
      <c r="BV130" s="220" t="inlineStr">
        <is>
          <t/>
        </is>
      </c>
      <c r="BW130" s="221" t="inlineStr">
        <is>
          <t/>
        </is>
      </c>
      <c r="BX130" s="222" t="inlineStr">
        <is>
          <t>Completed</t>
        </is>
      </c>
      <c r="BY130" s="223" t="n">
        <v>43373.0</v>
      </c>
      <c r="BZ130" s="224" t="n">
        <v>4.25</v>
      </c>
      <c r="CA130" s="225" t="inlineStr">
        <is>
          <t>Actual</t>
        </is>
      </c>
      <c r="CB130" s="226" t="inlineStr">
        <is>
          <t/>
        </is>
      </c>
      <c r="CC130" s="227" t="inlineStr">
        <is>
          <t/>
        </is>
      </c>
      <c r="CD130" s="228" t="inlineStr">
        <is>
          <t>Debt - General</t>
        </is>
      </c>
      <c r="CE130" s="229" t="inlineStr">
        <is>
          <t/>
        </is>
      </c>
      <c r="CF130" s="230" t="inlineStr">
        <is>
          <t/>
        </is>
      </c>
      <c r="CG130" s="231" t="inlineStr">
        <is>
          <t>Debt</t>
        </is>
      </c>
      <c r="CH130" s="232" t="inlineStr">
        <is>
          <t>First Lien</t>
        </is>
      </c>
      <c r="CI130" s="233" t="inlineStr">
        <is>
          <t/>
        </is>
      </c>
      <c r="CJ130" s="234" t="inlineStr">
        <is>
          <t/>
        </is>
      </c>
      <c r="CK130" s="235" t="inlineStr">
        <is>
          <t>Completed</t>
        </is>
      </c>
      <c r="CL130" s="236" t="n">
        <v>43373.0</v>
      </c>
      <c r="CM130" s="237" t="n">
        <v>4.25</v>
      </c>
      <c r="CN130" s="238" t="n">
        <v>0.71</v>
      </c>
      <c r="CO130" s="239" t="n">
        <v>96.0</v>
      </c>
      <c r="CP130" s="240" t="n">
        <v>0.06</v>
      </c>
      <c r="CQ130" s="241" t="n">
        <v>8.66</v>
      </c>
      <c r="CR130" s="242" t="n">
        <v>0.63</v>
      </c>
      <c r="CS130" s="243" t="n">
        <v>95.0</v>
      </c>
      <c r="CT130" s="244" t="n">
        <v>0.05</v>
      </c>
      <c r="CU130" s="245" t="n">
        <v>64.0</v>
      </c>
      <c r="CV130" s="246" t="n">
        <v>0.84</v>
      </c>
      <c r="CW130" s="247" t="n">
        <v>86.0</v>
      </c>
      <c r="CX130" s="248" t="n">
        <v>0.42</v>
      </c>
      <c r="CY130" s="249" t="n">
        <v>93.0</v>
      </c>
      <c r="CZ130" s="250" t="n">
        <v>0.05</v>
      </c>
      <c r="DA130" s="251" t="n">
        <v>69.0</v>
      </c>
      <c r="DB130" s="252" t="n">
        <v>1964.64</v>
      </c>
      <c r="DC130" s="253" t="n">
        <v>100.0</v>
      </c>
      <c r="DD130" s="254" t="n">
        <v>105.9</v>
      </c>
      <c r="DE130" s="255" t="n">
        <v>5.7</v>
      </c>
      <c r="DF130" s="256" t="n">
        <v>1494.28</v>
      </c>
      <c r="DG130" s="257" t="n">
        <v>100.0</v>
      </c>
      <c r="DH130" s="258" t="n">
        <v>304.59</v>
      </c>
      <c r="DI130" s="259" t="n">
        <v>99.0</v>
      </c>
      <c r="DJ130" s="260" t="n">
        <v>2419.47</v>
      </c>
      <c r="DK130" s="261" t="n">
        <v>100.0</v>
      </c>
      <c r="DL130" s="262" t="n">
        <v>569.09</v>
      </c>
      <c r="DM130" s="263" t="n">
        <v>100.0</v>
      </c>
      <c r="DN130" s="264" t="n">
        <v>304.59</v>
      </c>
      <c r="DO130" s="265" t="n">
        <v>99.0</v>
      </c>
      <c r="DP130" s="266" t="n">
        <v>1726318.0</v>
      </c>
      <c r="DQ130" s="267" t="n">
        <v>-11127.0</v>
      </c>
      <c r="DR130" s="268" t="n">
        <v>-0.64</v>
      </c>
      <c r="DS130" s="269" t="n">
        <v>19271.0</v>
      </c>
      <c r="DT130" s="270" t="n">
        <v>165.0</v>
      </c>
      <c r="DU130" s="271" t="n">
        <v>0.86</v>
      </c>
      <c r="DV130" s="272" t="n">
        <v>109349.0</v>
      </c>
      <c r="DW130" s="273" t="n">
        <v>-2.0</v>
      </c>
      <c r="DX130" s="274" t="n">
        <v>0.0</v>
      </c>
      <c r="DY130" s="275" t="inlineStr">
        <is>
          <t>PitchBook Research</t>
        </is>
      </c>
      <c r="DZ130" s="276" t="n">
        <v>43549.0</v>
      </c>
      <c r="EA130" s="277" t="n">
        <v>1600.0</v>
      </c>
      <c r="EB130" s="278" t="n">
        <v>40620.0</v>
      </c>
      <c r="EC130" s="279" t="inlineStr">
        <is>
          <t>Buyout/LBO</t>
        </is>
      </c>
      <c r="ED130" s="548">
        <f>HYPERLINK("https://my.pitchbook.com?c=41355-73", "View company online")</f>
      </c>
    </row>
    <row r="131">
      <c r="A131" s="13" t="inlineStr">
        <is>
          <t>60729-40</t>
        </is>
      </c>
      <c r="B131" s="14" t="inlineStr">
        <is>
          <t>Luk Fook Holdings (HKG: 00590)</t>
        </is>
      </c>
      <c r="C131" s="15" t="inlineStr">
        <is>
          <t/>
        </is>
      </c>
      <c r="D131" s="16" t="inlineStr">
        <is>
          <t/>
        </is>
      </c>
      <c r="E131" s="17" t="inlineStr">
        <is>
          <t>60729-40</t>
        </is>
      </c>
      <c r="F131" s="18" t="inlineStr">
        <is>
          <t>Luk Fook Holdings (International) Ltd is a Hong Kong-based investment holding company principally engaged in the jewelry business. The main activities of the company include the sourcing, design, wholesale, trademark licensing, and retailing of gold and platinum jewelry and gem-set jewelry products. The company operates through the following five segments: Retailing in Hong Kong, Macau and Overseas; Retailing in Mainland China; Wholesaling in Hong Kong; Wholesaling in Mainland China; and Licensing. It earns most of its revenue from the Retailing in Hong Kong, Macau and Overseas segment.</t>
        </is>
      </c>
      <c r="G131" s="19" t="inlineStr">
        <is>
          <t>Consumer Products and Services (B2C)</t>
        </is>
      </c>
      <c r="H131" s="20" t="inlineStr">
        <is>
          <t>Apparel and Accessories</t>
        </is>
      </c>
      <c r="I131" s="21" t="inlineStr">
        <is>
          <t>Luxury Goods</t>
        </is>
      </c>
      <c r="J131" s="22" t="inlineStr">
        <is>
          <t>Luxury Goods*, Specialty Retail</t>
        </is>
      </c>
      <c r="K131" s="23" t="inlineStr">
        <is>
          <t/>
        </is>
      </c>
      <c r="L131" s="24" t="inlineStr">
        <is>
          <t/>
        </is>
      </c>
      <c r="M131" s="25" t="inlineStr">
        <is>
          <t>Corporation</t>
        </is>
      </c>
      <c r="N131" s="26" t="inlineStr">
        <is>
          <t/>
        </is>
      </c>
      <c r="O131" s="27" t="inlineStr">
        <is>
          <t>Profitable</t>
        </is>
      </c>
      <c r="P131" s="28" t="inlineStr">
        <is>
          <t>Publicly Held</t>
        </is>
      </c>
      <c r="Q131" s="29" t="inlineStr">
        <is>
          <t>Publicly Listed</t>
        </is>
      </c>
      <c r="R131" s="30" t="inlineStr">
        <is>
          <t>www.lukfook.com</t>
        </is>
      </c>
      <c r="S131" s="31" t="n">
        <v>7800.0</v>
      </c>
      <c r="T131" s="32" t="inlineStr">
        <is>
          <t>2003: 636, 2004: 700, 2005: 1550, 2006: 1726, 2007: 2124, 2008: 2377, 2010: 3053, 2011: 3560, 2012: 5100, 2013: 5900, 2014: 6700, 2015: 6900, 2016: 7100, 2017: 7400, 2018: 7800</t>
        </is>
      </c>
      <c r="U131" s="33" t="inlineStr">
        <is>
          <t>HKG</t>
        </is>
      </c>
      <c r="V131" s="34" t="inlineStr">
        <is>
          <t>00590</t>
        </is>
      </c>
      <c r="W131" s="35" t="inlineStr">
        <is>
          <t/>
        </is>
      </c>
      <c r="X131" s="36" t="inlineStr">
        <is>
          <t/>
        </is>
      </c>
      <c r="Y131" s="37" t="inlineStr">
        <is>
          <t/>
        </is>
      </c>
      <c r="Z131" s="38" t="inlineStr">
        <is>
          <t/>
        </is>
      </c>
      <c r="AA131" s="39" t="n">
        <v>2062.52</v>
      </c>
      <c r="AB131" s="40" t="n">
        <v>505.31</v>
      </c>
      <c r="AC131" s="41" t="n">
        <v>193.36</v>
      </c>
      <c r="AD131" s="42" t="n">
        <v>1877.89</v>
      </c>
      <c r="AE131" s="43" t="n">
        <v>246.41</v>
      </c>
      <c r="AF131" s="44" t="inlineStr">
        <is>
          <t>TTM 2Q2019</t>
        </is>
      </c>
      <c r="AG131" s="45" t="n">
        <v>230.08</v>
      </c>
      <c r="AH131" s="46" t="n">
        <v>1993.67</v>
      </c>
      <c r="AI131" s="47" t="n">
        <v>15.61</v>
      </c>
      <c r="AJ131" s="48" t="inlineStr">
        <is>
          <t>86883-22P</t>
        </is>
      </c>
      <c r="AK131" s="49" t="inlineStr">
        <is>
          <t>Wong Sheung</t>
        </is>
      </c>
      <c r="AL131" s="50" t="inlineStr">
        <is>
          <t>Chief Executive Officer &amp; Chairman</t>
        </is>
      </c>
      <c r="AM131" s="51" t="inlineStr">
        <is>
          <t/>
        </is>
      </c>
      <c r="AN131" s="52" t="inlineStr">
        <is>
          <t>+852 2308 1218</t>
        </is>
      </c>
      <c r="AO131" s="53" t="inlineStr">
        <is>
          <t>Kowloon, Hong Kong</t>
        </is>
      </c>
      <c r="AP131" s="54" t="inlineStr">
        <is>
          <t>Luk Fook Jewellery Centre</t>
        </is>
      </c>
      <c r="AQ131" s="55" t="inlineStr">
        <is>
          <t>No. 239 Temple Street, Jordan</t>
        </is>
      </c>
      <c r="AR131" s="56" t="inlineStr">
        <is>
          <t>Kowloon</t>
        </is>
      </c>
      <c r="AS131" s="57" t="inlineStr">
        <is>
          <t/>
        </is>
      </c>
      <c r="AT131" s="58" t="inlineStr">
        <is>
          <t/>
        </is>
      </c>
      <c r="AU131" s="59" t="inlineStr">
        <is>
          <t>Hong Kong</t>
        </is>
      </c>
      <c r="AV131" s="60" t="inlineStr">
        <is>
          <t>+852 2308 1218</t>
        </is>
      </c>
      <c r="AW131" s="61" t="inlineStr">
        <is>
          <t>+852 2374 1696</t>
        </is>
      </c>
      <c r="AX131" s="62" t="inlineStr">
        <is>
          <t/>
        </is>
      </c>
      <c r="AY131" s="63" t="inlineStr">
        <is>
          <t>Asia</t>
        </is>
      </c>
      <c r="AZ131" s="64" t="inlineStr">
        <is>
          <t>East Asia</t>
        </is>
      </c>
      <c r="BA131" s="65" t="inlineStr">
        <is>
          <t/>
        </is>
      </c>
      <c r="BB131" s="66" t="inlineStr">
        <is>
          <t/>
        </is>
      </c>
      <c r="BC131" s="67" t="inlineStr">
        <is>
          <t/>
        </is>
      </c>
      <c r="BD131" s="68" t="inlineStr">
        <is>
          <t/>
        </is>
      </c>
      <c r="BE131" s="69" t="inlineStr">
        <is>
          <t/>
        </is>
      </c>
      <c r="BF131" s="70" t="inlineStr">
        <is>
          <t/>
        </is>
      </c>
      <c r="BG131" s="71" t="inlineStr">
        <is>
          <t/>
        </is>
      </c>
      <c r="BH131" s="72" t="inlineStr">
        <is>
          <t/>
        </is>
      </c>
      <c r="BI131" s="73" t="inlineStr">
        <is>
          <t/>
        </is>
      </c>
      <c r="BJ131" s="74" t="inlineStr">
        <is>
          <t/>
        </is>
      </c>
      <c r="BK131" s="75" t="inlineStr">
        <is>
          <t/>
        </is>
      </c>
      <c r="BL131" s="76" t="inlineStr">
        <is>
          <t/>
        </is>
      </c>
      <c r="BM131" s="77" t="inlineStr">
        <is>
          <t/>
        </is>
      </c>
      <c r="BN131" s="78" t="inlineStr">
        <is>
          <t/>
        </is>
      </c>
      <c r="BO131" s="79" t="inlineStr">
        <is>
          <t/>
        </is>
      </c>
      <c r="BP131" s="80" t="inlineStr">
        <is>
          <t/>
        </is>
      </c>
      <c r="BQ131" s="81" t="inlineStr">
        <is>
          <t/>
        </is>
      </c>
      <c r="BR131" s="82" t="inlineStr">
        <is>
          <t/>
        </is>
      </c>
      <c r="BS131" s="83" t="inlineStr">
        <is>
          <t/>
        </is>
      </c>
      <c r="BT131" s="84" t="inlineStr">
        <is>
          <t/>
        </is>
      </c>
      <c r="BU131" s="85" t="inlineStr">
        <is>
          <t/>
        </is>
      </c>
      <c r="BV131" s="86" t="inlineStr">
        <is>
          <t/>
        </is>
      </c>
      <c r="BW131" s="87" t="inlineStr">
        <is>
          <t/>
        </is>
      </c>
      <c r="BX131" s="88" t="inlineStr">
        <is>
          <t/>
        </is>
      </c>
      <c r="BY131" s="89" t="inlineStr">
        <is>
          <t/>
        </is>
      </c>
      <c r="BZ131" s="90" t="inlineStr">
        <is>
          <t/>
        </is>
      </c>
      <c r="CA131" s="91" t="inlineStr">
        <is>
          <t/>
        </is>
      </c>
      <c r="CB131" s="92" t="inlineStr">
        <is>
          <t/>
        </is>
      </c>
      <c r="CC131" s="93" t="inlineStr">
        <is>
          <t/>
        </is>
      </c>
      <c r="CD131" s="94" t="inlineStr">
        <is>
          <t/>
        </is>
      </c>
      <c r="CE131" s="95" t="inlineStr">
        <is>
          <t/>
        </is>
      </c>
      <c r="CF131" s="96" t="inlineStr">
        <is>
          <t/>
        </is>
      </c>
      <c r="CG131" s="97" t="inlineStr">
        <is>
          <t/>
        </is>
      </c>
      <c r="CH131" s="98" t="inlineStr">
        <is>
          <t/>
        </is>
      </c>
      <c r="CI131" s="99" t="inlineStr">
        <is>
          <t/>
        </is>
      </c>
      <c r="CJ131" s="100" t="inlineStr">
        <is>
          <t/>
        </is>
      </c>
      <c r="CK131" s="101" t="inlineStr">
        <is>
          <t/>
        </is>
      </c>
      <c r="CL131" s="102" t="inlineStr">
        <is>
          <t/>
        </is>
      </c>
      <c r="CM131" s="103" t="inlineStr">
        <is>
          <t/>
        </is>
      </c>
      <c r="CN131" s="104" t="n">
        <v>1.0</v>
      </c>
      <c r="CO131" s="105" t="n">
        <v>98.0</v>
      </c>
      <c r="CP131" s="106" t="n">
        <v>0.02</v>
      </c>
      <c r="CQ131" s="107" t="n">
        <v>1.87</v>
      </c>
      <c r="CR131" s="108" t="n">
        <v>2.78</v>
      </c>
      <c r="CS131" s="109" t="n">
        <v>100.0</v>
      </c>
      <c r="CT131" s="110" t="n">
        <v>0.08</v>
      </c>
      <c r="CU131" s="111" t="n">
        <v>69.0</v>
      </c>
      <c r="CV131" s="112" t="n">
        <v>4.7</v>
      </c>
      <c r="CW131" s="113" t="n">
        <v>96.0</v>
      </c>
      <c r="CX131" s="114" t="n">
        <v>0.86</v>
      </c>
      <c r="CY131" s="115" t="n">
        <v>97.0</v>
      </c>
      <c r="CZ131" s="116" t="n">
        <v>0.0</v>
      </c>
      <c r="DA131" s="117" t="n">
        <v>28.0</v>
      </c>
      <c r="DB131" s="118" t="n">
        <v>27.5</v>
      </c>
      <c r="DC131" s="119" t="n">
        <v>96.0</v>
      </c>
      <c r="DD131" s="120" t="n">
        <v>2.44</v>
      </c>
      <c r="DE131" s="121" t="n">
        <v>9.74</v>
      </c>
      <c r="DF131" s="122" t="n">
        <v>29.73</v>
      </c>
      <c r="DG131" s="123" t="n">
        <v>97.0</v>
      </c>
      <c r="DH131" s="124" t="n">
        <v>23.89</v>
      </c>
      <c r="DI131" s="125" t="n">
        <v>92.0</v>
      </c>
      <c r="DJ131" s="126" t="n">
        <v>2.02</v>
      </c>
      <c r="DK131" s="127" t="n">
        <v>65.0</v>
      </c>
      <c r="DL131" s="128" t="n">
        <v>57.44</v>
      </c>
      <c r="DM131" s="129" t="n">
        <v>98.0</v>
      </c>
      <c r="DN131" s="130" t="n">
        <v>0.23</v>
      </c>
      <c r="DO131" s="131" t="n">
        <v>26.0</v>
      </c>
      <c r="DP131" s="132" t="n">
        <v>1434.0</v>
      </c>
      <c r="DQ131" s="133" t="n">
        <v>73.0</v>
      </c>
      <c r="DR131" s="134" t="n">
        <v>5.36</v>
      </c>
      <c r="DS131" s="135" t="n">
        <v>1947.0</v>
      </c>
      <c r="DT131" s="136" t="n">
        <v>17.0</v>
      </c>
      <c r="DU131" s="137" t="n">
        <v>0.88</v>
      </c>
      <c r="DV131" s="138" t="n">
        <v>81.0</v>
      </c>
      <c r="DW131" s="139" t="n">
        <v>-1.0</v>
      </c>
      <c r="DX131" s="140" t="n">
        <v>-1.22</v>
      </c>
      <c r="DY131" s="141" t="inlineStr">
        <is>
          <t>PitchBook Research</t>
        </is>
      </c>
      <c r="DZ131" s="142" t="n">
        <v>43492.0</v>
      </c>
      <c r="EA131" s="143" t="inlineStr">
        <is>
          <t/>
        </is>
      </c>
      <c r="EB131" s="144" t="inlineStr">
        <is>
          <t/>
        </is>
      </c>
      <c r="EC131" s="145" t="inlineStr">
        <is>
          <t/>
        </is>
      </c>
      <c r="ED131" s="547">
        <f>HYPERLINK("https://my.pitchbook.com?c=60729-40", "View company online")</f>
      </c>
    </row>
    <row r="132">
      <c r="A132" s="147" t="inlineStr">
        <is>
          <t>13373-83</t>
        </is>
      </c>
      <c r="B132" s="148" t="inlineStr">
        <is>
          <t>Deckers Brands (NYS: DECK)</t>
        </is>
      </c>
      <c r="C132" s="149" t="inlineStr">
        <is>
          <t/>
        </is>
      </c>
      <c r="D132" s="150" t="inlineStr">
        <is>
          <t>Deckers</t>
        </is>
      </c>
      <c r="E132" s="151" t="inlineStr">
        <is>
          <t>13373-83</t>
        </is>
      </c>
      <c r="F132" s="152" t="inlineStr">
        <is>
          <t>Deckers Outdoor Corp designs and sells casual and performance footwear, apparel, and accessories. Primary brands include UGG, Teva, and Sanuk. The company distributes most of its products through its wholesale business, but it also has a substantial direct-to-consumer business with its company-owned retail stores and websites. Most sales are in the United States, although the company also has retail stores and distributors throughout Europe, Asia, Canada, and Latin America. Deckers sources its products from independent manufacturers primarily in Asia.</t>
        </is>
      </c>
      <c r="G132" s="153" t="inlineStr">
        <is>
          <t>Consumer Products and Services (B2C)</t>
        </is>
      </c>
      <c r="H132" s="154" t="inlineStr">
        <is>
          <t>Apparel and Accessories</t>
        </is>
      </c>
      <c r="I132" s="155" t="inlineStr">
        <is>
          <t>Footwear</t>
        </is>
      </c>
      <c r="J132" s="156" t="inlineStr">
        <is>
          <t>Accessories, Clothing, Footwear*</t>
        </is>
      </c>
      <c r="K132" s="157" t="inlineStr">
        <is>
          <t>E-Commerce, TMT</t>
        </is>
      </c>
      <c r="L132" s="158" t="inlineStr">
        <is>
          <t>apparel and accessories, casual footwear, footwear designer, footwear distributor, outdoor clothing</t>
        </is>
      </c>
      <c r="M132" s="159" t="inlineStr">
        <is>
          <t>Corporation</t>
        </is>
      </c>
      <c r="N132" s="160" t="n">
        <v>101.79</v>
      </c>
      <c r="O132" s="161" t="inlineStr">
        <is>
          <t>Profitable</t>
        </is>
      </c>
      <c r="P132" s="162" t="inlineStr">
        <is>
          <t>Publicly Held</t>
        </is>
      </c>
      <c r="Q132" s="163" t="inlineStr">
        <is>
          <t>Debt Financed, M&amp;A, Private Equity, Publicly Listed</t>
        </is>
      </c>
      <c r="R132" s="164" t="inlineStr">
        <is>
          <t>www.deckers.com</t>
        </is>
      </c>
      <c r="S132" s="165" t="n">
        <v>3500.0</v>
      </c>
      <c r="T132" s="166" t="inlineStr">
        <is>
          <t>1993: 325, 1994: 325, 1995: 325, 1996: 196, 1997: 188, 1998: 161, 1999: 112, 2000: 105, 2001: 98, 2002: 133, 2003: 134, 2004: 187, 2005: 225, 2006: 319, 2007: 420, 2008: 780, 2009: 1000, 2010: 1500, 2011: 1900, 2012: 2300, 2013: 3200, 2015: 3400, 2016: 3500, 2017: 3300, 2018: 3500</t>
        </is>
      </c>
      <c r="U132" s="167" t="inlineStr">
        <is>
          <t>NYS</t>
        </is>
      </c>
      <c r="V132" s="168" t="inlineStr">
        <is>
          <t>DECK</t>
        </is>
      </c>
      <c r="W132" s="169" t="n">
        <v>1973.0</v>
      </c>
      <c r="X132" s="170" t="inlineStr">
        <is>
          <t/>
        </is>
      </c>
      <c r="Y132" s="171" t="inlineStr">
        <is>
          <t>News (New) </t>
        </is>
      </c>
      <c r="Z132" s="172" t="inlineStr">
        <is>
          <t>News (New) </t>
        </is>
      </c>
      <c r="AA132" s="173" t="n">
        <v>2026.99</v>
      </c>
      <c r="AB132" s="174" t="n">
        <v>1029.37</v>
      </c>
      <c r="AC132" s="175" t="n">
        <v>260.95</v>
      </c>
      <c r="AD132" s="176" t="n">
        <v>3646.68</v>
      </c>
      <c r="AE132" s="177" t="n">
        <v>313.3</v>
      </c>
      <c r="AF132" s="178" t="inlineStr">
        <is>
          <t>TTM 3Q2019</t>
        </is>
      </c>
      <c r="AG132" s="179" t="n">
        <v>312.87</v>
      </c>
      <c r="AH132" s="180" t="n">
        <v>4093.2</v>
      </c>
      <c r="AI132" s="181" t="n">
        <v>-484.28</v>
      </c>
      <c r="AJ132" s="182" t="inlineStr">
        <is>
          <t>55445-95P</t>
        </is>
      </c>
      <c r="AK132" s="183" t="inlineStr">
        <is>
          <t>David Lafitte</t>
        </is>
      </c>
      <c r="AL132" s="184" t="inlineStr">
        <is>
          <t>Chief Operating Officer</t>
        </is>
      </c>
      <c r="AM132" s="185" t="inlineStr">
        <is>
          <t>david.lafitte@deckers.com</t>
        </is>
      </c>
      <c r="AN132" s="186" t="inlineStr">
        <is>
          <t>+1 (805) 730-6805</t>
        </is>
      </c>
      <c r="AO132" s="187" t="inlineStr">
        <is>
          <t>Goleta, CA</t>
        </is>
      </c>
      <c r="AP132" s="188" t="inlineStr">
        <is>
          <t>250 Coromar Drive</t>
        </is>
      </c>
      <c r="AQ132" s="189" t="inlineStr">
        <is>
          <t/>
        </is>
      </c>
      <c r="AR132" s="190" t="inlineStr">
        <is>
          <t>Goleta</t>
        </is>
      </c>
      <c r="AS132" s="191" t="inlineStr">
        <is>
          <t>California</t>
        </is>
      </c>
      <c r="AT132" s="192" t="inlineStr">
        <is>
          <t>93117</t>
        </is>
      </c>
      <c r="AU132" s="193" t="inlineStr">
        <is>
          <t>United States</t>
        </is>
      </c>
      <c r="AV132" s="194" t="inlineStr">
        <is>
          <t>+1 (805) 967-7611</t>
        </is>
      </c>
      <c r="AW132" s="195" t="inlineStr">
        <is>
          <t>+1 (302) 636-5454</t>
        </is>
      </c>
      <c r="AX132" s="196" t="inlineStr">
        <is>
          <t>info@deckers.com</t>
        </is>
      </c>
      <c r="AY132" s="197" t="inlineStr">
        <is>
          <t>Americas</t>
        </is>
      </c>
      <c r="AZ132" s="198" t="inlineStr">
        <is>
          <t>North America</t>
        </is>
      </c>
      <c r="BA132" s="199" t="inlineStr">
        <is>
          <t>The company (NYSE: DECK) was in talks to be acquired by undisclosed investors on March 27, 2017. Subsequently the deal was cancelled. Previously, Marcato Capital Management acquired a 6% stake in the company (NYSE: DECK) for $87.79 million on February 7, 2017 through a private placement. The company is being actively tracked by PitchBook.</t>
        </is>
      </c>
      <c r="BB132" s="200" t="inlineStr">
        <is>
          <t>Marcato Capital Management</t>
        </is>
      </c>
      <c r="BC132" s="201" t="n">
        <v>1.0</v>
      </c>
      <c r="BD132" s="202" t="inlineStr">
        <is>
          <t/>
        </is>
      </c>
      <c r="BE132" s="203" t="inlineStr">
        <is>
          <t>Red Mountain Capital Partners</t>
        </is>
      </c>
      <c r="BF132" s="204" t="inlineStr">
        <is>
          <t/>
        </is>
      </c>
      <c r="BG132" s="205" t="inlineStr">
        <is>
          <t>Marcato Capital Management(www.marcatocapitalmanagement.com)</t>
        </is>
      </c>
      <c r="BH132" s="206" t="inlineStr">
        <is>
          <t>Red Mountain Capital Partners(www.redmtncap.com)</t>
        </is>
      </c>
      <c r="BI132" s="207" t="inlineStr">
        <is>
          <t/>
        </is>
      </c>
      <c r="BJ132" s="208" t="inlineStr">
        <is>
          <t>Brainerd Communicators(Advisor: Communications), Odeon Capital Group(Advisor: General), Peninsula Capital Partners(Debt Financing), Telsey Advisory Group(Advisor: General), The Mentor Group(Advisor: General)</t>
        </is>
      </c>
      <c r="BK132" s="209" t="inlineStr">
        <is>
          <t>Cowen and Company(Advisor: General), D.A. Davidson Companies(Advisor: General), First Albany Companies(Advisor: General), Moelis &amp; Company(Advisor: General), Peninsula Capital Partners(Debt Financing), Piper Jaffray(Advisor: General), RBC Capital Markets(Advisor: General), Wedbush Securities(Advisor: General), Wilson Sonsini Goodrich &amp; Rosati(Legal Advisor)</t>
        </is>
      </c>
      <c r="BL132" s="210" t="n">
        <v>34264.0</v>
      </c>
      <c r="BM132" s="211" t="inlineStr">
        <is>
          <t/>
        </is>
      </c>
      <c r="BN132" s="212" t="inlineStr">
        <is>
          <t/>
        </is>
      </c>
      <c r="BO132" s="213" t="inlineStr">
        <is>
          <t/>
        </is>
      </c>
      <c r="BP132" s="214" t="inlineStr">
        <is>
          <t/>
        </is>
      </c>
      <c r="BQ132" s="215" t="inlineStr">
        <is>
          <t>IPO</t>
        </is>
      </c>
      <c r="BR132" s="216" t="inlineStr">
        <is>
          <t/>
        </is>
      </c>
      <c r="BS132" s="217" t="inlineStr">
        <is>
          <t/>
        </is>
      </c>
      <c r="BT132" s="218" t="inlineStr">
        <is>
          <t>Public Investment</t>
        </is>
      </c>
      <c r="BU132" s="219" t="inlineStr">
        <is>
          <t/>
        </is>
      </c>
      <c r="BV132" s="220" t="inlineStr">
        <is>
          <t/>
        </is>
      </c>
      <c r="BW132" s="221" t="inlineStr">
        <is>
          <t/>
        </is>
      </c>
      <c r="BX132" s="222" t="inlineStr">
        <is>
          <t>Completed</t>
        </is>
      </c>
      <c r="BY132" s="223" t="n">
        <v>42821.0</v>
      </c>
      <c r="BZ132" s="224" t="inlineStr">
        <is>
          <t/>
        </is>
      </c>
      <c r="CA132" s="225" t="inlineStr">
        <is>
          <t/>
        </is>
      </c>
      <c r="CB132" s="226" t="inlineStr">
        <is>
          <t/>
        </is>
      </c>
      <c r="CC132" s="227" t="inlineStr">
        <is>
          <t/>
        </is>
      </c>
      <c r="CD132" s="228" t="inlineStr">
        <is>
          <t>Merger/Acquisition</t>
        </is>
      </c>
      <c r="CE132" s="229" t="inlineStr">
        <is>
          <t>Public to Private</t>
        </is>
      </c>
      <c r="CF132" s="230" t="inlineStr">
        <is>
          <t/>
        </is>
      </c>
      <c r="CG132" s="231" t="inlineStr">
        <is>
          <t>Corporate</t>
        </is>
      </c>
      <c r="CH132" s="232" t="inlineStr">
        <is>
          <t/>
        </is>
      </c>
      <c r="CI132" s="233" t="inlineStr">
        <is>
          <t/>
        </is>
      </c>
      <c r="CJ132" s="234" t="inlineStr">
        <is>
          <t/>
        </is>
      </c>
      <c r="CK132" s="235" t="inlineStr">
        <is>
          <t>Failed/Cancelled</t>
        </is>
      </c>
      <c r="CL132" s="236" t="n">
        <v>37561.0</v>
      </c>
      <c r="CM132" s="237" t="n">
        <v>14.0</v>
      </c>
      <c r="CN132" s="238" t="n">
        <v>3.9</v>
      </c>
      <c r="CO132" s="239" t="n">
        <v>100.0</v>
      </c>
      <c r="CP132" s="240" t="n">
        <v>0.02</v>
      </c>
      <c r="CQ132" s="241" t="n">
        <v>0.49</v>
      </c>
      <c r="CR132" s="242" t="n">
        <v>3.9</v>
      </c>
      <c r="CS132" s="243" t="n">
        <v>100.0</v>
      </c>
      <c r="CT132" s="244" t="inlineStr">
        <is>
          <t/>
        </is>
      </c>
      <c r="CU132" s="245" t="inlineStr">
        <is>
          <t/>
        </is>
      </c>
      <c r="CV132" s="246" t="n">
        <v>7.48</v>
      </c>
      <c r="CW132" s="247" t="n">
        <v>99.0</v>
      </c>
      <c r="CX132" s="248" t="n">
        <v>0.32</v>
      </c>
      <c r="CY132" s="249" t="n">
        <v>91.0</v>
      </c>
      <c r="CZ132" s="250" t="inlineStr">
        <is>
          <t/>
        </is>
      </c>
      <c r="DA132" s="251" t="inlineStr">
        <is>
          <t/>
        </is>
      </c>
      <c r="DB132" s="252" t="n">
        <v>35.5</v>
      </c>
      <c r="DC132" s="253" t="n">
        <v>97.0</v>
      </c>
      <c r="DD132" s="254" t="n">
        <v>7.13</v>
      </c>
      <c r="DE132" s="255" t="n">
        <v>25.12</v>
      </c>
      <c r="DF132" s="256" t="n">
        <v>35.5</v>
      </c>
      <c r="DG132" s="257" t="n">
        <v>97.0</v>
      </c>
      <c r="DH132" s="258" t="inlineStr">
        <is>
          <t/>
        </is>
      </c>
      <c r="DI132" s="259" t="inlineStr">
        <is>
          <t/>
        </is>
      </c>
      <c r="DJ132" s="260" t="n">
        <v>12.32</v>
      </c>
      <c r="DK132" s="261" t="n">
        <v>88.0</v>
      </c>
      <c r="DL132" s="262" t="n">
        <v>58.68</v>
      </c>
      <c r="DM132" s="263" t="n">
        <v>98.0</v>
      </c>
      <c r="DN132" s="264" t="inlineStr">
        <is>
          <t/>
        </is>
      </c>
      <c r="DO132" s="265" t="inlineStr">
        <is>
          <t/>
        </is>
      </c>
      <c r="DP132" s="266" t="n">
        <v>8741.0</v>
      </c>
      <c r="DQ132" s="267" t="n">
        <v>388.0</v>
      </c>
      <c r="DR132" s="268" t="n">
        <v>4.65</v>
      </c>
      <c r="DS132" s="269" t="n">
        <v>1996.0</v>
      </c>
      <c r="DT132" s="270" t="n">
        <v>4.0</v>
      </c>
      <c r="DU132" s="271" t="n">
        <v>0.2</v>
      </c>
      <c r="DV132" s="272" t="inlineStr">
        <is>
          <t/>
        </is>
      </c>
      <c r="DW132" s="273" t="inlineStr">
        <is>
          <t/>
        </is>
      </c>
      <c r="DX132" s="274" t="inlineStr">
        <is>
          <t/>
        </is>
      </c>
      <c r="DY132" s="275" t="inlineStr">
        <is>
          <t>PitchBook Research</t>
        </is>
      </c>
      <c r="DZ132" s="276" t="n">
        <v>43492.0</v>
      </c>
      <c r="EA132" s="277" t="n">
        <v>1463.12</v>
      </c>
      <c r="EB132" s="278" t="n">
        <v>42773.0</v>
      </c>
      <c r="EC132" s="279" t="inlineStr">
        <is>
          <t>PIPE</t>
        </is>
      </c>
      <c r="ED132" s="548">
        <f>HYPERLINK("https://my.pitchbook.com?c=13373-83", "View company online")</f>
      </c>
    </row>
    <row r="133">
      <c r="A133" s="13" t="inlineStr">
        <is>
          <t>13152-43</t>
        </is>
      </c>
      <c r="B133" s="14" t="inlineStr">
        <is>
          <t>Converse</t>
        </is>
      </c>
      <c r="C133" s="15" t="inlineStr">
        <is>
          <t/>
        </is>
      </c>
      <c r="D133" s="16" t="inlineStr">
        <is>
          <t/>
        </is>
      </c>
      <c r="E133" s="17" t="inlineStr">
        <is>
          <t>13152-43</t>
        </is>
      </c>
      <c r="F133" s="18" t="inlineStr">
        <is>
          <t>Manufacturer, designer and marketer of athletic footware and sports goods. The company also licenses its name to sports apparel. Its products are sold through retailers and licensees in some 100 countries.</t>
        </is>
      </c>
      <c r="G133" s="19" t="inlineStr">
        <is>
          <t>Consumer Products and Services (B2C)</t>
        </is>
      </c>
      <c r="H133" s="20" t="inlineStr">
        <is>
          <t>Apparel and Accessories</t>
        </is>
      </c>
      <c r="I133" s="21" t="inlineStr">
        <is>
          <t>Footwear</t>
        </is>
      </c>
      <c r="J133" s="22" t="inlineStr">
        <is>
          <t>Clothing, Footwear*</t>
        </is>
      </c>
      <c r="K133" s="23" t="inlineStr">
        <is>
          <t>Manufacturing</t>
        </is>
      </c>
      <c r="L133" s="24" t="inlineStr">
        <is>
          <t>apparel, footwear, shoes</t>
        </is>
      </c>
      <c r="M133" s="25" t="inlineStr">
        <is>
          <t>Formerly PE-Backed</t>
        </is>
      </c>
      <c r="N133" s="26" t="inlineStr">
        <is>
          <t/>
        </is>
      </c>
      <c r="O133" s="27" t="inlineStr">
        <is>
          <t>Profitable</t>
        </is>
      </c>
      <c r="P133" s="28" t="inlineStr">
        <is>
          <t>Acquired/Merged</t>
        </is>
      </c>
      <c r="Q133" s="29" t="inlineStr">
        <is>
          <t>M&amp;A, Private Equity</t>
        </is>
      </c>
      <c r="R133" s="30" t="inlineStr">
        <is>
          <t>www.converse.com</t>
        </is>
      </c>
      <c r="S133" s="31" t="n">
        <v>200.0</v>
      </c>
      <c r="T133" s="32" t="inlineStr">
        <is>
          <t>2001: 200, 2002: 200, 2003: 200, 2004: 200, 2005: 200, 2006: 200, 2007: 200, 2008: 200, 2009: 200, 2010: 200</t>
        </is>
      </c>
      <c r="U133" s="33" t="inlineStr">
        <is>
          <t/>
        </is>
      </c>
      <c r="V133" s="34" t="inlineStr">
        <is>
          <t/>
        </is>
      </c>
      <c r="W133" s="35" t="n">
        <v>1908.0</v>
      </c>
      <c r="X133" s="36" t="inlineStr">
        <is>
          <t/>
        </is>
      </c>
      <c r="Y133" s="37" t="inlineStr">
        <is>
          <t/>
        </is>
      </c>
      <c r="Z133" s="38" t="inlineStr">
        <is>
          <t/>
        </is>
      </c>
      <c r="AA133" s="39" t="n">
        <v>2000.0</v>
      </c>
      <c r="AB133" s="40" t="inlineStr">
        <is>
          <t/>
        </is>
      </c>
      <c r="AC133" s="41" t="inlineStr">
        <is>
          <t/>
        </is>
      </c>
      <c r="AD133" s="42" t="inlineStr">
        <is>
          <t/>
        </is>
      </c>
      <c r="AE133" s="43" t="inlineStr">
        <is>
          <t/>
        </is>
      </c>
      <c r="AF133" s="44" t="inlineStr">
        <is>
          <t>FY 2018</t>
        </is>
      </c>
      <c r="AG133" s="45" t="inlineStr">
        <is>
          <t/>
        </is>
      </c>
      <c r="AH133" s="46" t="inlineStr">
        <is>
          <t/>
        </is>
      </c>
      <c r="AI133" s="47" t="inlineStr">
        <is>
          <t/>
        </is>
      </c>
      <c r="AJ133" s="48" t="inlineStr">
        <is>
          <t>97818-85P</t>
        </is>
      </c>
      <c r="AK133" s="49" t="inlineStr">
        <is>
          <t>Zac Coughlin</t>
        </is>
      </c>
      <c r="AL133" s="50" t="inlineStr">
        <is>
          <t>Chief Financial Officer</t>
        </is>
      </c>
      <c r="AM133" s="51" t="inlineStr">
        <is>
          <t/>
        </is>
      </c>
      <c r="AN133" s="52" t="inlineStr">
        <is>
          <t>+1 (978) 983-3300</t>
        </is>
      </c>
      <c r="AO133" s="53" t="inlineStr">
        <is>
          <t>North Andover, MA</t>
        </is>
      </c>
      <c r="AP133" s="54" t="inlineStr">
        <is>
          <t>160 North Washington Street</t>
        </is>
      </c>
      <c r="AQ133" s="55" t="inlineStr">
        <is>
          <t/>
        </is>
      </c>
      <c r="AR133" s="56" t="inlineStr">
        <is>
          <t>North Andover</t>
        </is>
      </c>
      <c r="AS133" s="57" t="inlineStr">
        <is>
          <t>Massachusetts</t>
        </is>
      </c>
      <c r="AT133" s="58" t="inlineStr">
        <is>
          <t>02114</t>
        </is>
      </c>
      <c r="AU133" s="59" t="inlineStr">
        <is>
          <t>United States</t>
        </is>
      </c>
      <c r="AV133" s="60" t="inlineStr">
        <is>
          <t>+1 (978) 983-3300</t>
        </is>
      </c>
      <c r="AW133" s="61" t="inlineStr">
        <is>
          <t>+1 (978) 664-8727</t>
        </is>
      </c>
      <c r="AX133" s="62" t="inlineStr">
        <is>
          <t>pr@converse.com</t>
        </is>
      </c>
      <c r="AY133" s="63" t="inlineStr">
        <is>
          <t>Americas</t>
        </is>
      </c>
      <c r="AZ133" s="64" t="inlineStr">
        <is>
          <t>North America</t>
        </is>
      </c>
      <c r="BA133" s="65" t="inlineStr">
        <is>
          <t>The company was acquired by Nike (NASDAQ, NKE) for $305,000,000 on September 4, 2003. The company is no longer actively tracked by PitchBook.</t>
        </is>
      </c>
      <c r="BB133" s="66" t="inlineStr">
        <is>
          <t/>
        </is>
      </c>
      <c r="BC133" s="67" t="inlineStr">
        <is>
          <t/>
        </is>
      </c>
      <c r="BD133" s="68" t="inlineStr">
        <is>
          <t>Nike</t>
        </is>
      </c>
      <c r="BE133" s="69" t="inlineStr">
        <is>
          <t>Perseus (Bethesda)</t>
        </is>
      </c>
      <c r="BF133" s="70" t="inlineStr">
        <is>
          <t/>
        </is>
      </c>
      <c r="BG133" s="71" t="inlineStr">
        <is>
          <t/>
        </is>
      </c>
      <c r="BH133" s="72" t="inlineStr">
        <is>
          <t>Perseus (Bethesda)(www.perseusllc.com)</t>
        </is>
      </c>
      <c r="BI133" s="73" t="inlineStr">
        <is>
          <t/>
        </is>
      </c>
      <c r="BJ133" s="74" t="inlineStr">
        <is>
          <t>ASAP+(Consulting), Daroth Capital Advisors(Advisor: General), The Hilltop Alliance(Consulting)</t>
        </is>
      </c>
      <c r="BK133" s="75" t="inlineStr">
        <is>
          <t>Bear Stearns(Advisor: General), Morgan Joseph TriArtisan(Advisor: General), Morgan Stanley(Advisor: General), Wilson Sonsini Goodrich &amp; Rosati(Legal Advisor)</t>
        </is>
      </c>
      <c r="BL133" s="76" t="n">
        <v>37011.0</v>
      </c>
      <c r="BM133" s="77" t="n">
        <v>117.5</v>
      </c>
      <c r="BN133" s="78" t="inlineStr">
        <is>
          <t>Actual</t>
        </is>
      </c>
      <c r="BO133" s="79" t="n">
        <v>117.5</v>
      </c>
      <c r="BP133" s="80" t="inlineStr">
        <is>
          <t/>
        </is>
      </c>
      <c r="BQ133" s="81" t="inlineStr">
        <is>
          <t>Buyout/LBO</t>
        </is>
      </c>
      <c r="BR133" s="82" t="inlineStr">
        <is>
          <t/>
        </is>
      </c>
      <c r="BS133" s="83" t="inlineStr">
        <is>
          <t/>
        </is>
      </c>
      <c r="BT133" s="84" t="inlineStr">
        <is>
          <t>Private Equity</t>
        </is>
      </c>
      <c r="BU133" s="85" t="inlineStr">
        <is>
          <t/>
        </is>
      </c>
      <c r="BV133" s="86" t="inlineStr">
        <is>
          <t/>
        </is>
      </c>
      <c r="BW133" s="87" t="inlineStr">
        <is>
          <t/>
        </is>
      </c>
      <c r="BX133" s="88" t="inlineStr">
        <is>
          <t>Completed</t>
        </is>
      </c>
      <c r="BY133" s="89" t="n">
        <v>37868.0</v>
      </c>
      <c r="BZ133" s="90" t="n">
        <v>305.0</v>
      </c>
      <c r="CA133" s="91" t="inlineStr">
        <is>
          <t>Actual</t>
        </is>
      </c>
      <c r="CB133" s="92" t="n">
        <v>305.0</v>
      </c>
      <c r="CC133" s="93" t="inlineStr">
        <is>
          <t>Actual</t>
        </is>
      </c>
      <c r="CD133" s="94" t="inlineStr">
        <is>
          <t>Merger/Acquisition</t>
        </is>
      </c>
      <c r="CE133" s="95" t="inlineStr">
        <is>
          <t/>
        </is>
      </c>
      <c r="CF133" s="96" t="inlineStr">
        <is>
          <t/>
        </is>
      </c>
      <c r="CG133" s="97" t="inlineStr">
        <is>
          <t>Corporate</t>
        </is>
      </c>
      <c r="CH133" s="98" t="inlineStr">
        <is>
          <t/>
        </is>
      </c>
      <c r="CI133" s="99" t="inlineStr">
        <is>
          <t/>
        </is>
      </c>
      <c r="CJ133" s="100" t="inlineStr">
        <is>
          <t/>
        </is>
      </c>
      <c r="CK133" s="101" t="inlineStr">
        <is>
          <t>Completed</t>
        </is>
      </c>
      <c r="CL133" s="102" t="inlineStr">
        <is>
          <t/>
        </is>
      </c>
      <c r="CM133" s="103" t="inlineStr">
        <is>
          <t/>
        </is>
      </c>
      <c r="CN133" s="104" t="inlineStr">
        <is>
          <t/>
        </is>
      </c>
      <c r="CO133" s="105" t="inlineStr">
        <is>
          <t/>
        </is>
      </c>
      <c r="CP133" s="106" t="inlineStr">
        <is>
          <t/>
        </is>
      </c>
      <c r="CQ133" s="107" t="inlineStr">
        <is>
          <t/>
        </is>
      </c>
      <c r="CR133" s="108" t="inlineStr">
        <is>
          <t/>
        </is>
      </c>
      <c r="CS133" s="109" t="inlineStr">
        <is>
          <t/>
        </is>
      </c>
      <c r="CT133" s="110" t="inlineStr">
        <is>
          <t/>
        </is>
      </c>
      <c r="CU133" s="111" t="inlineStr">
        <is>
          <t/>
        </is>
      </c>
      <c r="CV133" s="112" t="inlineStr">
        <is>
          <t/>
        </is>
      </c>
      <c r="CW133" s="113" t="inlineStr">
        <is>
          <t/>
        </is>
      </c>
      <c r="CX133" s="114" t="inlineStr">
        <is>
          <t/>
        </is>
      </c>
      <c r="CY133" s="115" t="inlineStr">
        <is>
          <t/>
        </is>
      </c>
      <c r="CZ133" s="116" t="inlineStr">
        <is>
          <t/>
        </is>
      </c>
      <c r="DA133" s="117" t="inlineStr">
        <is>
          <t/>
        </is>
      </c>
      <c r="DB133" s="118" t="inlineStr">
        <is>
          <t/>
        </is>
      </c>
      <c r="DC133" s="119" t="inlineStr">
        <is>
          <t/>
        </is>
      </c>
      <c r="DD133" s="120" t="inlineStr">
        <is>
          <t/>
        </is>
      </c>
      <c r="DE133" s="121" t="inlineStr">
        <is>
          <t/>
        </is>
      </c>
      <c r="DF133" s="122" t="inlineStr">
        <is>
          <t/>
        </is>
      </c>
      <c r="DG133" s="123" t="inlineStr">
        <is>
          <t/>
        </is>
      </c>
      <c r="DH133" s="124" t="inlineStr">
        <is>
          <t/>
        </is>
      </c>
      <c r="DI133" s="125" t="inlineStr">
        <is>
          <t/>
        </is>
      </c>
      <c r="DJ133" s="126" t="inlineStr">
        <is>
          <t/>
        </is>
      </c>
      <c r="DK133" s="127" t="inlineStr">
        <is>
          <t/>
        </is>
      </c>
      <c r="DL133" s="128" t="inlineStr">
        <is>
          <t/>
        </is>
      </c>
      <c r="DM133" s="129" t="inlineStr">
        <is>
          <t/>
        </is>
      </c>
      <c r="DN133" s="130" t="inlineStr">
        <is>
          <t/>
        </is>
      </c>
      <c r="DO133" s="131" t="inlineStr">
        <is>
          <t/>
        </is>
      </c>
      <c r="DP133" s="132" t="inlineStr">
        <is>
          <t/>
        </is>
      </c>
      <c r="DQ133" s="133" t="inlineStr">
        <is>
          <t/>
        </is>
      </c>
      <c r="DR133" s="134" t="inlineStr">
        <is>
          <t/>
        </is>
      </c>
      <c r="DS133" s="135" t="inlineStr">
        <is>
          <t/>
        </is>
      </c>
      <c r="DT133" s="136" t="inlineStr">
        <is>
          <t/>
        </is>
      </c>
      <c r="DU133" s="137" t="inlineStr">
        <is>
          <t/>
        </is>
      </c>
      <c r="DV133" s="138" t="inlineStr">
        <is>
          <t/>
        </is>
      </c>
      <c r="DW133" s="139" t="inlineStr">
        <is>
          <t/>
        </is>
      </c>
      <c r="DX133" s="140" t="inlineStr">
        <is>
          <t/>
        </is>
      </c>
      <c r="DY133" s="141" t="inlineStr">
        <is>
          <t>PitchBook Research</t>
        </is>
      </c>
      <c r="DZ133" s="142" t="n">
        <v>43374.0</v>
      </c>
      <c r="EA133" s="143" t="n">
        <v>305.0</v>
      </c>
      <c r="EB133" s="144" t="n">
        <v>37868.0</v>
      </c>
      <c r="EC133" s="145" t="inlineStr">
        <is>
          <t>Merger/Acquisition</t>
        </is>
      </c>
      <c r="ED133" s="547">
        <f>HYPERLINK("https://my.pitchbook.com?c=13152-43", "View company online")</f>
      </c>
    </row>
    <row r="134">
      <c r="A134" s="147" t="inlineStr">
        <is>
          <t>53780-77</t>
        </is>
      </c>
      <c r="B134" s="148" t="inlineStr">
        <is>
          <t>Wish</t>
        </is>
      </c>
      <c r="C134" s="149" t="inlineStr">
        <is>
          <t/>
        </is>
      </c>
      <c r="D134" s="150" t="inlineStr">
        <is>
          <t/>
        </is>
      </c>
      <c r="E134" s="151" t="inlineStr">
        <is>
          <t>53780-77</t>
        </is>
      </c>
      <c r="F134" s="152" t="inlineStr">
        <is>
          <t>Provider of a mobile e-commerce platform designed to sell items directly from the manufacturer. The company's platform offers digital shopping by leveraging a global supply chain of direct suppliers and avoiding retail overhead costs, enabling individual users to buy directly using their smartphones.</t>
        </is>
      </c>
      <c r="G134" s="153" t="inlineStr">
        <is>
          <t>Consumer Products and Services (B2C)</t>
        </is>
      </c>
      <c r="H134" s="154" t="inlineStr">
        <is>
          <t>Retail</t>
        </is>
      </c>
      <c r="I134" s="155" t="inlineStr">
        <is>
          <t>Internet Retail</t>
        </is>
      </c>
      <c r="J134" s="156" t="inlineStr">
        <is>
          <t>Accessories, Application Software, Clothing, Internet Retail*</t>
        </is>
      </c>
      <c r="K134" s="157" t="inlineStr">
        <is>
          <t>E-Commerce, Mobile, TMT</t>
        </is>
      </c>
      <c r="L134" s="158" t="inlineStr">
        <is>
          <t>content discovery, digital shopping, ecommerce platform business, e-shopping portal, mobile shopping, personalized shopping</t>
        </is>
      </c>
      <c r="M134" s="159" t="inlineStr">
        <is>
          <t>Venture Capital-Backed</t>
        </is>
      </c>
      <c r="N134" s="160" t="n">
        <v>1500.33</v>
      </c>
      <c r="O134" s="161" t="inlineStr">
        <is>
          <t>Generating Revenue</t>
        </is>
      </c>
      <c r="P134" s="162" t="inlineStr">
        <is>
          <t>Privately Held (backing)</t>
        </is>
      </c>
      <c r="Q134" s="163" t="inlineStr">
        <is>
          <t>Venture Capital</t>
        </is>
      </c>
      <c r="R134" s="164" t="inlineStr">
        <is>
          <t>www.wish.com</t>
        </is>
      </c>
      <c r="S134" s="165" t="n">
        <v>900.0</v>
      </c>
      <c r="T134" s="166" t="inlineStr">
        <is>
          <t>2014: 38, 2015: 900</t>
        </is>
      </c>
      <c r="U134" s="167" t="inlineStr">
        <is>
          <t/>
        </is>
      </c>
      <c r="V134" s="168" t="inlineStr">
        <is>
          <t/>
        </is>
      </c>
      <c r="W134" s="169" t="n">
        <v>2010.0</v>
      </c>
      <c r="X134" s="170" t="inlineStr">
        <is>
          <t/>
        </is>
      </c>
      <c r="Y134" s="171" t="inlineStr">
        <is>
          <t/>
        </is>
      </c>
      <c r="Z134" s="172" t="inlineStr">
        <is>
          <t/>
        </is>
      </c>
      <c r="AA134" s="173" t="n">
        <v>2000.0</v>
      </c>
      <c r="AB134" s="174" t="inlineStr">
        <is>
          <t/>
        </is>
      </c>
      <c r="AC134" s="175" t="inlineStr">
        <is>
          <t/>
        </is>
      </c>
      <c r="AD134" s="176" t="inlineStr">
        <is>
          <t/>
        </is>
      </c>
      <c r="AE134" s="177" t="inlineStr">
        <is>
          <t/>
        </is>
      </c>
      <c r="AF134" s="178" t="inlineStr">
        <is>
          <t>FY 2018</t>
        </is>
      </c>
      <c r="AG134" s="179" t="inlineStr">
        <is>
          <t/>
        </is>
      </c>
      <c r="AH134" s="180" t="inlineStr">
        <is>
          <t/>
        </is>
      </c>
      <c r="AI134" s="181" t="inlineStr">
        <is>
          <t/>
        </is>
      </c>
      <c r="AJ134" s="182" t="inlineStr">
        <is>
          <t>39964-51P</t>
        </is>
      </c>
      <c r="AK134" s="183" t="inlineStr">
        <is>
          <t>Thomas Chuang</t>
        </is>
      </c>
      <c r="AL134" s="184" t="inlineStr">
        <is>
          <t>Vice President, Finance</t>
        </is>
      </c>
      <c r="AM134" s="185" t="inlineStr">
        <is>
          <t>thomas@wish.com</t>
        </is>
      </c>
      <c r="AN134" s="186" t="inlineStr">
        <is>
          <t>+1 (800) 266-0172</t>
        </is>
      </c>
      <c r="AO134" s="187" t="inlineStr">
        <is>
          <t>San Francisco, CA</t>
        </is>
      </c>
      <c r="AP134" s="188" t="inlineStr">
        <is>
          <t>1 Sansome Street</t>
        </is>
      </c>
      <c r="AQ134" s="189" t="inlineStr">
        <is>
          <t>40th Floor</t>
        </is>
      </c>
      <c r="AR134" s="190" t="inlineStr">
        <is>
          <t>San Francisco</t>
        </is>
      </c>
      <c r="AS134" s="191" t="inlineStr">
        <is>
          <t>California</t>
        </is>
      </c>
      <c r="AT134" s="192" t="inlineStr">
        <is>
          <t>94104</t>
        </is>
      </c>
      <c r="AU134" s="193" t="inlineStr">
        <is>
          <t>United States</t>
        </is>
      </c>
      <c r="AV134" s="194" t="inlineStr">
        <is>
          <t>+1 (800) 266-0172</t>
        </is>
      </c>
      <c r="AW134" s="195" t="inlineStr">
        <is>
          <t/>
        </is>
      </c>
      <c r="AX134" s="196" t="inlineStr">
        <is>
          <t/>
        </is>
      </c>
      <c r="AY134" s="197" t="inlineStr">
        <is>
          <t>Americas</t>
        </is>
      </c>
      <c r="AZ134" s="198" t="inlineStr">
        <is>
          <t>North America</t>
        </is>
      </c>
      <c r="BA134" s="199" t="inlineStr">
        <is>
          <t>An undisclosed investor sold its stake in the company to All Blue Capital and Growth Technology Partners. Previously, the company raised an estimated $250 million of venture funding from Wellington Management, Tower Equity and existing investors on September 15, 2017, putting the company's pre-money valuation at an estimated $8 billion. Atlas Ventures and Western Technology Investment also participated in this round.</t>
        </is>
      </c>
      <c r="BB134" s="200" t="inlineStr">
        <is>
          <t>8VC, Acequia Capital, AFSquare, All Blue Capital, Alpha Venture Partners, AME Cloud Ventures, Bill Tai, Caffeinated Capital, Charles River Ventures, Cherubic Ventures, China Everbright, China Growth Capital, Digital Garage, Digital Horizon Capital, DST Global, Elad Gil, Felicis Ventures, FJ Labs, Formation 8, Founders Fund, GGV Capital, Gil Elbaz, Growth Technology Partners, Hank Vigil, IDG Capital, IT-Farm, Jared Leto, JD.com, Keith Rabois, Legend Capital, Michael Stoppelman, Morado Venture Partners, Naval Ravikant, Nils Johnson, Nima Capital, Paige Craig, Paul Bricault, Raptor Group, Raymond Tonsing, Richard Lanman, Sizhao Yang, Steve Chen, SV Angel, Temasek Holdings, TenOneTen Ventures, Third Point Ventures, Transmedia Capital, Western Technology Investment, XG Ventures</t>
        </is>
      </c>
      <c r="BC134" s="201" t="n">
        <v>49.0</v>
      </c>
      <c r="BD134" s="202" t="inlineStr">
        <is>
          <t/>
        </is>
      </c>
      <c r="BE134" s="203" t="inlineStr">
        <is>
          <t/>
        </is>
      </c>
      <c r="BF134" s="204" t="inlineStr">
        <is>
          <t/>
        </is>
      </c>
      <c r="BG134" s="205" t="inlineStr">
        <is>
          <t>8VC(www.8vc.com), Acequia Capital(www.acecap.com), AFSquare(afsquare.com), All Blue Capital(www.allbluecapital.com), Alpha Venture Partners(www.alphavp.com), AME Cloud Ventures(www.amecloudventures.com), Bill Tai(www.about.me/BillTai), Caffeinated Capital(www.caffeinatedcapital.com), Charles River Ventures(www.crv.com), Cherubic Ventures(www.cherubic.com), China Everbright(www.everbright.com), China Growth Capital(www.chinagrowthcapital.com), Digital Garage(www.garage.co.jp), Digital Horizon Capital(www.dh.vc), DST Global(www.dst-global.com), Felicis Ventures(www.felicis.com), FJ Labs(www.fjlabs.com), Formation 8(www.formation8.com), Founders Fund(www.foundersfund.com), GGV Capital(www.ggvc.com), Growth Technology Partners(www.growthtechnologypartners.com), IDG Capital(en.idgcapital.com), IT-Farm(www.it-farm.com), JD.com(www.jd.com), Legend Capital(www.legendcapital.com.cn), Morado Venture Partners(www.moradoventures.com), Nima Capital(www.nimacap.com), Raptor Group(www.raptorgroup.com), Raymond Tonsing(www.angel.co/tonsing), SV Angel(www.svangel.com), Temasek Holdings(www.temasek.com.sg), TenOneTen Ventures(www.tenoneten.net), Third Point Ventures(www.thirdpointventures.com), Transmedia Capital(www.transmediacapital.com), Western Technology Investment(www.westerntech.com), XG Ventures(www.xg-ventures.com)</t>
        </is>
      </c>
      <c r="BH134" s="206" t="inlineStr">
        <is>
          <t/>
        </is>
      </c>
      <c r="BI134" s="207" t="inlineStr">
        <is>
          <t/>
        </is>
      </c>
      <c r="BJ134" s="208" t="inlineStr">
        <is>
          <t>Gunderson Dettmer(Legal Advisor)</t>
        </is>
      </c>
      <c r="BK134" s="209" t="inlineStr">
        <is>
          <t>Gunderson Dettmer(Legal Advisor)</t>
        </is>
      </c>
      <c r="BL134" s="210" t="n">
        <v>40605.0</v>
      </c>
      <c r="BM134" s="211" t="n">
        <v>1.7</v>
      </c>
      <c r="BN134" s="212" t="inlineStr">
        <is>
          <t>Actual</t>
        </is>
      </c>
      <c r="BO134" s="213" t="inlineStr">
        <is>
          <t/>
        </is>
      </c>
      <c r="BP134" s="214" t="inlineStr">
        <is>
          <t/>
        </is>
      </c>
      <c r="BQ134" s="215" t="inlineStr">
        <is>
          <t>Seed Round</t>
        </is>
      </c>
      <c r="BR134" s="216" t="inlineStr">
        <is>
          <t>Seed Round</t>
        </is>
      </c>
      <c r="BS134" s="217" t="inlineStr">
        <is>
          <t/>
        </is>
      </c>
      <c r="BT134" s="218" t="inlineStr">
        <is>
          <t>Venture Capital</t>
        </is>
      </c>
      <c r="BU134" s="219" t="inlineStr">
        <is>
          <t/>
        </is>
      </c>
      <c r="BV134" s="220" t="inlineStr">
        <is>
          <t/>
        </is>
      </c>
      <c r="BW134" s="221" t="inlineStr">
        <is>
          <t/>
        </is>
      </c>
      <c r="BX134" s="222" t="inlineStr">
        <is>
          <t>Completed</t>
        </is>
      </c>
      <c r="BY134" s="223" t="n">
        <v>43344.0</v>
      </c>
      <c r="BZ134" s="224" t="inlineStr">
        <is>
          <t/>
        </is>
      </c>
      <c r="CA134" s="225" t="inlineStr">
        <is>
          <t/>
        </is>
      </c>
      <c r="CB134" s="226" t="inlineStr">
        <is>
          <t/>
        </is>
      </c>
      <c r="CC134" s="227" t="inlineStr">
        <is>
          <t/>
        </is>
      </c>
      <c r="CD134" s="228" t="inlineStr">
        <is>
          <t>Secondary Transaction - Private</t>
        </is>
      </c>
      <c r="CE134" s="229" t="inlineStr">
        <is>
          <t/>
        </is>
      </c>
      <c r="CF134" s="230" t="inlineStr">
        <is>
          <t/>
        </is>
      </c>
      <c r="CG134" s="231" t="inlineStr">
        <is>
          <t>Venture Capital</t>
        </is>
      </c>
      <c r="CH134" s="232" t="inlineStr">
        <is>
          <t/>
        </is>
      </c>
      <c r="CI134" s="233" t="inlineStr">
        <is>
          <t/>
        </is>
      </c>
      <c r="CJ134" s="234" t="inlineStr">
        <is>
          <t/>
        </is>
      </c>
      <c r="CK134" s="235" t="inlineStr">
        <is>
          <t>Completed</t>
        </is>
      </c>
      <c r="CL134" s="236" t="inlineStr">
        <is>
          <t/>
        </is>
      </c>
      <c r="CM134" s="237" t="inlineStr">
        <is>
          <t/>
        </is>
      </c>
      <c r="CN134" s="238" t="n">
        <v>1.05</v>
      </c>
      <c r="CO134" s="239" t="n">
        <v>98.0</v>
      </c>
      <c r="CP134" s="240" t="n">
        <v>-0.07</v>
      </c>
      <c r="CQ134" s="241" t="n">
        <v>-5.97</v>
      </c>
      <c r="CR134" s="242" t="n">
        <v>0.4</v>
      </c>
      <c r="CS134" s="243" t="n">
        <v>93.0</v>
      </c>
      <c r="CT134" s="244" t="n">
        <v>0.01</v>
      </c>
      <c r="CU134" s="245" t="n">
        <v>56.0</v>
      </c>
      <c r="CV134" s="246" t="n">
        <v>0.5</v>
      </c>
      <c r="CW134" s="247" t="n">
        <v>84.0</v>
      </c>
      <c r="CX134" s="248" t="n">
        <v>0.31</v>
      </c>
      <c r="CY134" s="249" t="n">
        <v>91.0</v>
      </c>
      <c r="CZ134" s="250" t="n">
        <v>0.01</v>
      </c>
      <c r="DA134" s="251" t="n">
        <v>63.0</v>
      </c>
      <c r="DB134" s="252" t="n">
        <v>5586.72</v>
      </c>
      <c r="DC134" s="253" t="n">
        <v>100.0</v>
      </c>
      <c r="DD134" s="254" t="n">
        <v>327.53</v>
      </c>
      <c r="DE134" s="255" t="n">
        <v>6.23</v>
      </c>
      <c r="DF134" s="256" t="n">
        <v>1716.38</v>
      </c>
      <c r="DG134" s="257" t="n">
        <v>100.0</v>
      </c>
      <c r="DH134" s="258" t="n">
        <v>537.08</v>
      </c>
      <c r="DI134" s="259" t="n">
        <v>100.0</v>
      </c>
      <c r="DJ134" s="260" t="n">
        <v>3179.5</v>
      </c>
      <c r="DK134" s="261" t="n">
        <v>100.0</v>
      </c>
      <c r="DL134" s="262" t="n">
        <v>253.26</v>
      </c>
      <c r="DM134" s="263" t="n">
        <v>100.0</v>
      </c>
      <c r="DN134" s="264" t="n">
        <v>537.08</v>
      </c>
      <c r="DO134" s="265" t="n">
        <v>100.0</v>
      </c>
      <c r="DP134" s="266" t="n">
        <v>2272368.0</v>
      </c>
      <c r="DQ134" s="267" t="n">
        <v>-48472.0</v>
      </c>
      <c r="DR134" s="268" t="n">
        <v>-2.09</v>
      </c>
      <c r="DS134" s="269" t="n">
        <v>8570.0</v>
      </c>
      <c r="DT134" s="270" t="n">
        <v>82.0</v>
      </c>
      <c r="DU134" s="271" t="n">
        <v>0.97</v>
      </c>
      <c r="DV134" s="272" t="n">
        <v>192819.0</v>
      </c>
      <c r="DW134" s="273" t="n">
        <v>3.0</v>
      </c>
      <c r="DX134" s="274" t="n">
        <v>0.0</v>
      </c>
      <c r="DY134" s="275" t="inlineStr">
        <is>
          <t>PitchBook Research</t>
        </is>
      </c>
      <c r="DZ134" s="276" t="n">
        <v>43532.0</v>
      </c>
      <c r="EA134" s="277" t="n">
        <v>8000.0</v>
      </c>
      <c r="EB134" s="278" t="n">
        <v>42993.0</v>
      </c>
      <c r="EC134" s="279" t="inlineStr">
        <is>
          <t>Later Stage VC</t>
        </is>
      </c>
      <c r="ED134" s="548">
        <f>HYPERLINK("https://my.pitchbook.com?c=53780-77", "View company online")</f>
      </c>
    </row>
    <row r="135">
      <c r="A135" s="13" t="inlineStr">
        <is>
          <t>58901-86</t>
        </is>
      </c>
      <c r="B135" s="14" t="inlineStr">
        <is>
          <t>Gianni Versace</t>
        </is>
      </c>
      <c r="C135" s="15" t="inlineStr">
        <is>
          <t/>
        </is>
      </c>
      <c r="D135" s="16" t="inlineStr">
        <is>
          <t>Versace</t>
        </is>
      </c>
      <c r="E135" s="17" t="inlineStr">
        <is>
          <t>58901-86</t>
        </is>
      </c>
      <c r="F135" s="18" t="inlineStr">
        <is>
          <t>Designer, manufacturer, distributor and retailer of fashion and lifestyle products. The company produces upmarket Italian-made ready-to-wear and leather accessories such as clothing, accessories, fine jewellery, watches, eyewear, fragrances and home furnishings.</t>
        </is>
      </c>
      <c r="G135" s="19" t="inlineStr">
        <is>
          <t>Consumer Products and Services (B2C)</t>
        </is>
      </c>
      <c r="H135" s="20" t="inlineStr">
        <is>
          <t>Apparel and Accessories</t>
        </is>
      </c>
      <c r="I135" s="21" t="inlineStr">
        <is>
          <t>Luxury Goods</t>
        </is>
      </c>
      <c r="J135" s="22" t="inlineStr">
        <is>
          <t>Accessories, Clothing, Luxury Goods*</t>
        </is>
      </c>
      <c r="K135" s="23" t="inlineStr">
        <is>
          <t>Manufacturing</t>
        </is>
      </c>
      <c r="L135" s="24" t="inlineStr">
        <is>
          <t>fashion branding, fashion retail chain, kids wear, lifestyle accessories, mens wear</t>
        </is>
      </c>
      <c r="M135" s="25" t="inlineStr">
        <is>
          <t>Formerly PE-Backed</t>
        </is>
      </c>
      <c r="N135" s="26" t="n">
        <v>286.53</v>
      </c>
      <c r="O135" s="27" t="inlineStr">
        <is>
          <t>Profitable</t>
        </is>
      </c>
      <c r="P135" s="28" t="inlineStr">
        <is>
          <t>Acquired/Merged (Operating Subsidiary)</t>
        </is>
      </c>
      <c r="Q135" s="29" t="inlineStr">
        <is>
          <t>Debt Financed, Private Equity</t>
        </is>
      </c>
      <c r="R135" s="30" t="inlineStr">
        <is>
          <t>www.versace.com</t>
        </is>
      </c>
      <c r="S135" s="31" t="n">
        <v>2300.0</v>
      </c>
      <c r="T135" s="32" t="inlineStr">
        <is>
          <t>2013: 500, 2014: 500, 2016: 1062, 2018: 2300</t>
        </is>
      </c>
      <c r="U135" s="33" t="inlineStr">
        <is>
          <t/>
        </is>
      </c>
      <c r="V135" s="34" t="inlineStr">
        <is>
          <t/>
        </is>
      </c>
      <c r="W135" s="35" t="n">
        <v>1978.0</v>
      </c>
      <c r="X135" s="36" t="inlineStr">
        <is>
          <t>Capri Holdings</t>
        </is>
      </c>
      <c r="Y135" s="37" t="inlineStr">
        <is>
          <t/>
        </is>
      </c>
      <c r="Z135" s="38" t="inlineStr">
        <is>
          <t/>
        </is>
      </c>
      <c r="AA135" s="39" t="n">
        <v>2000.0</v>
      </c>
      <c r="AB135" s="40" t="inlineStr">
        <is>
          <t/>
        </is>
      </c>
      <c r="AC135" s="41" t="inlineStr">
        <is>
          <t/>
        </is>
      </c>
      <c r="AD135" s="42" t="inlineStr">
        <is>
          <t/>
        </is>
      </c>
      <c r="AE135" s="43" t="inlineStr">
        <is>
          <t/>
        </is>
      </c>
      <c r="AF135" s="44" t="inlineStr">
        <is>
          <t>FY 2018</t>
        </is>
      </c>
      <c r="AG135" s="45" t="inlineStr">
        <is>
          <t/>
        </is>
      </c>
      <c r="AH135" s="46" t="inlineStr">
        <is>
          <t/>
        </is>
      </c>
      <c r="AI135" s="47" t="inlineStr">
        <is>
          <t/>
        </is>
      </c>
      <c r="AJ135" s="48" t="inlineStr">
        <is>
          <t>53558-11P</t>
        </is>
      </c>
      <c r="AK135" s="49" t="inlineStr">
        <is>
          <t>Santo Versace</t>
        </is>
      </c>
      <c r="AL135" s="50" t="inlineStr">
        <is>
          <t>President &amp; Co-Chief Executive Officer</t>
        </is>
      </c>
      <c r="AM135" s="51" t="inlineStr">
        <is>
          <t/>
        </is>
      </c>
      <c r="AN135" s="52" t="inlineStr">
        <is>
          <t>+39 02 7609 31</t>
        </is>
      </c>
      <c r="AO135" s="53" t="inlineStr">
        <is>
          <t>Milan, Italy</t>
        </is>
      </c>
      <c r="AP135" s="54" t="inlineStr">
        <is>
          <t>Via Manzoni, 38</t>
        </is>
      </c>
      <c r="AQ135" s="55" t="inlineStr">
        <is>
          <t/>
        </is>
      </c>
      <c r="AR135" s="56" t="inlineStr">
        <is>
          <t>Milan</t>
        </is>
      </c>
      <c r="AS135" s="57" t="inlineStr">
        <is>
          <t/>
        </is>
      </c>
      <c r="AT135" s="58" t="inlineStr">
        <is>
          <t>20121</t>
        </is>
      </c>
      <c r="AU135" s="59" t="inlineStr">
        <is>
          <t>Italy</t>
        </is>
      </c>
      <c r="AV135" s="60" t="inlineStr">
        <is>
          <t>+39 02 7609 31</t>
        </is>
      </c>
      <c r="AW135" s="61" t="inlineStr">
        <is>
          <t>+39 02 7600 4122</t>
        </is>
      </c>
      <c r="AX135" s="62" t="inlineStr">
        <is>
          <t/>
        </is>
      </c>
      <c r="AY135" s="63" t="inlineStr">
        <is>
          <t>Europe</t>
        </is>
      </c>
      <c r="AZ135" s="64" t="inlineStr">
        <is>
          <t>Southern Europe</t>
        </is>
      </c>
      <c r="BA135" s="65" t="inlineStr">
        <is>
          <t>The company was acquired by Capri Holdings (NYS: KORS) for EUR 2.12 billion on October 2, 2018. The move is in line with the Michael Kors' ambition to aggregate various luxury brands, including fashion, shoes and accessories under one larger group. The cash portion of the purchase price is expected to be funded by a combination of cash on hand, drawings under the acquirer's existing revolving credit facility, and committed underwritten bank term loans from JPMorgan Chase Bank, N.A. and Barclays. Previously, the company received EUR 210 million of development capital from The Blackstone Group on February 27, 2014, putting company's valuation at EUR 1.05 billion. The company is being actively tracked by PitchBook.</t>
        </is>
      </c>
      <c r="BB135" s="66" t="inlineStr">
        <is>
          <t/>
        </is>
      </c>
      <c r="BC135" s="67" t="inlineStr">
        <is>
          <t/>
        </is>
      </c>
      <c r="BD135" s="68" t="inlineStr">
        <is>
          <t>Capri Holdings</t>
        </is>
      </c>
      <c r="BE135" s="69" t="inlineStr">
        <is>
          <t>The Blackstone Group</t>
        </is>
      </c>
      <c r="BF135" s="70" t="inlineStr">
        <is>
          <t>Ardian, CCMP Capital Advisors, CDP Equity, Clessidra, E-Land Group, Investcorp Bank, Kohlberg Kravis Roberts, Permira, Qatar Holding</t>
        </is>
      </c>
      <c r="BG135" s="71" t="inlineStr">
        <is>
          <t/>
        </is>
      </c>
      <c r="BH135" s="72" t="inlineStr">
        <is>
          <t>The Blackstone Group(www.blackstone.com)</t>
        </is>
      </c>
      <c r="BI135" s="73" t="inlineStr">
        <is>
          <t>Ardian(www.ardian.com), CCMP Capital Advisors(www.ccmpcapital.com), CDP Equity(www.cdpequity.it), Clessidra(www.clessidrasgr.it), Investcorp Bank(www.investcorp.com), Kohlberg Kravis Roberts(www.kkr.com), Permira(www.permira.com), Qatar Holding(www.qh.com.qa)</t>
        </is>
      </c>
      <c r="BJ135" s="74" t="inlineStr">
        <is>
          <t>Colombo &amp; Associati(Advisor: General), Elixir Advisors(Advisor: General), The Brownestone Group(Consulting)</t>
        </is>
      </c>
      <c r="BK135" s="75" t="inlineStr">
        <is>
          <t>Banca IMI(Advisor: General), Barclays(Debt Financing), Chase Bank(Debt Financing), Cleary Gottlieb Steen &amp; Hamilton(Legal Advisor), Gattai Minoli Agostinelli &amp; Partners(Legal Advisor), Intesa Sanpaolo(Advisor: General), Mediobanca(Debt Financing), Sullivan &amp; Cromwell(Legal Advisor), The Goldman Sachs Group(Advisor: General)</t>
        </is>
      </c>
      <c r="BL135" s="76" t="n">
        <v>41697.0</v>
      </c>
      <c r="BM135" s="77" t="n">
        <v>286.53</v>
      </c>
      <c r="BN135" s="78" t="inlineStr">
        <is>
          <t>Actual</t>
        </is>
      </c>
      <c r="BO135" s="79" t="n">
        <v>1432.67</v>
      </c>
      <c r="BP135" s="80" t="inlineStr">
        <is>
          <t>Estimated</t>
        </is>
      </c>
      <c r="BQ135" s="81" t="inlineStr">
        <is>
          <t>PE Growth/Expansion</t>
        </is>
      </c>
      <c r="BR135" s="82" t="inlineStr">
        <is>
          <t/>
        </is>
      </c>
      <c r="BS135" s="83" t="inlineStr">
        <is>
          <t/>
        </is>
      </c>
      <c r="BT135" s="84" t="inlineStr">
        <is>
          <t>Private Equity</t>
        </is>
      </c>
      <c r="BU135" s="85" t="inlineStr">
        <is>
          <t/>
        </is>
      </c>
      <c r="BV135" s="86" t="inlineStr">
        <is>
          <t/>
        </is>
      </c>
      <c r="BW135" s="87" t="inlineStr">
        <is>
          <t/>
        </is>
      </c>
      <c r="BX135" s="88" t="inlineStr">
        <is>
          <t>Completed</t>
        </is>
      </c>
      <c r="BY135" s="89" t="n">
        <v>43375.0</v>
      </c>
      <c r="BZ135" s="90" t="n">
        <v>2469.93</v>
      </c>
      <c r="CA135" s="91" t="inlineStr">
        <is>
          <t>Actual</t>
        </is>
      </c>
      <c r="CB135" s="92" t="n">
        <v>2469.93</v>
      </c>
      <c r="CC135" s="93" t="inlineStr">
        <is>
          <t>Actual</t>
        </is>
      </c>
      <c r="CD135" s="94" t="inlineStr">
        <is>
          <t>Merger/Acquisition</t>
        </is>
      </c>
      <c r="CE135" s="95" t="inlineStr">
        <is>
          <t/>
        </is>
      </c>
      <c r="CF135" s="96" t="inlineStr">
        <is>
          <t/>
        </is>
      </c>
      <c r="CG135" s="97" t="inlineStr">
        <is>
          <t>Corporate</t>
        </is>
      </c>
      <c r="CH135" s="98" t="inlineStr">
        <is>
          <t>Loan</t>
        </is>
      </c>
      <c r="CI135" s="99" t="inlineStr">
        <is>
          <t/>
        </is>
      </c>
      <c r="CJ135" s="100" t="inlineStr">
        <is>
          <t/>
        </is>
      </c>
      <c r="CK135" s="101" t="inlineStr">
        <is>
          <t>Completed</t>
        </is>
      </c>
      <c r="CL135" s="102" t="n">
        <v>43375.0</v>
      </c>
      <c r="CM135" s="103" t="inlineStr">
        <is>
          <t/>
        </is>
      </c>
      <c r="CN135" s="104" t="inlineStr">
        <is>
          <t/>
        </is>
      </c>
      <c r="CO135" s="105" t="inlineStr">
        <is>
          <t/>
        </is>
      </c>
      <c r="CP135" s="106" t="inlineStr">
        <is>
          <t/>
        </is>
      </c>
      <c r="CQ135" s="107" t="inlineStr">
        <is>
          <t/>
        </is>
      </c>
      <c r="CR135" s="108" t="inlineStr">
        <is>
          <t/>
        </is>
      </c>
      <c r="CS135" s="109" t="inlineStr">
        <is>
          <t/>
        </is>
      </c>
      <c r="CT135" s="110" t="inlineStr">
        <is>
          <t/>
        </is>
      </c>
      <c r="CU135" s="111" t="inlineStr">
        <is>
          <t/>
        </is>
      </c>
      <c r="CV135" s="112" t="inlineStr">
        <is>
          <t/>
        </is>
      </c>
      <c r="CW135" s="113" t="inlineStr">
        <is>
          <t/>
        </is>
      </c>
      <c r="CX135" s="114" t="inlineStr">
        <is>
          <t/>
        </is>
      </c>
      <c r="CY135" s="115" t="inlineStr">
        <is>
          <t/>
        </is>
      </c>
      <c r="CZ135" s="116" t="inlineStr">
        <is>
          <t/>
        </is>
      </c>
      <c r="DA135" s="117" t="inlineStr">
        <is>
          <t/>
        </is>
      </c>
      <c r="DB135" s="118" t="inlineStr">
        <is>
          <t/>
        </is>
      </c>
      <c r="DC135" s="119" t="inlineStr">
        <is>
          <t/>
        </is>
      </c>
      <c r="DD135" s="120" t="inlineStr">
        <is>
          <t/>
        </is>
      </c>
      <c r="DE135" s="121" t="inlineStr">
        <is>
          <t/>
        </is>
      </c>
      <c r="DF135" s="122" t="inlineStr">
        <is>
          <t/>
        </is>
      </c>
      <c r="DG135" s="123" t="inlineStr">
        <is>
          <t/>
        </is>
      </c>
      <c r="DH135" s="124" t="inlineStr">
        <is>
          <t/>
        </is>
      </c>
      <c r="DI135" s="125" t="inlineStr">
        <is>
          <t/>
        </is>
      </c>
      <c r="DJ135" s="126" t="inlineStr">
        <is>
          <t/>
        </is>
      </c>
      <c r="DK135" s="127" t="inlineStr">
        <is>
          <t/>
        </is>
      </c>
      <c r="DL135" s="128" t="inlineStr">
        <is>
          <t/>
        </is>
      </c>
      <c r="DM135" s="129" t="inlineStr">
        <is>
          <t/>
        </is>
      </c>
      <c r="DN135" s="130" t="inlineStr">
        <is>
          <t/>
        </is>
      </c>
      <c r="DO135" s="131" t="inlineStr">
        <is>
          <t/>
        </is>
      </c>
      <c r="DP135" s="132" t="inlineStr">
        <is>
          <t/>
        </is>
      </c>
      <c r="DQ135" s="133" t="inlineStr">
        <is>
          <t/>
        </is>
      </c>
      <c r="DR135" s="134" t="inlineStr">
        <is>
          <t/>
        </is>
      </c>
      <c r="DS135" s="135" t="inlineStr">
        <is>
          <t/>
        </is>
      </c>
      <c r="DT135" s="136" t="inlineStr">
        <is>
          <t/>
        </is>
      </c>
      <c r="DU135" s="137" t="inlineStr">
        <is>
          <t/>
        </is>
      </c>
      <c r="DV135" s="138" t="inlineStr">
        <is>
          <t/>
        </is>
      </c>
      <c r="DW135" s="139" t="inlineStr">
        <is>
          <t/>
        </is>
      </c>
      <c r="DX135" s="140" t="inlineStr">
        <is>
          <t/>
        </is>
      </c>
      <c r="DY135" s="141" t="inlineStr">
        <is>
          <t>PitchBook Research</t>
        </is>
      </c>
      <c r="DZ135" s="142" t="n">
        <v>43511.0</v>
      </c>
      <c r="EA135" s="143" t="n">
        <v>2469.93</v>
      </c>
      <c r="EB135" s="144" t="n">
        <v>43375.0</v>
      </c>
      <c r="EC135" s="145" t="inlineStr">
        <is>
          <t>Merger/Acquisition</t>
        </is>
      </c>
      <c r="ED135" s="547">
        <f>HYPERLINK("https://my.pitchbook.com?c=58901-86", "View company online")</f>
      </c>
    </row>
    <row r="136">
      <c r="A136" s="147" t="inlineStr">
        <is>
          <t>144046-54</t>
        </is>
      </c>
      <c r="B136" s="148" t="inlineStr">
        <is>
          <t>Woodmans Food Market</t>
        </is>
      </c>
      <c r="C136" s="149" t="inlineStr">
        <is>
          <t/>
        </is>
      </c>
      <c r="D136" s="150" t="inlineStr">
        <is>
          <t/>
        </is>
      </c>
      <c r="E136" s="151" t="inlineStr">
        <is>
          <t>144046-54</t>
        </is>
      </c>
      <c r="F136" s="152" t="inlineStr">
        <is>
          <t>The company primarily operates in the Buildings and Property industry. Woodmans Food Market was founded in 1919 and is headquartered in Onalaska, WI.</t>
        </is>
      </c>
      <c r="G136" s="153" t="inlineStr">
        <is>
          <t>Business Products and Services (B2B)</t>
        </is>
      </c>
      <c r="H136" s="154" t="inlineStr">
        <is>
          <t>Other Business Products and Services</t>
        </is>
      </c>
      <c r="I136" s="155" t="inlineStr">
        <is>
          <t>Buildings and Property</t>
        </is>
      </c>
      <c r="J136" s="156" t="inlineStr">
        <is>
          <t>Buildings and Property*, Clothing</t>
        </is>
      </c>
      <c r="K136" s="157" t="inlineStr">
        <is>
          <t/>
        </is>
      </c>
      <c r="L136" s="158" t="inlineStr">
        <is>
          <t>food product, grocery items</t>
        </is>
      </c>
      <c r="M136" s="159" t="inlineStr">
        <is>
          <t>Corporation</t>
        </is>
      </c>
      <c r="N136" s="160" t="inlineStr">
        <is>
          <t/>
        </is>
      </c>
      <c r="O136" s="161" t="inlineStr">
        <is>
          <t/>
        </is>
      </c>
      <c r="P136" s="162" t="inlineStr">
        <is>
          <t>Privately Held (no backing)</t>
        </is>
      </c>
      <c r="Q136" s="163" t="inlineStr">
        <is>
          <t>Other Private Companies</t>
        </is>
      </c>
      <c r="R136" s="164" t="inlineStr">
        <is>
          <t>woodmans-food.com</t>
        </is>
      </c>
      <c r="S136" s="165" t="inlineStr">
        <is>
          <t/>
        </is>
      </c>
      <c r="T136" s="166" t="inlineStr">
        <is>
          <t/>
        </is>
      </c>
      <c r="U136" s="167" t="inlineStr">
        <is>
          <t/>
        </is>
      </c>
      <c r="V136" s="168" t="inlineStr">
        <is>
          <t/>
        </is>
      </c>
      <c r="W136" s="169" t="n">
        <v>1919.0</v>
      </c>
      <c r="X136" s="170" t="inlineStr">
        <is>
          <t/>
        </is>
      </c>
      <c r="Y136" s="171" t="inlineStr">
        <is>
          <t/>
        </is>
      </c>
      <c r="Z136" s="172" t="inlineStr">
        <is>
          <t/>
        </is>
      </c>
      <c r="AA136" s="173" t="n">
        <v>2000.0</v>
      </c>
      <c r="AB136" s="174" t="inlineStr">
        <is>
          <t/>
        </is>
      </c>
      <c r="AC136" s="175" t="inlineStr">
        <is>
          <t/>
        </is>
      </c>
      <c r="AD136" s="176" t="inlineStr">
        <is>
          <t/>
        </is>
      </c>
      <c r="AE136" s="177" t="inlineStr">
        <is>
          <t/>
        </is>
      </c>
      <c r="AF136" s="178" t="inlineStr">
        <is>
          <t>FY 2017</t>
        </is>
      </c>
      <c r="AG136" s="179" t="inlineStr">
        <is>
          <t/>
        </is>
      </c>
      <c r="AH136" s="180" t="inlineStr">
        <is>
          <t/>
        </is>
      </c>
      <c r="AI136" s="181" t="inlineStr">
        <is>
          <t/>
        </is>
      </c>
      <c r="AJ136" s="182" t="inlineStr">
        <is>
          <t/>
        </is>
      </c>
      <c r="AK136" s="183" t="inlineStr">
        <is>
          <t/>
        </is>
      </c>
      <c r="AL136" s="184" t="inlineStr">
        <is>
          <t/>
        </is>
      </c>
      <c r="AM136" s="185" t="inlineStr">
        <is>
          <t/>
        </is>
      </c>
      <c r="AN136" s="186" t="inlineStr">
        <is>
          <t/>
        </is>
      </c>
      <c r="AO136" s="187" t="inlineStr">
        <is>
          <t>Onalaska, WI</t>
        </is>
      </c>
      <c r="AP136" s="188" t="inlineStr">
        <is>
          <t/>
        </is>
      </c>
      <c r="AQ136" s="189" t="inlineStr">
        <is>
          <t/>
        </is>
      </c>
      <c r="AR136" s="190" t="inlineStr">
        <is>
          <t>Onalaska</t>
        </is>
      </c>
      <c r="AS136" s="191" t="inlineStr">
        <is>
          <t>Wisconsin</t>
        </is>
      </c>
      <c r="AT136" s="192" t="inlineStr">
        <is>
          <t>54650</t>
        </is>
      </c>
      <c r="AU136" s="193" t="inlineStr">
        <is>
          <t>United States</t>
        </is>
      </c>
      <c r="AV136" s="194" t="inlineStr">
        <is>
          <t/>
        </is>
      </c>
      <c r="AW136" s="195" t="inlineStr">
        <is>
          <t/>
        </is>
      </c>
      <c r="AX136" s="196" t="inlineStr">
        <is>
          <t/>
        </is>
      </c>
      <c r="AY136" s="197" t="inlineStr">
        <is>
          <t>Americas</t>
        </is>
      </c>
      <c r="AZ136" s="198" t="inlineStr">
        <is>
          <t>North America</t>
        </is>
      </c>
      <c r="BA136" s="199" t="inlineStr">
        <is>
          <t/>
        </is>
      </c>
      <c r="BB136" s="200" t="inlineStr">
        <is>
          <t/>
        </is>
      </c>
      <c r="BC136" s="201" t="inlineStr">
        <is>
          <t/>
        </is>
      </c>
      <c r="BD136" s="202" t="inlineStr">
        <is>
          <t/>
        </is>
      </c>
      <c r="BE136" s="203" t="inlineStr">
        <is>
          <t/>
        </is>
      </c>
      <c r="BF136" s="204" t="inlineStr">
        <is>
          <t/>
        </is>
      </c>
      <c r="BG136" s="205" t="inlineStr">
        <is>
          <t/>
        </is>
      </c>
      <c r="BH136" s="206" t="inlineStr">
        <is>
          <t/>
        </is>
      </c>
      <c r="BI136" s="207" t="inlineStr">
        <is>
          <t/>
        </is>
      </c>
      <c r="BJ136" s="208" t="inlineStr">
        <is>
          <t/>
        </is>
      </c>
      <c r="BK136" s="209" t="inlineStr">
        <is>
          <t/>
        </is>
      </c>
      <c r="BL136" s="210" t="inlineStr">
        <is>
          <t/>
        </is>
      </c>
      <c r="BM136" s="211" t="inlineStr">
        <is>
          <t/>
        </is>
      </c>
      <c r="BN136" s="212" t="inlineStr">
        <is>
          <t/>
        </is>
      </c>
      <c r="BO136" s="213" t="inlineStr">
        <is>
          <t/>
        </is>
      </c>
      <c r="BP136" s="214" t="inlineStr">
        <is>
          <t/>
        </is>
      </c>
      <c r="BQ136" s="215" t="inlineStr">
        <is>
          <t/>
        </is>
      </c>
      <c r="BR136" s="216" t="inlineStr">
        <is>
          <t/>
        </is>
      </c>
      <c r="BS136" s="217" t="inlineStr">
        <is>
          <t/>
        </is>
      </c>
      <c r="BT136" s="218" t="inlineStr">
        <is>
          <t/>
        </is>
      </c>
      <c r="BU136" s="219" t="inlineStr">
        <is>
          <t/>
        </is>
      </c>
      <c r="BV136" s="220" t="inlineStr">
        <is>
          <t/>
        </is>
      </c>
      <c r="BW136" s="221" t="inlineStr">
        <is>
          <t/>
        </is>
      </c>
      <c r="BX136" s="222" t="inlineStr">
        <is>
          <t/>
        </is>
      </c>
      <c r="BY136" s="223" t="inlineStr">
        <is>
          <t/>
        </is>
      </c>
      <c r="BZ136" s="224" t="inlineStr">
        <is>
          <t/>
        </is>
      </c>
      <c r="CA136" s="225" t="inlineStr">
        <is>
          <t/>
        </is>
      </c>
      <c r="CB136" s="226" t="inlineStr">
        <is>
          <t/>
        </is>
      </c>
      <c r="CC136" s="227" t="inlineStr">
        <is>
          <t/>
        </is>
      </c>
      <c r="CD136" s="228" t="inlineStr">
        <is>
          <t/>
        </is>
      </c>
      <c r="CE136" s="229" t="inlineStr">
        <is>
          <t/>
        </is>
      </c>
      <c r="CF136" s="230" t="inlineStr">
        <is>
          <t/>
        </is>
      </c>
      <c r="CG136" s="231" t="inlineStr">
        <is>
          <t/>
        </is>
      </c>
      <c r="CH136" s="232" t="inlineStr">
        <is>
          <t/>
        </is>
      </c>
      <c r="CI136" s="233" t="inlineStr">
        <is>
          <t/>
        </is>
      </c>
      <c r="CJ136" s="234" t="inlineStr">
        <is>
          <t/>
        </is>
      </c>
      <c r="CK136" s="235" t="inlineStr">
        <is>
          <t/>
        </is>
      </c>
      <c r="CL136" s="236" t="inlineStr">
        <is>
          <t/>
        </is>
      </c>
      <c r="CM136" s="237" t="inlineStr">
        <is>
          <t/>
        </is>
      </c>
      <c r="CN136" s="238" t="n">
        <v>0.72</v>
      </c>
      <c r="CO136" s="239" t="n">
        <v>96.0</v>
      </c>
      <c r="CP136" s="240" t="n">
        <v>0.04</v>
      </c>
      <c r="CQ136" s="241" t="n">
        <v>5.71</v>
      </c>
      <c r="CR136" s="242" t="n">
        <v>1.13</v>
      </c>
      <c r="CS136" s="243" t="n">
        <v>97.0</v>
      </c>
      <c r="CT136" s="244" t="n">
        <v>0.32</v>
      </c>
      <c r="CU136" s="245" t="n">
        <v>90.0</v>
      </c>
      <c r="CV136" s="246" t="n">
        <v>2.01</v>
      </c>
      <c r="CW136" s="247" t="n">
        <v>91.0</v>
      </c>
      <c r="CX136" s="248" t="n">
        <v>0.24</v>
      </c>
      <c r="CY136" s="249" t="n">
        <v>89.0</v>
      </c>
      <c r="CZ136" s="250" t="n">
        <v>0.32</v>
      </c>
      <c r="DA136" s="251" t="n">
        <v>92.0</v>
      </c>
      <c r="DB136" s="252" t="n">
        <v>29.18</v>
      </c>
      <c r="DC136" s="253" t="n">
        <v>96.0</v>
      </c>
      <c r="DD136" s="254" t="n">
        <v>1.66</v>
      </c>
      <c r="DE136" s="255" t="n">
        <v>6.03</v>
      </c>
      <c r="DF136" s="256" t="n">
        <v>44.07</v>
      </c>
      <c r="DG136" s="257" t="n">
        <v>98.0</v>
      </c>
      <c r="DH136" s="258" t="n">
        <v>14.3</v>
      </c>
      <c r="DI136" s="259" t="n">
        <v>89.0</v>
      </c>
      <c r="DJ136" s="260" t="n">
        <v>63.25</v>
      </c>
      <c r="DK136" s="261" t="n">
        <v>96.0</v>
      </c>
      <c r="DL136" s="262" t="n">
        <v>24.88</v>
      </c>
      <c r="DM136" s="263" t="n">
        <v>95.0</v>
      </c>
      <c r="DN136" s="264" t="n">
        <v>14.3</v>
      </c>
      <c r="DO136" s="265" t="n">
        <v>90.0</v>
      </c>
      <c r="DP136" s="266" t="n">
        <v>45086.0</v>
      </c>
      <c r="DQ136" s="267" t="n">
        <v>112.0</v>
      </c>
      <c r="DR136" s="268" t="n">
        <v>0.25</v>
      </c>
      <c r="DS136" s="269" t="n">
        <v>838.0</v>
      </c>
      <c r="DT136" s="270" t="n">
        <v>14.0</v>
      </c>
      <c r="DU136" s="271" t="n">
        <v>1.7</v>
      </c>
      <c r="DV136" s="272" t="n">
        <v>5134.0</v>
      </c>
      <c r="DW136" s="273" t="n">
        <v>-3.0</v>
      </c>
      <c r="DX136" s="274" t="n">
        <v>-0.06</v>
      </c>
      <c r="DY136" s="275" t="inlineStr">
        <is>
          <t>Technology Generated</t>
        </is>
      </c>
      <c r="DZ136" s="276" t="n">
        <v>43529.0</v>
      </c>
      <c r="EA136" s="277" t="inlineStr">
        <is>
          <t/>
        </is>
      </c>
      <c r="EB136" s="278" t="inlineStr">
        <is>
          <t/>
        </is>
      </c>
      <c r="EC136" s="279" t="inlineStr">
        <is>
          <t/>
        </is>
      </c>
      <c r="ED136" s="548">
        <f>HYPERLINK("https://my.pitchbook.com?c=144046-54", "View company online")</f>
      </c>
    </row>
    <row r="137">
      <c r="A137" s="13" t="inlineStr">
        <is>
          <t>181618-93</t>
        </is>
      </c>
      <c r="B137" s="14" t="inlineStr">
        <is>
          <t>LuLaRoe</t>
        </is>
      </c>
      <c r="C137" s="15" t="inlineStr">
        <is>
          <t/>
        </is>
      </c>
      <c r="D137" s="16" t="inlineStr">
        <is>
          <t/>
        </is>
      </c>
      <c r="E137" s="17" t="inlineStr">
        <is>
          <t>181618-93</t>
        </is>
      </c>
      <c r="F137" s="18" t="inlineStr">
        <is>
          <t>Provider of an online fashion store intended to create freedom by selling comfortable, affordable and stylish clothing. The company's online fashion store sells a variety of custom apparel and accessories as per latest trends, enabling customers to find and order personalized fashion items by being connected to local retailers and designers.</t>
        </is>
      </c>
      <c r="G137" s="19" t="inlineStr">
        <is>
          <t>Consumer Products and Services (B2C)</t>
        </is>
      </c>
      <c r="H137" s="20" t="inlineStr">
        <is>
          <t>Apparel and Accessories</t>
        </is>
      </c>
      <c r="I137" s="21" t="inlineStr">
        <is>
          <t>Clothing</t>
        </is>
      </c>
      <c r="J137" s="22" t="inlineStr">
        <is>
          <t>Clothing*, Internet Retail, Other Apparel</t>
        </is>
      </c>
      <c r="K137" s="23" t="inlineStr">
        <is>
          <t>E-Commerce, TMT</t>
        </is>
      </c>
      <c r="L137" s="24" t="inlineStr">
        <is>
          <t>clothing branding, designer accessories, designer apparel, fashion apparel, fashion apparel platform, online fashion stores, personalized fashion items, stylish clothing</t>
        </is>
      </c>
      <c r="M137" s="25" t="inlineStr">
        <is>
          <t>Corporation</t>
        </is>
      </c>
      <c r="N137" s="26" t="inlineStr">
        <is>
          <t/>
        </is>
      </c>
      <c r="O137" s="27" t="inlineStr">
        <is>
          <t>Profitable</t>
        </is>
      </c>
      <c r="P137" s="28" t="inlineStr">
        <is>
          <t>Privately Held (no backing)</t>
        </is>
      </c>
      <c r="Q137" s="29" t="inlineStr">
        <is>
          <t>Other Private Companies</t>
        </is>
      </c>
      <c r="R137" s="30" t="inlineStr">
        <is>
          <t>www.lularoe.com</t>
        </is>
      </c>
      <c r="S137" s="31" t="inlineStr">
        <is>
          <t/>
        </is>
      </c>
      <c r="T137" s="32" t="inlineStr">
        <is>
          <t/>
        </is>
      </c>
      <c r="U137" s="33" t="inlineStr">
        <is>
          <t/>
        </is>
      </c>
      <c r="V137" s="34" t="inlineStr">
        <is>
          <t/>
        </is>
      </c>
      <c r="W137" s="35" t="n">
        <v>2013.0</v>
      </c>
      <c r="X137" s="36" t="inlineStr">
        <is>
          <t/>
        </is>
      </c>
      <c r="Y137" s="37" t="inlineStr">
        <is>
          <t/>
        </is>
      </c>
      <c r="Z137" s="38" t="inlineStr">
        <is>
          <t>Competitor (New) Carlisle Etcetera</t>
        </is>
      </c>
      <c r="AA137" s="39" t="n">
        <v>2000.0</v>
      </c>
      <c r="AB137" s="40" t="inlineStr">
        <is>
          <t/>
        </is>
      </c>
      <c r="AC137" s="41" t="inlineStr">
        <is>
          <t/>
        </is>
      </c>
      <c r="AD137" s="42" t="inlineStr">
        <is>
          <t/>
        </is>
      </c>
      <c r="AE137" s="43" t="inlineStr">
        <is>
          <t/>
        </is>
      </c>
      <c r="AF137" s="44" t="inlineStr">
        <is>
          <t>FY 2017</t>
        </is>
      </c>
      <c r="AG137" s="45" t="inlineStr">
        <is>
          <t/>
        </is>
      </c>
      <c r="AH137" s="46" t="inlineStr">
        <is>
          <t/>
        </is>
      </c>
      <c r="AI137" s="47" t="inlineStr">
        <is>
          <t/>
        </is>
      </c>
      <c r="AJ137" s="48" t="inlineStr">
        <is>
          <t>164207-71P</t>
        </is>
      </c>
      <c r="AK137" s="49" t="inlineStr">
        <is>
          <t>DeAnne Stidham</t>
        </is>
      </c>
      <c r="AL137" s="50" t="inlineStr">
        <is>
          <t>Co-Founder &amp; President</t>
        </is>
      </c>
      <c r="AM137" s="51" t="inlineStr">
        <is>
          <t>deanne@lularoe.com</t>
        </is>
      </c>
      <c r="AN137" s="52" t="inlineStr">
        <is>
          <t>+1 (888) 231-1412</t>
        </is>
      </c>
      <c r="AO137" s="53" t="inlineStr">
        <is>
          <t>Corona, CA</t>
        </is>
      </c>
      <c r="AP137" s="54" t="inlineStr">
        <is>
          <t/>
        </is>
      </c>
      <c r="AQ137" s="55" t="inlineStr">
        <is>
          <t/>
        </is>
      </c>
      <c r="AR137" s="56" t="inlineStr">
        <is>
          <t>Corona</t>
        </is>
      </c>
      <c r="AS137" s="57" t="inlineStr">
        <is>
          <t>California</t>
        </is>
      </c>
      <c r="AT137" s="58" t="inlineStr">
        <is>
          <t/>
        </is>
      </c>
      <c r="AU137" s="59" t="inlineStr">
        <is>
          <t>United States</t>
        </is>
      </c>
      <c r="AV137" s="60" t="inlineStr">
        <is>
          <t>+1 (888) 231-1412</t>
        </is>
      </c>
      <c r="AW137" s="61" t="inlineStr">
        <is>
          <t/>
        </is>
      </c>
      <c r="AX137" s="62" t="inlineStr">
        <is>
          <t>consumerinquiries@lularoe.com</t>
        </is>
      </c>
      <c r="AY137" s="63" t="inlineStr">
        <is>
          <t>Americas</t>
        </is>
      </c>
      <c r="AZ137" s="64" t="inlineStr">
        <is>
          <t>North America</t>
        </is>
      </c>
      <c r="BA137" s="65" t="inlineStr">
        <is>
          <t/>
        </is>
      </c>
      <c r="BB137" s="66" t="inlineStr">
        <is>
          <t/>
        </is>
      </c>
      <c r="BC137" s="67" t="inlineStr">
        <is>
          <t/>
        </is>
      </c>
      <c r="BD137" s="68" t="inlineStr">
        <is>
          <t/>
        </is>
      </c>
      <c r="BE137" s="69" t="inlineStr">
        <is>
          <t/>
        </is>
      </c>
      <c r="BF137" s="70" t="inlineStr">
        <is>
          <t/>
        </is>
      </c>
      <c r="BG137" s="71" t="inlineStr">
        <is>
          <t/>
        </is>
      </c>
      <c r="BH137" s="72" t="inlineStr">
        <is>
          <t/>
        </is>
      </c>
      <c r="BI137" s="73" t="inlineStr">
        <is>
          <t/>
        </is>
      </c>
      <c r="BJ137" s="74" t="inlineStr">
        <is>
          <t/>
        </is>
      </c>
      <c r="BK137" s="75" t="inlineStr">
        <is>
          <t/>
        </is>
      </c>
      <c r="BL137" s="76" t="inlineStr">
        <is>
          <t/>
        </is>
      </c>
      <c r="BM137" s="77" t="inlineStr">
        <is>
          <t/>
        </is>
      </c>
      <c r="BN137" s="78" t="inlineStr">
        <is>
          <t/>
        </is>
      </c>
      <c r="BO137" s="79" t="inlineStr">
        <is>
          <t/>
        </is>
      </c>
      <c r="BP137" s="80" t="inlineStr">
        <is>
          <t/>
        </is>
      </c>
      <c r="BQ137" s="81" t="inlineStr">
        <is>
          <t/>
        </is>
      </c>
      <c r="BR137" s="82" t="inlineStr">
        <is>
          <t/>
        </is>
      </c>
      <c r="BS137" s="83" t="inlineStr">
        <is>
          <t/>
        </is>
      </c>
      <c r="BT137" s="84" t="inlineStr">
        <is>
          <t/>
        </is>
      </c>
      <c r="BU137" s="85" t="inlineStr">
        <is>
          <t/>
        </is>
      </c>
      <c r="BV137" s="86" t="inlineStr">
        <is>
          <t/>
        </is>
      </c>
      <c r="BW137" s="87" t="inlineStr">
        <is>
          <t/>
        </is>
      </c>
      <c r="BX137" s="88" t="inlineStr">
        <is>
          <t/>
        </is>
      </c>
      <c r="BY137" s="89" t="inlineStr">
        <is>
          <t/>
        </is>
      </c>
      <c r="BZ137" s="90" t="inlineStr">
        <is>
          <t/>
        </is>
      </c>
      <c r="CA137" s="91" t="inlineStr">
        <is>
          <t/>
        </is>
      </c>
      <c r="CB137" s="92" t="inlineStr">
        <is>
          <t/>
        </is>
      </c>
      <c r="CC137" s="93" t="inlineStr">
        <is>
          <t/>
        </is>
      </c>
      <c r="CD137" s="94" t="inlineStr">
        <is>
          <t/>
        </is>
      </c>
      <c r="CE137" s="95" t="inlineStr">
        <is>
          <t/>
        </is>
      </c>
      <c r="CF137" s="96" t="inlineStr">
        <is>
          <t/>
        </is>
      </c>
      <c r="CG137" s="97" t="inlineStr">
        <is>
          <t/>
        </is>
      </c>
      <c r="CH137" s="98" t="inlineStr">
        <is>
          <t/>
        </is>
      </c>
      <c r="CI137" s="99" t="inlineStr">
        <is>
          <t/>
        </is>
      </c>
      <c r="CJ137" s="100" t="inlineStr">
        <is>
          <t/>
        </is>
      </c>
      <c r="CK137" s="101" t="inlineStr">
        <is>
          <t/>
        </is>
      </c>
      <c r="CL137" s="102" t="inlineStr">
        <is>
          <t/>
        </is>
      </c>
      <c r="CM137" s="103" t="inlineStr">
        <is>
          <t/>
        </is>
      </c>
      <c r="CN137" s="104" t="n">
        <v>-0.72</v>
      </c>
      <c r="CO137" s="105" t="n">
        <v>6.0</v>
      </c>
      <c r="CP137" s="106" t="n">
        <v>0.03</v>
      </c>
      <c r="CQ137" s="107" t="n">
        <v>3.54</v>
      </c>
      <c r="CR137" s="108" t="n">
        <v>-1.4</v>
      </c>
      <c r="CS137" s="109" t="n">
        <v>5.0</v>
      </c>
      <c r="CT137" s="110" t="n">
        <v>-0.04</v>
      </c>
      <c r="CU137" s="111" t="n">
        <v>17.0</v>
      </c>
      <c r="CV137" s="112" t="n">
        <v>-2.9</v>
      </c>
      <c r="CW137" s="113" t="n">
        <v>16.0</v>
      </c>
      <c r="CX137" s="114" t="n">
        <v>0.11</v>
      </c>
      <c r="CY137" s="115" t="n">
        <v>86.0</v>
      </c>
      <c r="CZ137" s="116" t="n">
        <v>-0.1</v>
      </c>
      <c r="DA137" s="117" t="n">
        <v>9.0</v>
      </c>
      <c r="DB137" s="118" t="n">
        <v>241.08</v>
      </c>
      <c r="DC137" s="119" t="n">
        <v>100.0</v>
      </c>
      <c r="DD137" s="120" t="n">
        <v>3.76</v>
      </c>
      <c r="DE137" s="121" t="n">
        <v>1.58</v>
      </c>
      <c r="DF137" s="122" t="n">
        <v>51.28</v>
      </c>
      <c r="DG137" s="123" t="n">
        <v>99.0</v>
      </c>
      <c r="DH137" s="124" t="n">
        <v>430.88</v>
      </c>
      <c r="DI137" s="125" t="n">
        <v>99.0</v>
      </c>
      <c r="DJ137" s="126" t="n">
        <v>50.24</v>
      </c>
      <c r="DK137" s="127" t="n">
        <v>95.0</v>
      </c>
      <c r="DL137" s="128" t="n">
        <v>52.32</v>
      </c>
      <c r="DM137" s="129" t="n">
        <v>98.0</v>
      </c>
      <c r="DN137" s="130" t="n">
        <v>82.9</v>
      </c>
      <c r="DO137" s="131" t="n">
        <v>98.0</v>
      </c>
      <c r="DP137" s="132" t="n">
        <v>35831.0</v>
      </c>
      <c r="DQ137" s="133" t="n">
        <v>-64.0</v>
      </c>
      <c r="DR137" s="134" t="n">
        <v>-0.18</v>
      </c>
      <c r="DS137" s="135" t="n">
        <v>1775.0</v>
      </c>
      <c r="DT137" s="136" t="n">
        <v>11.0</v>
      </c>
      <c r="DU137" s="137" t="n">
        <v>0.62</v>
      </c>
      <c r="DV137" s="138" t="n">
        <v>29788.0</v>
      </c>
      <c r="DW137" s="139" t="n">
        <v>-48.0</v>
      </c>
      <c r="DX137" s="140" t="n">
        <v>-0.16</v>
      </c>
      <c r="DY137" s="141" t="inlineStr">
        <is>
          <t>PitchBook Research</t>
        </is>
      </c>
      <c r="DZ137" s="142" t="n">
        <v>43351.0</v>
      </c>
      <c r="EA137" s="143" t="inlineStr">
        <is>
          <t/>
        </is>
      </c>
      <c r="EB137" s="144" t="inlineStr">
        <is>
          <t/>
        </is>
      </c>
      <c r="EC137" s="145" t="inlineStr">
        <is>
          <t/>
        </is>
      </c>
      <c r="ED137" s="547">
        <f>HYPERLINK("https://my.pitchbook.com?c=181618-93", "View company online")</f>
      </c>
    </row>
    <row r="138">
      <c r="A138" s="147" t="inlineStr">
        <is>
          <t>10762-21</t>
        </is>
      </c>
      <c r="B138" s="148" t="inlineStr">
        <is>
          <t>Children's Place Retail Stores (NAS: PLCE)</t>
        </is>
      </c>
      <c r="C138" s="149" t="inlineStr">
        <is>
          <t/>
        </is>
      </c>
      <c r="D138" s="150" t="inlineStr">
        <is>
          <t>Childrens Place Retail Stores, The Disney Stores</t>
        </is>
      </c>
      <c r="E138" s="151" t="inlineStr">
        <is>
          <t>10762-21</t>
        </is>
      </c>
      <c r="F138" s="152" t="inlineStr">
        <is>
          <t>Children's Place Inc is a specialty retailer that sells accessories, footwear, and other items for children. The company has over a thousand stores in North America and also sells through its website and wholesale. It reaches more than a dozen other countries, with franchise partners operating stores, shops, or e-commerce sites. The company leases all of its retail stores, and most are located in malls. Children's Place has one distribution center in the United States and one in Canada to support operations in those countries. It uses third-party providers to support operations in other countries. The company sources its product from well over 100 vendors, which are primarily located in Asia.</t>
        </is>
      </c>
      <c r="G138" s="153" t="inlineStr">
        <is>
          <t>Consumer Products and Services (B2C)</t>
        </is>
      </c>
      <c r="H138" s="154" t="inlineStr">
        <is>
          <t>Retail</t>
        </is>
      </c>
      <c r="I138" s="155" t="inlineStr">
        <is>
          <t>Specialty Retail</t>
        </is>
      </c>
      <c r="J138" s="156" t="inlineStr">
        <is>
          <t>Clothing, Specialty Retail*</t>
        </is>
      </c>
      <c r="K138" s="157" t="inlineStr">
        <is>
          <t/>
        </is>
      </c>
      <c r="L138" s="158" t="inlineStr">
        <is>
          <t>apparel, clothes, clothing, retail, specialty retail, stores</t>
        </is>
      </c>
      <c r="M138" s="159" t="inlineStr">
        <is>
          <t>Formerly PE-Backed</t>
        </is>
      </c>
      <c r="N138" s="160" t="inlineStr">
        <is>
          <t/>
        </is>
      </c>
      <c r="O138" s="161" t="inlineStr">
        <is>
          <t>Profitable</t>
        </is>
      </c>
      <c r="P138" s="162" t="inlineStr">
        <is>
          <t>Publicly Held</t>
        </is>
      </c>
      <c r="Q138" s="163" t="inlineStr">
        <is>
          <t>Debt Financed, Private Equity, Publicly Listed</t>
        </is>
      </c>
      <c r="R138" s="164" t="inlineStr">
        <is>
          <t>www.childrensplace.com</t>
        </is>
      </c>
      <c r="S138" s="165" t="n">
        <v>16900.0</v>
      </c>
      <c r="T138" s="166" t="inlineStr">
        <is>
          <t>1998: 840, 1999: 1100, 2000: 5773, 2001: 7818, 2002: 10400, 2003: 19800, 2004: 11100, 2005: 18000, 2006: 21400, 2007: 25400, 2008: 23800, 2009: 23100, 2010: 25000, 2011: 19200, 2012: 18900, 2013: 18300, 2014: 16500, 2015: 14500, 2016: 15300, 2017: 15500, 2018: 15800, 2019: 16900</t>
        </is>
      </c>
      <c r="U138" s="167" t="inlineStr">
        <is>
          <t>NAS</t>
        </is>
      </c>
      <c r="V138" s="168" t="inlineStr">
        <is>
          <t>PLCE</t>
        </is>
      </c>
      <c r="W138" s="169" t="n">
        <v>1969.0</v>
      </c>
      <c r="X138" s="170" t="inlineStr">
        <is>
          <t/>
        </is>
      </c>
      <c r="Y138" s="171" t="inlineStr">
        <is>
          <t/>
        </is>
      </c>
      <c r="Z138" s="172" t="inlineStr">
        <is>
          <t>Filing (New) </t>
        </is>
      </c>
      <c r="AA138" s="173" t="n">
        <v>1938.08</v>
      </c>
      <c r="AB138" s="174" t="n">
        <v>683.6</v>
      </c>
      <c r="AC138" s="175" t="n">
        <v>100.96</v>
      </c>
      <c r="AD138" s="176" t="n">
        <v>1539.01</v>
      </c>
      <c r="AE138" s="177" t="n">
        <v>180.21</v>
      </c>
      <c r="AF138" s="178" t="inlineStr">
        <is>
          <t>FY 2019</t>
        </is>
      </c>
      <c r="AG138" s="179" t="n">
        <v>111.33</v>
      </c>
      <c r="AH138" s="180" t="n">
        <v>1365.39</v>
      </c>
      <c r="AI138" s="181" t="n">
        <v>-20.27</v>
      </c>
      <c r="AJ138" s="182" t="inlineStr">
        <is>
          <t>16469-83P</t>
        </is>
      </c>
      <c r="AK138" s="183" t="inlineStr">
        <is>
          <t>Chuck Crovitz</t>
        </is>
      </c>
      <c r="AL138" s="184" t="inlineStr">
        <is>
          <t>Chief Executive Officer</t>
        </is>
      </c>
      <c r="AM138" s="185" t="inlineStr">
        <is>
          <t/>
        </is>
      </c>
      <c r="AN138" s="186" t="inlineStr">
        <is>
          <t>+1 (201) 558-2400</t>
        </is>
      </c>
      <c r="AO138" s="187" t="inlineStr">
        <is>
          <t>Secaucus, NJ</t>
        </is>
      </c>
      <c r="AP138" s="188" t="inlineStr">
        <is>
          <t>500 Plaza Drive</t>
        </is>
      </c>
      <c r="AQ138" s="189" t="inlineStr">
        <is>
          <t/>
        </is>
      </c>
      <c r="AR138" s="190" t="inlineStr">
        <is>
          <t>Secaucus</t>
        </is>
      </c>
      <c r="AS138" s="191" t="inlineStr">
        <is>
          <t>New Jersey</t>
        </is>
      </c>
      <c r="AT138" s="192" t="inlineStr">
        <is>
          <t>07094</t>
        </is>
      </c>
      <c r="AU138" s="193" t="inlineStr">
        <is>
          <t>United States</t>
        </is>
      </c>
      <c r="AV138" s="194" t="inlineStr">
        <is>
          <t>+1 (201) 558-2400</t>
        </is>
      </c>
      <c r="AW138" s="195" t="inlineStr">
        <is>
          <t/>
        </is>
      </c>
      <c r="AX138" s="196" t="inlineStr">
        <is>
          <t/>
        </is>
      </c>
      <c r="AY138" s="197" t="inlineStr">
        <is>
          <t>Americas</t>
        </is>
      </c>
      <c r="AZ138" s="198" t="inlineStr">
        <is>
          <t>North America</t>
        </is>
      </c>
      <c r="BA138" s="199" t="inlineStr">
        <is>
          <t>The company completed a $85 million leveraged recapitalization led by Crystal Capital Partners and Bain Capital Partners and on September 10, 2008. Crystal Capital Partners and Bain Capital Partner provided a loan in this transaction.</t>
        </is>
      </c>
      <c r="BB138" s="200" t="inlineStr">
        <is>
          <t>Barington Capital Group</t>
        </is>
      </c>
      <c r="BC138" s="201" t="n">
        <v>1.0</v>
      </c>
      <c r="BD138" s="202" t="inlineStr">
        <is>
          <t/>
        </is>
      </c>
      <c r="BE138" s="203" t="inlineStr">
        <is>
          <t>Parallel Investment Partners</t>
        </is>
      </c>
      <c r="BF138" s="204" t="inlineStr">
        <is>
          <t>Golden Gate Capital</t>
        </is>
      </c>
      <c r="BG138" s="205" t="inlineStr">
        <is>
          <t>Barington Capital Group(www.barington.com)</t>
        </is>
      </c>
      <c r="BH138" s="206" t="inlineStr">
        <is>
          <t>Parallel Investment Partners(www.parallelip.com)</t>
        </is>
      </c>
      <c r="BI138" s="207" t="inlineStr">
        <is>
          <t>Golden Gate Capital(www.goldengatecap.com)</t>
        </is>
      </c>
      <c r="BJ138" s="208" t="inlineStr">
        <is>
          <t>Odeon Capital Group(Advisor: General), Richards Layton &amp; Finger(Legal Advisor), Telsey Advisory Group(Advisor: General), The Brownestone Group(Consulting)</t>
        </is>
      </c>
      <c r="BK138" s="209" t="inlineStr">
        <is>
          <t>Lehman Brothers(Advisor: General), Wells Fargo Capital Finance(Debt Financing)</t>
        </is>
      </c>
      <c r="BL138" s="210" t="n">
        <v>35277.0</v>
      </c>
      <c r="BM138" s="211" t="n">
        <v>88.8</v>
      </c>
      <c r="BN138" s="212" t="inlineStr">
        <is>
          <t>Actual</t>
        </is>
      </c>
      <c r="BO138" s="213" t="n">
        <v>88.8</v>
      </c>
      <c r="BP138" s="214" t="inlineStr">
        <is>
          <t/>
        </is>
      </c>
      <c r="BQ138" s="215" t="inlineStr">
        <is>
          <t>Buyout/LBO</t>
        </is>
      </c>
      <c r="BR138" s="216" t="inlineStr">
        <is>
          <t>Recapitalization</t>
        </is>
      </c>
      <c r="BS138" s="217" t="inlineStr">
        <is>
          <t/>
        </is>
      </c>
      <c r="BT138" s="218" t="inlineStr">
        <is>
          <t>Private Equity</t>
        </is>
      </c>
      <c r="BU138" s="219" t="inlineStr">
        <is>
          <t/>
        </is>
      </c>
      <c r="BV138" s="220" t="inlineStr">
        <is>
          <t/>
        </is>
      </c>
      <c r="BW138" s="221" t="inlineStr">
        <is>
          <t/>
        </is>
      </c>
      <c r="BX138" s="222" t="inlineStr">
        <is>
          <t>Completed</t>
        </is>
      </c>
      <c r="BY138" s="223" t="n">
        <v>38383.0</v>
      </c>
      <c r="BZ138" s="224" t="inlineStr">
        <is>
          <t/>
        </is>
      </c>
      <c r="CA138" s="225" t="inlineStr">
        <is>
          <t/>
        </is>
      </c>
      <c r="CB138" s="226" t="inlineStr">
        <is>
          <t/>
        </is>
      </c>
      <c r="CC138" s="227" t="inlineStr">
        <is>
          <t/>
        </is>
      </c>
      <c r="CD138" s="228" t="inlineStr">
        <is>
          <t>Public Investment 2nd Offering</t>
        </is>
      </c>
      <c r="CE138" s="229" t="inlineStr">
        <is>
          <t/>
        </is>
      </c>
      <c r="CF138" s="230" t="inlineStr">
        <is>
          <t/>
        </is>
      </c>
      <c r="CG138" s="231" t="inlineStr">
        <is>
          <t>Public Investment</t>
        </is>
      </c>
      <c r="CH138" s="232" t="inlineStr">
        <is>
          <t/>
        </is>
      </c>
      <c r="CI138" s="233" t="inlineStr">
        <is>
          <t/>
        </is>
      </c>
      <c r="CJ138" s="234" t="inlineStr">
        <is>
          <t/>
        </is>
      </c>
      <c r="CK138" s="235" t="inlineStr">
        <is>
          <t>Completed</t>
        </is>
      </c>
      <c r="CL138" s="236" t="n">
        <v>38280.0</v>
      </c>
      <c r="CM138" s="237" t="inlineStr">
        <is>
          <t/>
        </is>
      </c>
      <c r="CN138" s="238" t="n">
        <v>-0.45</v>
      </c>
      <c r="CO138" s="239" t="n">
        <v>7.0</v>
      </c>
      <c r="CP138" s="240" t="n">
        <v>0.01</v>
      </c>
      <c r="CQ138" s="241" t="n">
        <v>2.46</v>
      </c>
      <c r="CR138" s="242" t="n">
        <v>-0.89</v>
      </c>
      <c r="CS138" s="243" t="n">
        <v>7.0</v>
      </c>
      <c r="CT138" s="244" t="n">
        <v>0.0</v>
      </c>
      <c r="CU138" s="245" t="n">
        <v>27.0</v>
      </c>
      <c r="CV138" s="246" t="n">
        <v>-2.04</v>
      </c>
      <c r="CW138" s="247" t="n">
        <v>20.0</v>
      </c>
      <c r="CX138" s="248" t="n">
        <v>0.25</v>
      </c>
      <c r="CY138" s="249" t="n">
        <v>90.0</v>
      </c>
      <c r="CZ138" s="250" t="n">
        <v>0.0</v>
      </c>
      <c r="DA138" s="251" t="n">
        <v>28.0</v>
      </c>
      <c r="DB138" s="252" t="n">
        <v>304.0</v>
      </c>
      <c r="DC138" s="253" t="n">
        <v>100.0</v>
      </c>
      <c r="DD138" s="254" t="n">
        <v>17.32</v>
      </c>
      <c r="DE138" s="255" t="n">
        <v>6.04</v>
      </c>
      <c r="DF138" s="256" t="n">
        <v>448.35</v>
      </c>
      <c r="DG138" s="257" t="n">
        <v>100.0</v>
      </c>
      <c r="DH138" s="258" t="n">
        <v>159.65</v>
      </c>
      <c r="DI138" s="259" t="n">
        <v>98.0</v>
      </c>
      <c r="DJ138" s="260" t="n">
        <v>633.82</v>
      </c>
      <c r="DK138" s="261" t="n">
        <v>100.0</v>
      </c>
      <c r="DL138" s="262" t="n">
        <v>262.88</v>
      </c>
      <c r="DM138" s="263" t="n">
        <v>100.0</v>
      </c>
      <c r="DN138" s="264" t="n">
        <v>159.65</v>
      </c>
      <c r="DO138" s="265" t="n">
        <v>99.0</v>
      </c>
      <c r="DP138" s="266" t="n">
        <v>456233.0</v>
      </c>
      <c r="DQ138" s="267" t="n">
        <v>-38853.0</v>
      </c>
      <c r="DR138" s="268" t="n">
        <v>-7.85</v>
      </c>
      <c r="DS138" s="269" t="n">
        <v>8873.0</v>
      </c>
      <c r="DT138" s="270" t="n">
        <v>110.0</v>
      </c>
      <c r="DU138" s="271" t="n">
        <v>1.26</v>
      </c>
      <c r="DV138" s="272" t="n">
        <v>57330.0</v>
      </c>
      <c r="DW138" s="273" t="n">
        <v>-54.0</v>
      </c>
      <c r="DX138" s="274" t="n">
        <v>-0.09</v>
      </c>
      <c r="DY138" s="275" t="inlineStr">
        <is>
          <t>PitchBook Research</t>
        </is>
      </c>
      <c r="DZ138" s="276" t="n">
        <v>43547.0</v>
      </c>
      <c r="EA138" s="277" t="n">
        <v>88.8</v>
      </c>
      <c r="EB138" s="278" t="n">
        <v>35277.0</v>
      </c>
      <c r="EC138" s="279" t="inlineStr">
        <is>
          <t>Buyout/LBO</t>
        </is>
      </c>
      <c r="ED138" s="548">
        <f>HYPERLINK("https://my.pitchbook.com?c=10762-21", "View company online")</f>
      </c>
    </row>
    <row r="139">
      <c r="A139" s="13" t="inlineStr">
        <is>
          <t>59651-38</t>
        </is>
      </c>
      <c r="B139" s="14" t="inlineStr">
        <is>
          <t>Sears Canada</t>
        </is>
      </c>
      <c r="C139" s="15" t="inlineStr">
        <is>
          <t>Simpsons-Sears Limited</t>
        </is>
      </c>
      <c r="D139" s="16" t="inlineStr">
        <is>
          <t/>
        </is>
      </c>
      <c r="E139" s="17" t="inlineStr">
        <is>
          <t>59651-38</t>
        </is>
      </c>
      <c r="F139" s="18" t="inlineStr">
        <is>
          <t>Sears Canada Inc is in the sale of goods and services through the Company's Retail channels. It comprised of one reportable segment, Merchandising. Which includes its full-line department, Sears Home, Hometown, Outlet, Corbeil Electrique Inc. stores, and its Direct (catalog/internet) channel. It also includes service revenue related primarily to logistics services provided through the Company. Commission revenue includes travel, home improvement services, insurance, wireless and long-distance plans. Licensee fee revenue is comprised of payments received from licensees that operate within the Company stores.</t>
        </is>
      </c>
      <c r="G139" s="19" t="inlineStr">
        <is>
          <t>Consumer Products and Services (B2C)</t>
        </is>
      </c>
      <c r="H139" s="20" t="inlineStr">
        <is>
          <t>Retail</t>
        </is>
      </c>
      <c r="I139" s="21" t="inlineStr">
        <is>
          <t>Department Stores</t>
        </is>
      </c>
      <c r="J139" s="22" t="inlineStr">
        <is>
          <t>Department Stores*, Internet Retail, Luxury Goods</t>
        </is>
      </c>
      <c r="K139" s="23" t="inlineStr">
        <is>
          <t/>
        </is>
      </c>
      <c r="L139" s="24" t="inlineStr">
        <is>
          <t>apparel, departmental stores, home product seller, luxury good, luxury goods, stores operator</t>
        </is>
      </c>
      <c r="M139" s="25" t="inlineStr">
        <is>
          <t>Private Equity-Backed</t>
        </is>
      </c>
      <c r="N139" s="26" t="n">
        <v>15.62</v>
      </c>
      <c r="O139" s="27" t="inlineStr">
        <is>
          <t>Profitable</t>
        </is>
      </c>
      <c r="P139" s="28" t="inlineStr">
        <is>
          <t>Privately Held (backing)</t>
        </is>
      </c>
      <c r="Q139" s="29" t="inlineStr">
        <is>
          <t>Private Equity, Publicly Listed</t>
        </is>
      </c>
      <c r="R139" s="30" t="inlineStr">
        <is>
          <t>www.sears.ca</t>
        </is>
      </c>
      <c r="S139" s="31" t="n">
        <v>25246.0</v>
      </c>
      <c r="T139" s="32" t="inlineStr">
        <is>
          <t>1995: 38008, 1996: 35296, 1997: 38545, 1998: 41548, 1999: 41548, 2000: 56339, 2001: 50552, 2002: 48384, 2003: 47973, 2004: 42627, 2005: 41107, 2006: 37267, 2008: 37267, 2009: 32626, 2010: 31349, 2011: 31470, 2012: 29772, 2013: 29128, 2014: 25246</t>
        </is>
      </c>
      <c r="U139" s="33" t="inlineStr">
        <is>
          <t/>
        </is>
      </c>
      <c r="V139" s="34" t="inlineStr">
        <is>
          <t/>
        </is>
      </c>
      <c r="W139" s="35" t="n">
        <v>1952.0</v>
      </c>
      <c r="X139" s="36" t="inlineStr">
        <is>
          <t/>
        </is>
      </c>
      <c r="Y139" s="37" t="inlineStr">
        <is>
          <t/>
        </is>
      </c>
      <c r="Z139" s="38" t="inlineStr">
        <is>
          <t/>
        </is>
      </c>
      <c r="AA139" s="39" t="n">
        <v>1914.47</v>
      </c>
      <c r="AB139" s="40" t="n">
        <v>500.24</v>
      </c>
      <c r="AC139" s="41" t="n">
        <v>-304.87</v>
      </c>
      <c r="AD139" s="42" t="n">
        <v>19.67</v>
      </c>
      <c r="AE139" s="43" t="n">
        <v>-280.59</v>
      </c>
      <c r="AF139" s="44" t="inlineStr">
        <is>
          <t>TTM 1Q2018</t>
        </is>
      </c>
      <c r="AG139" s="45" t="inlineStr">
        <is>
          <t/>
        </is>
      </c>
      <c r="AH139" s="46" t="n">
        <v>1.11</v>
      </c>
      <c r="AI139" s="47" t="inlineStr">
        <is>
          <t/>
        </is>
      </c>
      <c r="AJ139" s="48" t="inlineStr">
        <is>
          <t>165010-60P</t>
        </is>
      </c>
      <c r="AK139" s="49" t="inlineStr">
        <is>
          <t>Billy Wong</t>
        </is>
      </c>
      <c r="AL139" s="50" t="inlineStr">
        <is>
          <t>Chief Financial Officer,Finance</t>
        </is>
      </c>
      <c r="AM139" s="51" t="inlineStr">
        <is>
          <t>billy.wong@sears.ca</t>
        </is>
      </c>
      <c r="AN139" s="52" t="inlineStr">
        <is>
          <t>+1 (416) 362-1711</t>
        </is>
      </c>
      <c r="AO139" s="53" t="inlineStr">
        <is>
          <t>Toronto, Canada</t>
        </is>
      </c>
      <c r="AP139" s="54" t="inlineStr">
        <is>
          <t>290 Yonge Street</t>
        </is>
      </c>
      <c r="AQ139" s="55" t="inlineStr">
        <is>
          <t>Suite 700</t>
        </is>
      </c>
      <c r="AR139" s="56" t="inlineStr">
        <is>
          <t>Toronto</t>
        </is>
      </c>
      <c r="AS139" s="57" t="inlineStr">
        <is>
          <t>Ontario</t>
        </is>
      </c>
      <c r="AT139" s="58" t="inlineStr">
        <is>
          <t>M5B 2C3</t>
        </is>
      </c>
      <c r="AU139" s="59" t="inlineStr">
        <is>
          <t>Canada</t>
        </is>
      </c>
      <c r="AV139" s="60" t="inlineStr">
        <is>
          <t>+1 (416) 362-1711</t>
        </is>
      </c>
      <c r="AW139" s="61" t="inlineStr">
        <is>
          <t/>
        </is>
      </c>
      <c r="AX139" s="62" t="inlineStr">
        <is>
          <t/>
        </is>
      </c>
      <c r="AY139" s="63" t="inlineStr">
        <is>
          <t>Americas</t>
        </is>
      </c>
      <c r="AZ139" s="64" t="inlineStr">
        <is>
          <t>North America</t>
        </is>
      </c>
      <c r="BA139" s="65" t="inlineStr">
        <is>
          <t>The company entered into administration on June 22, 2017 and was acquired by ESL Investments through an LBO for $340 on November 7, 2014.</t>
        </is>
      </c>
      <c r="BB139" s="66" t="inlineStr">
        <is>
          <t>ESL Investments, Sears Holdings</t>
        </is>
      </c>
      <c r="BC139" s="67" t="n">
        <v>2.0</v>
      </c>
      <c r="BD139" s="68" t="inlineStr">
        <is>
          <t/>
        </is>
      </c>
      <c r="BE139" s="69" t="inlineStr">
        <is>
          <t/>
        </is>
      </c>
      <c r="BF139" s="70" t="inlineStr">
        <is>
          <t/>
        </is>
      </c>
      <c r="BG139" s="71" t="inlineStr">
        <is>
          <t>Sears Holdings(www.searsholdings.com)</t>
        </is>
      </c>
      <c r="BH139" s="72" t="inlineStr">
        <is>
          <t/>
        </is>
      </c>
      <c r="BI139" s="73" t="inlineStr">
        <is>
          <t/>
        </is>
      </c>
      <c r="BJ139" s="74" t="inlineStr">
        <is>
          <t>KSV Advisory(Consulting)</t>
        </is>
      </c>
      <c r="BK139" s="75" t="inlineStr">
        <is>
          <t>BMO Capital Markets(Advisor: General), Corporate Capital Trust(Debt Financing), Deloitte(Advisor: General), Duff &amp; Phelps(Advisor: General), Osler, Hoskin &amp; Harcourt(Legal Advisor)</t>
        </is>
      </c>
      <c r="BL139" s="76" t="n">
        <v>23837.0</v>
      </c>
      <c r="BM139" s="77" t="inlineStr">
        <is>
          <t/>
        </is>
      </c>
      <c r="BN139" s="78" t="inlineStr">
        <is>
          <t/>
        </is>
      </c>
      <c r="BO139" s="79" t="inlineStr">
        <is>
          <t/>
        </is>
      </c>
      <c r="BP139" s="80" t="inlineStr">
        <is>
          <t/>
        </is>
      </c>
      <c r="BQ139" s="81" t="inlineStr">
        <is>
          <t>IPO</t>
        </is>
      </c>
      <c r="BR139" s="82" t="inlineStr">
        <is>
          <t/>
        </is>
      </c>
      <c r="BS139" s="83" t="inlineStr">
        <is>
          <t/>
        </is>
      </c>
      <c r="BT139" s="84" t="inlineStr">
        <is>
          <t>Public Investment</t>
        </is>
      </c>
      <c r="BU139" s="85" t="inlineStr">
        <is>
          <t/>
        </is>
      </c>
      <c r="BV139" s="86" t="inlineStr">
        <is>
          <t/>
        </is>
      </c>
      <c r="BW139" s="87" t="inlineStr">
        <is>
          <t/>
        </is>
      </c>
      <c r="BX139" s="88" t="inlineStr">
        <is>
          <t>Completed</t>
        </is>
      </c>
      <c r="BY139" s="89" t="n">
        <v>43018.0</v>
      </c>
      <c r="BZ139" s="90" t="n">
        <v>516.69</v>
      </c>
      <c r="CA139" s="91" t="inlineStr">
        <is>
          <t>Estimated</t>
        </is>
      </c>
      <c r="CB139" s="92" t="n">
        <v>516.69</v>
      </c>
      <c r="CC139" s="93" t="inlineStr">
        <is>
          <t/>
        </is>
      </c>
      <c r="CD139" s="94" t="inlineStr">
        <is>
          <t>Buyout/LBO</t>
        </is>
      </c>
      <c r="CE139" s="95" t="inlineStr">
        <is>
          <t>Secondary Buyout</t>
        </is>
      </c>
      <c r="CF139" s="96" t="inlineStr">
        <is>
          <t>Distressed Acquisition</t>
        </is>
      </c>
      <c r="CG139" s="97" t="inlineStr">
        <is>
          <t>Private Equity</t>
        </is>
      </c>
      <c r="CH139" s="98" t="inlineStr">
        <is>
          <t/>
        </is>
      </c>
      <c r="CI139" s="99" t="inlineStr">
        <is>
          <t/>
        </is>
      </c>
      <c r="CJ139" s="100" t="inlineStr">
        <is>
          <t/>
        </is>
      </c>
      <c r="CK139" s="101" t="inlineStr">
        <is>
          <t>Failed/Cancelled</t>
        </is>
      </c>
      <c r="CL139" s="102" t="n">
        <v>42908.0</v>
      </c>
      <c r="CM139" s="103" t="n">
        <v>15.62</v>
      </c>
      <c r="CN139" s="104" t="n">
        <v>-3.3</v>
      </c>
      <c r="CO139" s="105" t="n">
        <v>1.0</v>
      </c>
      <c r="CP139" s="106" t="n">
        <v>-1.62</v>
      </c>
      <c r="CQ139" s="107" t="n">
        <v>-96.65</v>
      </c>
      <c r="CR139" s="108" t="n">
        <v>-3.3</v>
      </c>
      <c r="CS139" s="109" t="n">
        <v>2.0</v>
      </c>
      <c r="CT139" s="110" t="inlineStr">
        <is>
          <t/>
        </is>
      </c>
      <c r="CU139" s="111" t="inlineStr">
        <is>
          <t/>
        </is>
      </c>
      <c r="CV139" s="112" t="n">
        <v>-6.36</v>
      </c>
      <c r="CW139" s="113" t="n">
        <v>5.0</v>
      </c>
      <c r="CX139" s="114" t="n">
        <v>-0.25</v>
      </c>
      <c r="CY139" s="115" t="n">
        <v>8.0</v>
      </c>
      <c r="CZ139" s="116" t="inlineStr">
        <is>
          <t/>
        </is>
      </c>
      <c r="DA139" s="117" t="inlineStr">
        <is>
          <t/>
        </is>
      </c>
      <c r="DB139" s="118" t="n">
        <v>74.17</v>
      </c>
      <c r="DC139" s="119" t="n">
        <v>99.0</v>
      </c>
      <c r="DD139" s="120" t="n">
        <v>-268.27</v>
      </c>
      <c r="DE139" s="121" t="n">
        <v>-78.34</v>
      </c>
      <c r="DF139" s="122" t="n">
        <v>74.17</v>
      </c>
      <c r="DG139" s="123" t="n">
        <v>99.0</v>
      </c>
      <c r="DH139" s="124" t="inlineStr">
        <is>
          <t/>
        </is>
      </c>
      <c r="DI139" s="125" t="inlineStr">
        <is>
          <t/>
        </is>
      </c>
      <c r="DJ139" s="126" t="n">
        <v>1.84</v>
      </c>
      <c r="DK139" s="127" t="n">
        <v>63.0</v>
      </c>
      <c r="DL139" s="128" t="n">
        <v>146.5</v>
      </c>
      <c r="DM139" s="129" t="n">
        <v>100.0</v>
      </c>
      <c r="DN139" s="130" t="inlineStr">
        <is>
          <t/>
        </is>
      </c>
      <c r="DO139" s="131" t="inlineStr">
        <is>
          <t/>
        </is>
      </c>
      <c r="DP139" s="132" t="n">
        <v>1319.0</v>
      </c>
      <c r="DQ139" s="133" t="n">
        <v>-73.0</v>
      </c>
      <c r="DR139" s="134" t="n">
        <v>-5.24</v>
      </c>
      <c r="DS139" s="135" t="n">
        <v>4975.0</v>
      </c>
      <c r="DT139" s="136" t="n">
        <v>11.0</v>
      </c>
      <c r="DU139" s="137" t="n">
        <v>0.22</v>
      </c>
      <c r="DV139" s="138" t="inlineStr">
        <is>
          <t/>
        </is>
      </c>
      <c r="DW139" s="139" t="inlineStr">
        <is>
          <t/>
        </is>
      </c>
      <c r="DX139" s="140" t="inlineStr">
        <is>
          <t/>
        </is>
      </c>
      <c r="DY139" s="141" t="inlineStr">
        <is>
          <t>PitchBook Research</t>
        </is>
      </c>
      <c r="DZ139" s="142" t="n">
        <v>43549.0</v>
      </c>
      <c r="EA139" s="143" t="n">
        <v>516.69</v>
      </c>
      <c r="EB139" s="144" t="n">
        <v>43018.0</v>
      </c>
      <c r="EC139" s="145" t="inlineStr">
        <is>
          <t>Buyout/LBO</t>
        </is>
      </c>
      <c r="ED139" s="547">
        <f>HYPERLINK("https://my.pitchbook.com?c=59651-38", "View company online")</f>
      </c>
    </row>
    <row r="140">
      <c r="A140" s="147" t="inlineStr">
        <is>
          <t>168755-77</t>
        </is>
      </c>
      <c r="B140" s="148" t="inlineStr">
        <is>
          <t>Youngone (sportswear) (KRX: 111770)</t>
        </is>
      </c>
      <c r="C140" s="149" t="inlineStr">
        <is>
          <t/>
        </is>
      </c>
      <c r="D140" s="150" t="inlineStr">
        <is>
          <t/>
        </is>
      </c>
      <c r="E140" s="151" t="inlineStr">
        <is>
          <t>168755-77</t>
        </is>
      </c>
      <c r="F140" s="152" t="inlineStr">
        <is>
          <t>Youngone Corp is a Korea based company engaged in the manufacturing and distribution of apparel, shoes, bags, sleeping bags, and socks. The company produces various apparel categories such as outdoor apparel, sportswear, technical clothing, knitwear, sweaters and casual wear. It also supplies a wide range of shoe products and other supplies including sports shoes, casual shoes, safety shoes, sneakers, boots, and mountain climbing, travel, casual, business bags and camping goods.</t>
        </is>
      </c>
      <c r="G140" s="153" t="inlineStr">
        <is>
          <t>Consumer Products and Services (B2C)</t>
        </is>
      </c>
      <c r="H140" s="154" t="inlineStr">
        <is>
          <t>Apparel and Accessories</t>
        </is>
      </c>
      <c r="I140" s="155" t="inlineStr">
        <is>
          <t>Accessories</t>
        </is>
      </c>
      <c r="J140" s="156" t="inlineStr">
        <is>
          <t>Accessories*, Clothing, Footwear</t>
        </is>
      </c>
      <c r="K140" s="157" t="inlineStr">
        <is>
          <t>Manufacturing</t>
        </is>
      </c>
      <c r="L140" s="158" t="inlineStr">
        <is>
          <t>backpacks, shoes, sportswear</t>
        </is>
      </c>
      <c r="M140" s="159" t="inlineStr">
        <is>
          <t>Corporation</t>
        </is>
      </c>
      <c r="N140" s="160" t="inlineStr">
        <is>
          <t/>
        </is>
      </c>
      <c r="O140" s="161" t="inlineStr">
        <is>
          <t>Profitable</t>
        </is>
      </c>
      <c r="P140" s="162" t="inlineStr">
        <is>
          <t>Publicly Held</t>
        </is>
      </c>
      <c r="Q140" s="163" t="inlineStr">
        <is>
          <t>Publicly Listed</t>
        </is>
      </c>
      <c r="R140" s="164" t="inlineStr">
        <is>
          <t>www.lyoungone21.en.ec21.com</t>
        </is>
      </c>
      <c r="S140" s="165" t="n">
        <v>443.0</v>
      </c>
      <c r="T140" s="166" t="inlineStr">
        <is>
          <t>2009: 371, 2010: 394, 2011: 413, 2012: 454, 2013: 469, 2014: 461, 2015: 426, 2016: 455, 2017: 458, 2018: 443</t>
        </is>
      </c>
      <c r="U140" s="167" t="inlineStr">
        <is>
          <t>KRX</t>
        </is>
      </c>
      <c r="V140" s="168" t="inlineStr">
        <is>
          <t>111770</t>
        </is>
      </c>
      <c r="W140" s="169" t="n">
        <v>2009.0</v>
      </c>
      <c r="X140" s="170" t="inlineStr">
        <is>
          <t/>
        </is>
      </c>
      <c r="Y140" s="171" t="inlineStr">
        <is>
          <t/>
        </is>
      </c>
      <c r="Z140" s="172" t="inlineStr">
        <is>
          <t/>
        </is>
      </c>
      <c r="AA140" s="173" t="n">
        <v>1911.79</v>
      </c>
      <c r="AB140" s="174" t="n">
        <v>517.82</v>
      </c>
      <c r="AC140" s="175" t="n">
        <v>102.86</v>
      </c>
      <c r="AD140" s="176" t="n">
        <v>1565.59</v>
      </c>
      <c r="AE140" s="177" t="n">
        <v>222.4</v>
      </c>
      <c r="AF140" s="178" t="inlineStr">
        <is>
          <t>FY 2018</t>
        </is>
      </c>
      <c r="AG140" s="179" t="n">
        <v>163.99</v>
      </c>
      <c r="AH140" s="180" t="n">
        <v>1246.03</v>
      </c>
      <c r="AI140" s="181" t="n">
        <v>-44.72</v>
      </c>
      <c r="AJ140" s="182" t="inlineStr">
        <is>
          <t/>
        </is>
      </c>
      <c r="AK140" s="183" t="inlineStr">
        <is>
          <t/>
        </is>
      </c>
      <c r="AL140" s="184" t="inlineStr">
        <is>
          <t/>
        </is>
      </c>
      <c r="AM140" s="185" t="inlineStr">
        <is>
          <t/>
        </is>
      </c>
      <c r="AN140" s="186" t="inlineStr">
        <is>
          <t/>
        </is>
      </c>
      <c r="AO140" s="187" t="inlineStr">
        <is>
          <t>Seoul, South Korea</t>
        </is>
      </c>
      <c r="AP140" s="188" t="inlineStr">
        <is>
          <t>159, Mallijae-Ro</t>
        </is>
      </c>
      <c r="AQ140" s="189" t="inlineStr">
        <is>
          <t/>
        </is>
      </c>
      <c r="AR140" s="190" t="inlineStr">
        <is>
          <t>Seoul</t>
        </is>
      </c>
      <c r="AS140" s="191" t="inlineStr">
        <is>
          <t>Jung-Gu</t>
        </is>
      </c>
      <c r="AT140" s="192" t="inlineStr">
        <is>
          <t>04500</t>
        </is>
      </c>
      <c r="AU140" s="193" t="inlineStr">
        <is>
          <t>South Korea</t>
        </is>
      </c>
      <c r="AV140" s="194" t="inlineStr">
        <is>
          <t>+82 (0)2 390 6114</t>
        </is>
      </c>
      <c r="AW140" s="195" t="inlineStr">
        <is>
          <t>+82 (0)2 390 6604</t>
        </is>
      </c>
      <c r="AX140" s="196" t="inlineStr">
        <is>
          <t/>
        </is>
      </c>
      <c r="AY140" s="197" t="inlineStr">
        <is>
          <t>Asia</t>
        </is>
      </c>
      <c r="AZ140" s="198" t="inlineStr">
        <is>
          <t>East Asia</t>
        </is>
      </c>
      <c r="BA140" s="199" t="inlineStr">
        <is>
          <t/>
        </is>
      </c>
      <c r="BB140" s="200" t="inlineStr">
        <is>
          <t/>
        </is>
      </c>
      <c r="BC140" s="201" t="inlineStr">
        <is>
          <t/>
        </is>
      </c>
      <c r="BD140" s="202" t="inlineStr">
        <is>
          <t/>
        </is>
      </c>
      <c r="BE140" s="203" t="inlineStr">
        <is>
          <t/>
        </is>
      </c>
      <c r="BF140" s="204" t="inlineStr">
        <is>
          <t/>
        </is>
      </c>
      <c r="BG140" s="205" t="inlineStr">
        <is>
          <t/>
        </is>
      </c>
      <c r="BH140" s="206" t="inlineStr">
        <is>
          <t/>
        </is>
      </c>
      <c r="BI140" s="207" t="inlineStr">
        <is>
          <t/>
        </is>
      </c>
      <c r="BJ140" s="208" t="inlineStr">
        <is>
          <t/>
        </is>
      </c>
      <c r="BK140" s="209" t="inlineStr">
        <is>
          <t/>
        </is>
      </c>
      <c r="BL140" s="210" t="inlineStr">
        <is>
          <t/>
        </is>
      </c>
      <c r="BM140" s="211" t="inlineStr">
        <is>
          <t/>
        </is>
      </c>
      <c r="BN140" s="212" t="inlineStr">
        <is>
          <t/>
        </is>
      </c>
      <c r="BO140" s="213" t="inlineStr">
        <is>
          <t/>
        </is>
      </c>
      <c r="BP140" s="214" t="inlineStr">
        <is>
          <t/>
        </is>
      </c>
      <c r="BQ140" s="215" t="inlineStr">
        <is>
          <t/>
        </is>
      </c>
      <c r="BR140" s="216" t="inlineStr">
        <is>
          <t/>
        </is>
      </c>
      <c r="BS140" s="217" t="inlineStr">
        <is>
          <t/>
        </is>
      </c>
      <c r="BT140" s="218" t="inlineStr">
        <is>
          <t/>
        </is>
      </c>
      <c r="BU140" s="219" t="inlineStr">
        <is>
          <t/>
        </is>
      </c>
      <c r="BV140" s="220" t="inlineStr">
        <is>
          <t/>
        </is>
      </c>
      <c r="BW140" s="221" t="inlineStr">
        <is>
          <t/>
        </is>
      </c>
      <c r="BX140" s="222" t="inlineStr">
        <is>
          <t/>
        </is>
      </c>
      <c r="BY140" s="223" t="inlineStr">
        <is>
          <t/>
        </is>
      </c>
      <c r="BZ140" s="224" t="inlineStr">
        <is>
          <t/>
        </is>
      </c>
      <c r="CA140" s="225" t="inlineStr">
        <is>
          <t/>
        </is>
      </c>
      <c r="CB140" s="226" t="inlineStr">
        <is>
          <t/>
        </is>
      </c>
      <c r="CC140" s="227" t="inlineStr">
        <is>
          <t/>
        </is>
      </c>
      <c r="CD140" s="228" t="inlineStr">
        <is>
          <t/>
        </is>
      </c>
      <c r="CE140" s="229" t="inlineStr">
        <is>
          <t/>
        </is>
      </c>
      <c r="CF140" s="230" t="inlineStr">
        <is>
          <t/>
        </is>
      </c>
      <c r="CG140" s="231" t="inlineStr">
        <is>
          <t/>
        </is>
      </c>
      <c r="CH140" s="232" t="inlineStr">
        <is>
          <t/>
        </is>
      </c>
      <c r="CI140" s="233" t="inlineStr">
        <is>
          <t/>
        </is>
      </c>
      <c r="CJ140" s="234" t="inlineStr">
        <is>
          <t/>
        </is>
      </c>
      <c r="CK140" s="235" t="inlineStr">
        <is>
          <t/>
        </is>
      </c>
      <c r="CL140" s="236" t="inlineStr">
        <is>
          <t/>
        </is>
      </c>
      <c r="CM140" s="237" t="inlineStr">
        <is>
          <t/>
        </is>
      </c>
      <c r="CN140" s="238" t="inlineStr">
        <is>
          <t/>
        </is>
      </c>
      <c r="CO140" s="239" t="inlineStr">
        <is>
          <t/>
        </is>
      </c>
      <c r="CP140" s="240" t="inlineStr">
        <is>
          <t/>
        </is>
      </c>
      <c r="CQ140" s="241" t="inlineStr">
        <is>
          <t/>
        </is>
      </c>
      <c r="CR140" s="242" t="inlineStr">
        <is>
          <t/>
        </is>
      </c>
      <c r="CS140" s="243" t="inlineStr">
        <is>
          <t/>
        </is>
      </c>
      <c r="CT140" s="244" t="inlineStr">
        <is>
          <t/>
        </is>
      </c>
      <c r="CU140" s="245" t="inlineStr">
        <is>
          <t/>
        </is>
      </c>
      <c r="CV140" s="246" t="inlineStr">
        <is>
          <t/>
        </is>
      </c>
      <c r="CW140" s="247" t="inlineStr">
        <is>
          <t/>
        </is>
      </c>
      <c r="CX140" s="248" t="inlineStr">
        <is>
          <t/>
        </is>
      </c>
      <c r="CY140" s="249" t="inlineStr">
        <is>
          <t/>
        </is>
      </c>
      <c r="CZ140" s="250" t="inlineStr">
        <is>
          <t/>
        </is>
      </c>
      <c r="DA140" s="251" t="inlineStr">
        <is>
          <t/>
        </is>
      </c>
      <c r="DB140" s="252" t="inlineStr">
        <is>
          <t/>
        </is>
      </c>
      <c r="DC140" s="253" t="inlineStr">
        <is>
          <t/>
        </is>
      </c>
      <c r="DD140" s="254" t="inlineStr">
        <is>
          <t/>
        </is>
      </c>
      <c r="DE140" s="255" t="inlineStr">
        <is>
          <t/>
        </is>
      </c>
      <c r="DF140" s="256" t="inlineStr">
        <is>
          <t/>
        </is>
      </c>
      <c r="DG140" s="257" t="inlineStr">
        <is>
          <t/>
        </is>
      </c>
      <c r="DH140" s="258" t="inlineStr">
        <is>
          <t/>
        </is>
      </c>
      <c r="DI140" s="259" t="inlineStr">
        <is>
          <t/>
        </is>
      </c>
      <c r="DJ140" s="260" t="inlineStr">
        <is>
          <t/>
        </is>
      </c>
      <c r="DK140" s="261" t="inlineStr">
        <is>
          <t/>
        </is>
      </c>
      <c r="DL140" s="262" t="inlineStr">
        <is>
          <t/>
        </is>
      </c>
      <c r="DM140" s="263" t="inlineStr">
        <is>
          <t/>
        </is>
      </c>
      <c r="DN140" s="264" t="inlineStr">
        <is>
          <t/>
        </is>
      </c>
      <c r="DO140" s="265" t="inlineStr">
        <is>
          <t/>
        </is>
      </c>
      <c r="DP140" s="266" t="inlineStr">
        <is>
          <t/>
        </is>
      </c>
      <c r="DQ140" s="267" t="inlineStr">
        <is>
          <t/>
        </is>
      </c>
      <c r="DR140" s="268" t="inlineStr">
        <is>
          <t/>
        </is>
      </c>
      <c r="DS140" s="269" t="inlineStr">
        <is>
          <t/>
        </is>
      </c>
      <c r="DT140" s="270" t="inlineStr">
        <is>
          <t/>
        </is>
      </c>
      <c r="DU140" s="271" t="inlineStr">
        <is>
          <t/>
        </is>
      </c>
      <c r="DV140" s="272" t="inlineStr">
        <is>
          <t/>
        </is>
      </c>
      <c r="DW140" s="273" t="inlineStr">
        <is>
          <t/>
        </is>
      </c>
      <c r="DX140" s="274" t="inlineStr">
        <is>
          <t/>
        </is>
      </c>
      <c r="DY140" s="275" t="inlineStr">
        <is>
          <t>PitchBook Research</t>
        </is>
      </c>
      <c r="DZ140" s="276" t="n">
        <v>43491.0</v>
      </c>
      <c r="EA140" s="277" t="inlineStr">
        <is>
          <t/>
        </is>
      </c>
      <c r="EB140" s="278" t="inlineStr">
        <is>
          <t/>
        </is>
      </c>
      <c r="EC140" s="279" t="inlineStr">
        <is>
          <t/>
        </is>
      </c>
      <c r="ED140" s="548">
        <f>HYPERLINK("https://my.pitchbook.com?c=168755-77", "View company online")</f>
      </c>
    </row>
    <row r="141">
      <c r="A141" s="13" t="inlineStr">
        <is>
          <t>165459-16</t>
        </is>
      </c>
      <c r="B141" s="14" t="inlineStr">
        <is>
          <t>Aeon Kyushu Company (TKS: 2653)</t>
        </is>
      </c>
      <c r="C141" s="15" t="inlineStr">
        <is>
          <t>Kyusho Jusco Company</t>
        </is>
      </c>
      <c r="D141" s="16" t="inlineStr">
        <is>
          <t>AEONMALL</t>
        </is>
      </c>
      <c r="E141" s="17" t="inlineStr">
        <is>
          <t>165459-16</t>
        </is>
      </c>
      <c r="F141" s="18" t="inlineStr">
        <is>
          <t>Aeon Kyushu Co Ltd operates a supermarket chain. Its product portfolio comprises of clothing, foodstuffs and household utensils.</t>
        </is>
      </c>
      <c r="G141" s="19" t="inlineStr">
        <is>
          <t>Consumer Products and Services (B2C)</t>
        </is>
      </c>
      <c r="H141" s="20" t="inlineStr">
        <is>
          <t>Apparel and Accessories</t>
        </is>
      </c>
      <c r="I141" s="21" t="inlineStr">
        <is>
          <t>Clothing</t>
        </is>
      </c>
      <c r="J141" s="22" t="inlineStr">
        <is>
          <t>Clothing*, Department Stores, Specialty Retail</t>
        </is>
      </c>
      <c r="K141" s="23" t="inlineStr">
        <is>
          <t/>
        </is>
      </c>
      <c r="L141" s="24" t="inlineStr">
        <is>
          <t>foodstuffs, supermarket chain</t>
        </is>
      </c>
      <c r="M141" s="25" t="inlineStr">
        <is>
          <t>Corporation</t>
        </is>
      </c>
      <c r="N141" s="26" t="inlineStr">
        <is>
          <t/>
        </is>
      </c>
      <c r="O141" s="27" t="inlineStr">
        <is>
          <t>Profitable</t>
        </is>
      </c>
      <c r="P141" s="28" t="inlineStr">
        <is>
          <t>Publicly Held</t>
        </is>
      </c>
      <c r="Q141" s="29" t="inlineStr">
        <is>
          <t>Publicly Listed</t>
        </is>
      </c>
      <c r="R141" s="30" t="inlineStr">
        <is>
          <t>www.aeon-kyushu.info</t>
        </is>
      </c>
      <c r="S141" s="31" t="n">
        <v>10591.0</v>
      </c>
      <c r="T141" s="32" t="inlineStr">
        <is>
          <t>2009: 2564, 2010: 2534, 2011: 2506, 2012: 2448, 2013: 2424, 2014: 2474, 2015: 2522, 2016: 2672, 2017: 2697, 2018: 10591</t>
        </is>
      </c>
      <c r="U141" s="33" t="inlineStr">
        <is>
          <t>TKS</t>
        </is>
      </c>
      <c r="V141" s="34" t="inlineStr">
        <is>
          <t>2653</t>
        </is>
      </c>
      <c r="W141" s="35" t="n">
        <v>1911.0</v>
      </c>
      <c r="X141" s="36" t="inlineStr">
        <is>
          <t/>
        </is>
      </c>
      <c r="Y141" s="37" t="inlineStr">
        <is>
          <t/>
        </is>
      </c>
      <c r="Z141" s="38" t="inlineStr">
        <is>
          <t/>
        </is>
      </c>
      <c r="AA141" s="39" t="n">
        <v>1891.5</v>
      </c>
      <c r="AB141" s="40" t="n">
        <v>527.43</v>
      </c>
      <c r="AC141" s="41" t="n">
        <v>-6.71</v>
      </c>
      <c r="AD141" s="42" t="n">
        <v>635.19</v>
      </c>
      <c r="AE141" s="43" t="n">
        <v>39.36</v>
      </c>
      <c r="AF141" s="44" t="inlineStr">
        <is>
          <t>TTM 3Q2019</t>
        </is>
      </c>
      <c r="AG141" s="45" t="n">
        <v>-3.85</v>
      </c>
      <c r="AH141" s="46" t="n">
        <v>339.44</v>
      </c>
      <c r="AI141" s="47" t="n">
        <v>313.56</v>
      </c>
      <c r="AJ141" s="48" t="inlineStr">
        <is>
          <t/>
        </is>
      </c>
      <c r="AK141" s="49" t="inlineStr">
        <is>
          <t/>
        </is>
      </c>
      <c r="AL141" s="50" t="inlineStr">
        <is>
          <t/>
        </is>
      </c>
      <c r="AM141" s="51" t="inlineStr">
        <is>
          <t/>
        </is>
      </c>
      <c r="AN141" s="52" t="inlineStr">
        <is>
          <t/>
        </is>
      </c>
      <c r="AO141" s="53" t="inlineStr">
        <is>
          <t>Chiba, Japan</t>
        </is>
      </c>
      <c r="AP141" s="54" t="inlineStr">
        <is>
          <t>Nakase chome address 5,1, 7F-9F</t>
        </is>
      </c>
      <c r="AQ141" s="55" t="inlineStr">
        <is>
          <t/>
        </is>
      </c>
      <c r="AR141" s="56" t="inlineStr">
        <is>
          <t>Chiba</t>
        </is>
      </c>
      <c r="AS141" s="57" t="inlineStr">
        <is>
          <t>Mihama-ku</t>
        </is>
      </c>
      <c r="AT141" s="58" t="inlineStr">
        <is>
          <t/>
        </is>
      </c>
      <c r="AU141" s="59" t="inlineStr">
        <is>
          <t>Japan</t>
        </is>
      </c>
      <c r="AV141" s="60" t="inlineStr">
        <is>
          <t>+81 (0)43 212 6450</t>
        </is>
      </c>
      <c r="AW141" s="61" t="inlineStr">
        <is>
          <t>+81 (0)43 212 6737</t>
        </is>
      </c>
      <c r="AX141" s="62" t="inlineStr">
        <is>
          <t/>
        </is>
      </c>
      <c r="AY141" s="63" t="inlineStr">
        <is>
          <t>Asia</t>
        </is>
      </c>
      <c r="AZ141" s="64" t="inlineStr">
        <is>
          <t>East Asia</t>
        </is>
      </c>
      <c r="BA141" s="65" t="inlineStr">
        <is>
          <t/>
        </is>
      </c>
      <c r="BB141" s="66" t="inlineStr">
        <is>
          <t/>
        </is>
      </c>
      <c r="BC141" s="67" t="inlineStr">
        <is>
          <t/>
        </is>
      </c>
      <c r="BD141" s="68" t="inlineStr">
        <is>
          <t/>
        </is>
      </c>
      <c r="BE141" s="69" t="inlineStr">
        <is>
          <t/>
        </is>
      </c>
      <c r="BF141" s="70" t="inlineStr">
        <is>
          <t/>
        </is>
      </c>
      <c r="BG141" s="71" t="inlineStr">
        <is>
          <t/>
        </is>
      </c>
      <c r="BH141" s="72" t="inlineStr">
        <is>
          <t/>
        </is>
      </c>
      <c r="BI141" s="73" t="inlineStr">
        <is>
          <t/>
        </is>
      </c>
      <c r="BJ141" s="74" t="inlineStr">
        <is>
          <t/>
        </is>
      </c>
      <c r="BK141" s="75" t="inlineStr">
        <is>
          <t/>
        </is>
      </c>
      <c r="BL141" s="76" t="inlineStr">
        <is>
          <t/>
        </is>
      </c>
      <c r="BM141" s="77" t="inlineStr">
        <is>
          <t/>
        </is>
      </c>
      <c r="BN141" s="78" t="inlineStr">
        <is>
          <t/>
        </is>
      </c>
      <c r="BO141" s="79" t="inlineStr">
        <is>
          <t/>
        </is>
      </c>
      <c r="BP141" s="80" t="inlineStr">
        <is>
          <t/>
        </is>
      </c>
      <c r="BQ141" s="81" t="inlineStr">
        <is>
          <t/>
        </is>
      </c>
      <c r="BR141" s="82" t="inlineStr">
        <is>
          <t/>
        </is>
      </c>
      <c r="BS141" s="83" t="inlineStr">
        <is>
          <t/>
        </is>
      </c>
      <c r="BT141" s="84" t="inlineStr">
        <is>
          <t/>
        </is>
      </c>
      <c r="BU141" s="85" t="inlineStr">
        <is>
          <t/>
        </is>
      </c>
      <c r="BV141" s="86" t="inlineStr">
        <is>
          <t/>
        </is>
      </c>
      <c r="BW141" s="87" t="inlineStr">
        <is>
          <t/>
        </is>
      </c>
      <c r="BX141" s="88" t="inlineStr">
        <is>
          <t/>
        </is>
      </c>
      <c r="BY141" s="89" t="inlineStr">
        <is>
          <t/>
        </is>
      </c>
      <c r="BZ141" s="90" t="inlineStr">
        <is>
          <t/>
        </is>
      </c>
      <c r="CA141" s="91" t="inlineStr">
        <is>
          <t/>
        </is>
      </c>
      <c r="CB141" s="92" t="inlineStr">
        <is>
          <t/>
        </is>
      </c>
      <c r="CC141" s="93" t="inlineStr">
        <is>
          <t/>
        </is>
      </c>
      <c r="CD141" s="94" t="inlineStr">
        <is>
          <t/>
        </is>
      </c>
      <c r="CE141" s="95" t="inlineStr">
        <is>
          <t/>
        </is>
      </c>
      <c r="CF141" s="96" t="inlineStr">
        <is>
          <t/>
        </is>
      </c>
      <c r="CG141" s="97" t="inlineStr">
        <is>
          <t/>
        </is>
      </c>
      <c r="CH141" s="98" t="inlineStr">
        <is>
          <t/>
        </is>
      </c>
      <c r="CI141" s="99" t="inlineStr">
        <is>
          <t/>
        </is>
      </c>
      <c r="CJ141" s="100" t="inlineStr">
        <is>
          <t/>
        </is>
      </c>
      <c r="CK141" s="101" t="inlineStr">
        <is>
          <t/>
        </is>
      </c>
      <c r="CL141" s="102" t="inlineStr">
        <is>
          <t/>
        </is>
      </c>
      <c r="CM141" s="103" t="inlineStr">
        <is>
          <t/>
        </is>
      </c>
      <c r="CN141" s="104" t="n">
        <v>0.23</v>
      </c>
      <c r="CO141" s="105" t="n">
        <v>90.0</v>
      </c>
      <c r="CP141" s="106" t="n">
        <v>0.01</v>
      </c>
      <c r="CQ141" s="107" t="n">
        <v>4.77</v>
      </c>
      <c r="CR141" s="108" t="n">
        <v>0.23</v>
      </c>
      <c r="CS141" s="109" t="n">
        <v>90.0</v>
      </c>
      <c r="CT141" s="110" t="inlineStr">
        <is>
          <t/>
        </is>
      </c>
      <c r="CU141" s="111" t="inlineStr">
        <is>
          <t/>
        </is>
      </c>
      <c r="CV141" s="112" t="inlineStr">
        <is>
          <t/>
        </is>
      </c>
      <c r="CW141" s="113" t="inlineStr">
        <is>
          <t/>
        </is>
      </c>
      <c r="CX141" s="114" t="n">
        <v>0.23</v>
      </c>
      <c r="CY141" s="115" t="n">
        <v>89.0</v>
      </c>
      <c r="CZ141" s="116" t="inlineStr">
        <is>
          <t/>
        </is>
      </c>
      <c r="DA141" s="117" t="inlineStr">
        <is>
          <t/>
        </is>
      </c>
      <c r="DB141" s="118" t="n">
        <v>33.53</v>
      </c>
      <c r="DC141" s="119" t="n">
        <v>97.0</v>
      </c>
      <c r="DD141" s="120" t="n">
        <v>8.31</v>
      </c>
      <c r="DE141" s="121" t="n">
        <v>32.94</v>
      </c>
      <c r="DF141" s="122" t="n">
        <v>33.53</v>
      </c>
      <c r="DG141" s="123" t="n">
        <v>97.0</v>
      </c>
      <c r="DH141" s="124" t="inlineStr">
        <is>
          <t/>
        </is>
      </c>
      <c r="DI141" s="125" t="inlineStr">
        <is>
          <t/>
        </is>
      </c>
      <c r="DJ141" s="126" t="inlineStr">
        <is>
          <t/>
        </is>
      </c>
      <c r="DK141" s="127" t="inlineStr">
        <is>
          <t/>
        </is>
      </c>
      <c r="DL141" s="128" t="n">
        <v>33.53</v>
      </c>
      <c r="DM141" s="129" t="n">
        <v>96.0</v>
      </c>
      <c r="DN141" s="130" t="inlineStr">
        <is>
          <t/>
        </is>
      </c>
      <c r="DO141" s="131" t="inlineStr">
        <is>
          <t/>
        </is>
      </c>
      <c r="DP141" s="132" t="inlineStr">
        <is>
          <t/>
        </is>
      </c>
      <c r="DQ141" s="133" t="inlineStr">
        <is>
          <t/>
        </is>
      </c>
      <c r="DR141" s="134" t="inlineStr">
        <is>
          <t/>
        </is>
      </c>
      <c r="DS141" s="135" t="n">
        <v>1137.0</v>
      </c>
      <c r="DT141" s="136" t="n">
        <v>3.0</v>
      </c>
      <c r="DU141" s="137" t="n">
        <v>0.26</v>
      </c>
      <c r="DV141" s="138" t="inlineStr">
        <is>
          <t/>
        </is>
      </c>
      <c r="DW141" s="139" t="inlineStr">
        <is>
          <t/>
        </is>
      </c>
      <c r="DX141" s="140" t="inlineStr">
        <is>
          <t/>
        </is>
      </c>
      <c r="DY141" s="141" t="inlineStr">
        <is>
          <t>PitchBook Research</t>
        </is>
      </c>
      <c r="DZ141" s="142" t="n">
        <v>43491.0</v>
      </c>
      <c r="EA141" s="143" t="inlineStr">
        <is>
          <t/>
        </is>
      </c>
      <c r="EB141" s="144" t="inlineStr">
        <is>
          <t/>
        </is>
      </c>
      <c r="EC141" s="145" t="inlineStr">
        <is>
          <t/>
        </is>
      </c>
      <c r="ED141" s="547">
        <f>HYPERLINK("https://my.pitchbook.com?c=165459-16", "View company online")</f>
      </c>
    </row>
    <row r="142">
      <c r="A142" s="147" t="inlineStr">
        <is>
          <t>41335-48</t>
        </is>
      </c>
      <c r="B142" s="148" t="inlineStr">
        <is>
          <t>Zale (Texas)</t>
        </is>
      </c>
      <c r="C142" s="149" t="inlineStr">
        <is>
          <t>Zales Jewelers</t>
        </is>
      </c>
      <c r="D142" s="150" t="inlineStr">
        <is>
          <t/>
        </is>
      </c>
      <c r="E142" s="151" t="inlineStr">
        <is>
          <t>41335-48</t>
        </is>
      </c>
      <c r="F142" s="152" t="inlineStr">
        <is>
          <t>Operator of retail jewelry-store chain. The company's stores sell fine and diamond jewelry for men and women in a range of price levels.</t>
        </is>
      </c>
      <c r="G142" s="153" t="inlineStr">
        <is>
          <t>Consumer Products and Services (B2C)</t>
        </is>
      </c>
      <c r="H142" s="154" t="inlineStr">
        <is>
          <t>Retail</t>
        </is>
      </c>
      <c r="I142" s="155" t="inlineStr">
        <is>
          <t>Specialty Retail</t>
        </is>
      </c>
      <c r="J142" s="156" t="inlineStr">
        <is>
          <t>Luxury Goods, Specialty Retail*</t>
        </is>
      </c>
      <c r="K142" s="157" t="inlineStr">
        <is>
          <t/>
        </is>
      </c>
      <c r="L142" s="158" t="inlineStr">
        <is>
          <t>diamond, earrings, gold, jewelry</t>
        </is>
      </c>
      <c r="M142" s="159" t="inlineStr">
        <is>
          <t>Formerly PE-Backed</t>
        </is>
      </c>
      <c r="N142" s="160" t="n">
        <v>822.15</v>
      </c>
      <c r="O142" s="161" t="inlineStr">
        <is>
          <t>Generating Revenue</t>
        </is>
      </c>
      <c r="P142" s="162" t="inlineStr">
        <is>
          <t>Acquired/Merged (Operating Subsidiary)</t>
        </is>
      </c>
      <c r="Q142" s="163" t="inlineStr">
        <is>
          <t>Debt Financed, M&amp;A, Private Equity, Publicly Listed</t>
        </is>
      </c>
      <c r="R142" s="164" t="inlineStr">
        <is>
          <t>www.zalecorp.com</t>
        </is>
      </c>
      <c r="S142" s="165" t="n">
        <v>11900.0</v>
      </c>
      <c r="T142" s="166" t="inlineStr">
        <is>
          <t>1994: 9500, 1996: 10000, 1997: 10000, 1998: 10000, 1999: 12000, 2000: 13000, 2001: 20000, 2002: 19000, 2003: 17000, 2004: 17000, 2005: 16300, 2006: 16900, 2007: 17600, 2008: 15500, 2009: 14500, 2010: 12800, 2011: 12600, 2012: 12500, 2013: 11900</t>
        </is>
      </c>
      <c r="U142" s="167" t="inlineStr">
        <is>
          <t/>
        </is>
      </c>
      <c r="V142" s="168" t="inlineStr">
        <is>
          <t/>
        </is>
      </c>
      <c r="W142" s="169" t="n">
        <v>1924.0</v>
      </c>
      <c r="X142" s="170" t="inlineStr">
        <is>
          <t>Signet Jewelers</t>
        </is>
      </c>
      <c r="Y142" s="171" t="inlineStr">
        <is>
          <t/>
        </is>
      </c>
      <c r="Z142" s="172" t="inlineStr">
        <is>
          <t>Competitor (New) Ice.com</t>
        </is>
      </c>
      <c r="AA142" s="173" t="n">
        <v>1867.18</v>
      </c>
      <c r="AB142" s="174" t="n">
        <v>1004.2</v>
      </c>
      <c r="AC142" s="175" t="n">
        <v>24.32</v>
      </c>
      <c r="AD142" s="176" t="n">
        <v>1344.9</v>
      </c>
      <c r="AE142" s="177" t="n">
        <v>78.63</v>
      </c>
      <c r="AF142" s="178" t="inlineStr">
        <is>
          <t>TTM 3Q2014</t>
        </is>
      </c>
      <c r="AG142" s="179" t="inlineStr">
        <is>
          <t/>
        </is>
      </c>
      <c r="AH142" s="180" t="inlineStr">
        <is>
          <t/>
        </is>
      </c>
      <c r="AI142" s="181" t="inlineStr">
        <is>
          <t/>
        </is>
      </c>
      <c r="AJ142" s="182" t="inlineStr">
        <is>
          <t>32587-93P</t>
        </is>
      </c>
      <c r="AK142" s="183" t="inlineStr">
        <is>
          <t>Matthew Appel</t>
        </is>
      </c>
      <c r="AL142" s="184" t="inlineStr">
        <is>
          <t>Chief Administrative Officer</t>
        </is>
      </c>
      <c r="AM142" s="185" t="inlineStr">
        <is>
          <t>mappel@zalecorp.com</t>
        </is>
      </c>
      <c r="AN142" s="186" t="inlineStr">
        <is>
          <t>+1 (972) 580-4670</t>
        </is>
      </c>
      <c r="AO142" s="187" t="inlineStr">
        <is>
          <t>Irving, TX</t>
        </is>
      </c>
      <c r="AP142" s="188" t="inlineStr">
        <is>
          <t>901 West Walnut Hill Lane</t>
        </is>
      </c>
      <c r="AQ142" s="189" t="inlineStr">
        <is>
          <t/>
        </is>
      </c>
      <c r="AR142" s="190" t="inlineStr">
        <is>
          <t>Irving</t>
        </is>
      </c>
      <c r="AS142" s="191" t="inlineStr">
        <is>
          <t>Texas</t>
        </is>
      </c>
      <c r="AT142" s="192" t="inlineStr">
        <is>
          <t>75038</t>
        </is>
      </c>
      <c r="AU142" s="193" t="inlineStr">
        <is>
          <t>United States</t>
        </is>
      </c>
      <c r="AV142" s="194" t="inlineStr">
        <is>
          <t>+1 (972) 580-4000</t>
        </is>
      </c>
      <c r="AW142" s="195" t="inlineStr">
        <is>
          <t>+1 (972) 580-5266</t>
        </is>
      </c>
      <c r="AX142" s="196" t="inlineStr">
        <is>
          <t>webmaster@zalecorp.com</t>
        </is>
      </c>
      <c r="AY142" s="197" t="inlineStr">
        <is>
          <t>Americas</t>
        </is>
      </c>
      <c r="AZ142" s="198" t="inlineStr">
        <is>
          <t>North America</t>
        </is>
      </c>
      <c r="BA142" s="199" t="inlineStr">
        <is>
          <t>The company (NYSE: ZLC) was acquired by Signet Jewelers (NYSE: SIG) for $1.46 billion on May 29, 2014.</t>
        </is>
      </c>
      <c r="BB142" s="200" t="inlineStr">
        <is>
          <t>TIG Advisors</t>
        </is>
      </c>
      <c r="BC142" s="201" t="n">
        <v>1.0</v>
      </c>
      <c r="BD142" s="202" t="inlineStr">
        <is>
          <t>Signet Jewelers</t>
        </is>
      </c>
      <c r="BE142" s="203" t="inlineStr">
        <is>
          <t>Golden Gate Capital</t>
        </is>
      </c>
      <c r="BF142" s="204" t="inlineStr">
        <is>
          <t>Apollo Global Management, Centerbridge Partners, Gordon Brothers, MidOcean Partners, Sun Capital Partners, TPG Capital</t>
        </is>
      </c>
      <c r="BG142" s="205" t="inlineStr">
        <is>
          <t>TIG Advisors(www.tigfunds.com)</t>
        </is>
      </c>
      <c r="BH142" s="206" t="inlineStr">
        <is>
          <t>Golden Gate Capital(www.goldengatecap.com)</t>
        </is>
      </c>
      <c r="BI142" s="207" t="inlineStr">
        <is>
          <t>Apollo Global Management(www.apollo.com), Centerbridge Partners(www.centerbridge.com), Gordon Brothers(www.gordonbrothers.com), MidOcean Partners(www.midoceanpartners.com), Sun Capital Partners(www.suncappart.com), TPG Capital(www.tpg.com)</t>
        </is>
      </c>
      <c r="BJ142" s="208" t="inlineStr">
        <is>
          <t>Aspect Consumer Partners(Advisor: General), Bluewater Learning(Consulting), EY(Auditor), Gordian Group(Advisor: General), Perella Weinberg Partners(Advisor: General), RCS Real Estate Advisors(Advisor: General)</t>
        </is>
      </c>
      <c r="BK142" s="209" t="inlineStr">
        <is>
          <t>Bank of America(Debt Financing), Bank of America Merrill Lynch(Advisor: General), Cravath, Swaine &amp; Moore(Legal Advisor), GE Capital(Debt Financing), J.P. Morgan(Debt Financing), J.P. Morgan Securities(Advisor: General), PJ SOLOMON(Advisor: General), Stikeman Elliott(Legal Advisor), Troutman Sanders(Legal Advisor), Wells Fargo(Debt Financing)</t>
        </is>
      </c>
      <c r="BL142" s="210" t="n">
        <v>20821.0</v>
      </c>
      <c r="BM142" s="211" t="inlineStr">
        <is>
          <t/>
        </is>
      </c>
      <c r="BN142" s="212" t="inlineStr">
        <is>
          <t/>
        </is>
      </c>
      <c r="BO142" s="213" t="inlineStr">
        <is>
          <t/>
        </is>
      </c>
      <c r="BP142" s="214" t="inlineStr">
        <is>
          <t/>
        </is>
      </c>
      <c r="BQ142" s="215" t="inlineStr">
        <is>
          <t>IPO</t>
        </is>
      </c>
      <c r="BR142" s="216" t="inlineStr">
        <is>
          <t/>
        </is>
      </c>
      <c r="BS142" s="217" t="inlineStr">
        <is>
          <t/>
        </is>
      </c>
      <c r="BT142" s="218" t="inlineStr">
        <is>
          <t>Public Investment</t>
        </is>
      </c>
      <c r="BU142" s="219" t="inlineStr">
        <is>
          <t/>
        </is>
      </c>
      <c r="BV142" s="220" t="inlineStr">
        <is>
          <t/>
        </is>
      </c>
      <c r="BW142" s="221" t="inlineStr">
        <is>
          <t/>
        </is>
      </c>
      <c r="BX142" s="222" t="inlineStr">
        <is>
          <t>Completed</t>
        </is>
      </c>
      <c r="BY142" s="223" t="n">
        <v>41788.0</v>
      </c>
      <c r="BZ142" s="224" t="n">
        <v>1460.0</v>
      </c>
      <c r="CA142" s="225" t="inlineStr">
        <is>
          <t>Actual</t>
        </is>
      </c>
      <c r="CB142" s="226" t="n">
        <v>1460.0</v>
      </c>
      <c r="CC142" s="227" t="inlineStr">
        <is>
          <t>Actual</t>
        </is>
      </c>
      <c r="CD142" s="228" t="inlineStr">
        <is>
          <t>Merger/Acquisition</t>
        </is>
      </c>
      <c r="CE142" s="229" t="inlineStr">
        <is>
          <t/>
        </is>
      </c>
      <c r="CF142" s="230" t="inlineStr">
        <is>
          <t/>
        </is>
      </c>
      <c r="CG142" s="231" t="inlineStr">
        <is>
          <t>Corporate</t>
        </is>
      </c>
      <c r="CH142" s="232" t="inlineStr">
        <is>
          <t>Unsecured Debt</t>
        </is>
      </c>
      <c r="CI142" s="233" t="inlineStr">
        <is>
          <t>Loan</t>
        </is>
      </c>
      <c r="CJ142" s="234" t="inlineStr">
        <is>
          <t>Other</t>
        </is>
      </c>
      <c r="CK142" s="235" t="inlineStr">
        <is>
          <t>Completed</t>
        </is>
      </c>
      <c r="CL142" s="236" t="n">
        <v>41788.0</v>
      </c>
      <c r="CM142" s="237" t="n">
        <v>400.0</v>
      </c>
      <c r="CN142" s="238" t="inlineStr">
        <is>
          <t/>
        </is>
      </c>
      <c r="CO142" s="239" t="inlineStr">
        <is>
          <t/>
        </is>
      </c>
      <c r="CP142" s="240" t="inlineStr">
        <is>
          <t/>
        </is>
      </c>
      <c r="CQ142" s="241" t="inlineStr">
        <is>
          <t/>
        </is>
      </c>
      <c r="CR142" s="242" t="inlineStr">
        <is>
          <t/>
        </is>
      </c>
      <c r="CS142" s="243" t="inlineStr">
        <is>
          <t/>
        </is>
      </c>
      <c r="CT142" s="244" t="inlineStr">
        <is>
          <t/>
        </is>
      </c>
      <c r="CU142" s="245" t="inlineStr">
        <is>
          <t/>
        </is>
      </c>
      <c r="CV142" s="246" t="inlineStr">
        <is>
          <t/>
        </is>
      </c>
      <c r="CW142" s="247" t="inlineStr">
        <is>
          <t/>
        </is>
      </c>
      <c r="CX142" s="248" t="inlineStr">
        <is>
          <t/>
        </is>
      </c>
      <c r="CY142" s="249" t="inlineStr">
        <is>
          <t/>
        </is>
      </c>
      <c r="CZ142" s="250" t="inlineStr">
        <is>
          <t/>
        </is>
      </c>
      <c r="DA142" s="251" t="inlineStr">
        <is>
          <t/>
        </is>
      </c>
      <c r="DB142" s="252" t="inlineStr">
        <is>
          <t/>
        </is>
      </c>
      <c r="DC142" s="253" t="inlineStr">
        <is>
          <t/>
        </is>
      </c>
      <c r="DD142" s="254" t="inlineStr">
        <is>
          <t/>
        </is>
      </c>
      <c r="DE142" s="255" t="inlineStr">
        <is>
          <t/>
        </is>
      </c>
      <c r="DF142" s="256" t="inlineStr">
        <is>
          <t/>
        </is>
      </c>
      <c r="DG142" s="257" t="inlineStr">
        <is>
          <t/>
        </is>
      </c>
      <c r="DH142" s="258" t="inlineStr">
        <is>
          <t/>
        </is>
      </c>
      <c r="DI142" s="259" t="inlineStr">
        <is>
          <t/>
        </is>
      </c>
      <c r="DJ142" s="260" t="inlineStr">
        <is>
          <t/>
        </is>
      </c>
      <c r="DK142" s="261" t="inlineStr">
        <is>
          <t/>
        </is>
      </c>
      <c r="DL142" s="262" t="inlineStr">
        <is>
          <t/>
        </is>
      </c>
      <c r="DM142" s="263" t="inlineStr">
        <is>
          <t/>
        </is>
      </c>
      <c r="DN142" s="264" t="inlineStr">
        <is>
          <t/>
        </is>
      </c>
      <c r="DO142" s="265" t="inlineStr">
        <is>
          <t/>
        </is>
      </c>
      <c r="DP142" s="266" t="inlineStr">
        <is>
          <t/>
        </is>
      </c>
      <c r="DQ142" s="267" t="inlineStr">
        <is>
          <t/>
        </is>
      </c>
      <c r="DR142" s="268" t="inlineStr">
        <is>
          <t/>
        </is>
      </c>
      <c r="DS142" s="269" t="inlineStr">
        <is>
          <t/>
        </is>
      </c>
      <c r="DT142" s="270" t="inlineStr">
        <is>
          <t/>
        </is>
      </c>
      <c r="DU142" s="271" t="inlineStr">
        <is>
          <t/>
        </is>
      </c>
      <c r="DV142" s="272" t="inlineStr">
        <is>
          <t/>
        </is>
      </c>
      <c r="DW142" s="273" t="inlineStr">
        <is>
          <t/>
        </is>
      </c>
      <c r="DX142" s="274" t="inlineStr">
        <is>
          <t/>
        </is>
      </c>
      <c r="DY142" s="275" t="inlineStr">
        <is>
          <t>PitchBook Research</t>
        </is>
      </c>
      <c r="DZ142" s="276" t="n">
        <v>43480.0</v>
      </c>
      <c r="EA142" s="277" t="n">
        <v>1460.0</v>
      </c>
      <c r="EB142" s="278" t="n">
        <v>41788.0</v>
      </c>
      <c r="EC142" s="279" t="inlineStr">
        <is>
          <t>Merger/Acquisition</t>
        </is>
      </c>
      <c r="ED142" s="548">
        <f>HYPERLINK("https://my.pitchbook.com?c=41335-48", "View company online")</f>
      </c>
    </row>
    <row r="143">
      <c r="A143" s="13" t="inlineStr">
        <is>
          <t>65202-13</t>
        </is>
      </c>
      <c r="B143" s="14" t="inlineStr">
        <is>
          <t>OVS (MIL: OVS)</t>
        </is>
      </c>
      <c r="C143" s="15" t="inlineStr">
        <is>
          <t/>
        </is>
      </c>
      <c r="D143" s="16" t="inlineStr">
        <is>
          <t/>
        </is>
      </c>
      <c r="E143" s="17" t="inlineStr">
        <is>
          <t>65202-13</t>
        </is>
      </c>
      <c r="F143" s="18" t="inlineStr">
        <is>
          <t>OVS SpA is an Italian fashion retailer. The company creates, develops and markets menswear, womenswear and children's wear under the OVS and UPIM brands. It operates in two segments namely OVS, that offers stylish and high-quality clothing at competitive prices focusing on latest trends and fashion, and Upim, that offers women's, men's and children's clothing products, homeware and fragrance. The majority of the company's revenue is derived from OVS segment.</t>
        </is>
      </c>
      <c r="G143" s="19" t="inlineStr">
        <is>
          <t>Consumer Products and Services (B2C)</t>
        </is>
      </c>
      <c r="H143" s="20" t="inlineStr">
        <is>
          <t>Apparel and Accessories</t>
        </is>
      </c>
      <c r="I143" s="21" t="inlineStr">
        <is>
          <t>Clothing</t>
        </is>
      </c>
      <c r="J143" s="22" t="inlineStr">
        <is>
          <t>Clothing*, Department Stores</t>
        </is>
      </c>
      <c r="K143" s="23" t="inlineStr">
        <is>
          <t/>
        </is>
      </c>
      <c r="L143" s="24" t="inlineStr">
        <is>
          <t>apparel product, clothing branding, clothing design, fashion chain, integrated retailer, retailer stores</t>
        </is>
      </c>
      <c r="M143" s="25" t="inlineStr">
        <is>
          <t>Formerly PE-Backed</t>
        </is>
      </c>
      <c r="N143" s="26" t="n">
        <v>470.13</v>
      </c>
      <c r="O143" s="27" t="inlineStr">
        <is>
          <t>Profitable</t>
        </is>
      </c>
      <c r="P143" s="28" t="inlineStr">
        <is>
          <t>Publicly Held</t>
        </is>
      </c>
      <c r="Q143" s="29" t="inlineStr">
        <is>
          <t>Private Equity, Publicly Listed</t>
        </is>
      </c>
      <c r="R143" s="30" t="inlineStr">
        <is>
          <t>www.ovscorporate.it</t>
        </is>
      </c>
      <c r="S143" s="31" t="n">
        <v>5445.0</v>
      </c>
      <c r="T143" s="32" t="inlineStr">
        <is>
          <t>2014: 7011, 2015: 6262, 2016: 5702, 2017: 6641, 2018: 6821</t>
        </is>
      </c>
      <c r="U143" s="33" t="inlineStr">
        <is>
          <t>MIL</t>
        </is>
      </c>
      <c r="V143" s="34" t="inlineStr">
        <is>
          <t>OVS</t>
        </is>
      </c>
      <c r="W143" s="35" t="n">
        <v>1972.0</v>
      </c>
      <c r="X143" s="36" t="inlineStr">
        <is>
          <t/>
        </is>
      </c>
      <c r="Y143" s="37" t="inlineStr">
        <is>
          <t/>
        </is>
      </c>
      <c r="Z143" s="38" t="inlineStr">
        <is>
          <t/>
        </is>
      </c>
      <c r="AA143" s="39" t="n">
        <v>1849.58</v>
      </c>
      <c r="AB143" s="40" t="n">
        <v>998.65</v>
      </c>
      <c r="AC143" s="41" t="n">
        <v>31.32</v>
      </c>
      <c r="AD143" s="42" t="n">
        <v>1136.38</v>
      </c>
      <c r="AE143" s="43" t="n">
        <v>135.44</v>
      </c>
      <c r="AF143" s="44" t="inlineStr">
        <is>
          <t>TTM 2Q2019</t>
        </is>
      </c>
      <c r="AG143" s="45" t="n">
        <v>59.23</v>
      </c>
      <c r="AH143" s="46" t="n">
        <v>415.68</v>
      </c>
      <c r="AI143" s="47" t="n">
        <v>500.74</v>
      </c>
      <c r="AJ143" s="48" t="inlineStr">
        <is>
          <t>35607-61P</t>
        </is>
      </c>
      <c r="AK143" s="49" t="inlineStr">
        <is>
          <t>Stefano Beraldo</t>
        </is>
      </c>
      <c r="AL143" s="50" t="inlineStr">
        <is>
          <t>Chief Executive Officer &amp; General Manager</t>
        </is>
      </c>
      <c r="AM143" s="51" t="inlineStr">
        <is>
          <t>stefano.beraldo@ovscorporate.it</t>
        </is>
      </c>
      <c r="AN143" s="52" t="inlineStr">
        <is>
          <t>+44 (0)20 7734 1234</t>
        </is>
      </c>
      <c r="AO143" s="53" t="inlineStr">
        <is>
          <t>Venezia, Italy</t>
        </is>
      </c>
      <c r="AP143" s="54" t="inlineStr">
        <is>
          <t>Via Terraglio 17</t>
        </is>
      </c>
      <c r="AQ143" s="55" t="inlineStr">
        <is>
          <t>Mestre</t>
        </is>
      </c>
      <c r="AR143" s="56" t="inlineStr">
        <is>
          <t>Venezia</t>
        </is>
      </c>
      <c r="AS143" s="57" t="inlineStr">
        <is>
          <t/>
        </is>
      </c>
      <c r="AT143" s="58" t="inlineStr">
        <is>
          <t>30174</t>
        </is>
      </c>
      <c r="AU143" s="59" t="inlineStr">
        <is>
          <t>Italy</t>
        </is>
      </c>
      <c r="AV143" s="60" t="inlineStr">
        <is>
          <t>+39 04 1239 7500</t>
        </is>
      </c>
      <c r="AW143" s="61" t="inlineStr">
        <is>
          <t/>
        </is>
      </c>
      <c r="AX143" s="62" t="inlineStr">
        <is>
          <t/>
        </is>
      </c>
      <c r="AY143" s="63" t="inlineStr">
        <is>
          <t>Europe</t>
        </is>
      </c>
      <c r="AZ143" s="64" t="inlineStr">
        <is>
          <t>Southern Europe</t>
        </is>
      </c>
      <c r="BA143" s="65" t="inlineStr">
        <is>
          <t>BC Partners sold a 17.8% stake in the company to Tamburi Investment Partners (MIL: TIP) for EUR 74.9 million on March 6, 2019. BP Partners has sold its remaining stake in the company.</t>
        </is>
      </c>
      <c r="BB143" s="66" t="inlineStr">
        <is>
          <t>Tamburi Investment Partners</t>
        </is>
      </c>
      <c r="BC143" s="67" t="n">
        <v>1.0</v>
      </c>
      <c r="BD143" s="68" t="inlineStr">
        <is>
          <t/>
        </is>
      </c>
      <c r="BE143" s="69" t="inlineStr">
        <is>
          <t>BC Partners, Gruppo Coin</t>
        </is>
      </c>
      <c r="BF143" s="70" t="inlineStr">
        <is>
          <t/>
        </is>
      </c>
      <c r="BG143" s="71" t="inlineStr">
        <is>
          <t>Tamburi Investment Partners(www.tipspa.it)</t>
        </is>
      </c>
      <c r="BH143" s="72" t="inlineStr">
        <is>
          <t>BC Partners(www.bcpartners.com)</t>
        </is>
      </c>
      <c r="BI143" s="73" t="inlineStr">
        <is>
          <t/>
        </is>
      </c>
      <c r="BJ143" s="74" t="inlineStr">
        <is>
          <t/>
        </is>
      </c>
      <c r="BK143" s="75" t="inlineStr">
        <is>
          <t>Banca IMI(Underwriter), Bank of America Merrill Lynch(Underwriter), Bonelli Erede Pappalardo Studio Legale(Legal Advisor), Latham &amp; Watkins(Legal Advisor), PwC(Accounting), The Goldman Sachs Group(Underwriter), Unicredit Corporate Banking(Underwriter), White &amp; Case(Legal Advisor)</t>
        </is>
      </c>
      <c r="BL143" s="76" t="n">
        <v>42059.0</v>
      </c>
      <c r="BM143" s="77" t="n">
        <v>470.13</v>
      </c>
      <c r="BN143" s="78" t="inlineStr">
        <is>
          <t>Actual</t>
        </is>
      </c>
      <c r="BO143" s="79" t="n">
        <v>1056.63</v>
      </c>
      <c r="BP143" s="80" t="inlineStr">
        <is>
          <t>Actual</t>
        </is>
      </c>
      <c r="BQ143" s="81" t="inlineStr">
        <is>
          <t>IPO</t>
        </is>
      </c>
      <c r="BR143" s="82" t="inlineStr">
        <is>
          <t>Spin-Off</t>
        </is>
      </c>
      <c r="BS143" s="83" t="inlineStr">
        <is>
          <t/>
        </is>
      </c>
      <c r="BT143" s="84" t="inlineStr">
        <is>
          <t>Public Investment</t>
        </is>
      </c>
      <c r="BU143" s="85" t="inlineStr">
        <is>
          <t/>
        </is>
      </c>
      <c r="BV143" s="86" t="inlineStr">
        <is>
          <t/>
        </is>
      </c>
      <c r="BW143" s="87" t="inlineStr">
        <is>
          <t/>
        </is>
      </c>
      <c r="BX143" s="88" t="inlineStr">
        <is>
          <t>Completed</t>
        </is>
      </c>
      <c r="BY143" s="89" t="n">
        <v>43530.0</v>
      </c>
      <c r="BZ143" s="90" t="n">
        <v>87.26</v>
      </c>
      <c r="CA143" s="91" t="inlineStr">
        <is>
          <t>Actual</t>
        </is>
      </c>
      <c r="CB143" s="92" t="n">
        <v>490.25</v>
      </c>
      <c r="CC143" s="93" t="inlineStr">
        <is>
          <t>Estimated</t>
        </is>
      </c>
      <c r="CD143" s="94" t="inlineStr">
        <is>
          <t>Secondary Transaction - Private</t>
        </is>
      </c>
      <c r="CE143" s="95" t="inlineStr">
        <is>
          <t/>
        </is>
      </c>
      <c r="CF143" s="96" t="inlineStr">
        <is>
          <t/>
        </is>
      </c>
      <c r="CG143" s="97" t="inlineStr">
        <is>
          <t>Private Equity</t>
        </is>
      </c>
      <c r="CH143" s="98" t="inlineStr">
        <is>
          <t/>
        </is>
      </c>
      <c r="CI143" s="99" t="inlineStr">
        <is>
          <t/>
        </is>
      </c>
      <c r="CJ143" s="100" t="inlineStr">
        <is>
          <t/>
        </is>
      </c>
      <c r="CK143" s="101" t="inlineStr">
        <is>
          <t>Completed</t>
        </is>
      </c>
      <c r="CL143" s="102" t="inlineStr">
        <is>
          <t/>
        </is>
      </c>
      <c r="CM143" s="103" t="inlineStr">
        <is>
          <t/>
        </is>
      </c>
      <c r="CN143" s="104" t="n">
        <v>-0.01</v>
      </c>
      <c r="CO143" s="105" t="n">
        <v>17.0</v>
      </c>
      <c r="CP143" s="106" t="n">
        <v>0.0</v>
      </c>
      <c r="CQ143" s="107" t="n">
        <v>-12.21</v>
      </c>
      <c r="CR143" s="108" t="n">
        <v>0.0</v>
      </c>
      <c r="CS143" s="109" t="n">
        <v>14.0</v>
      </c>
      <c r="CT143" s="110" t="n">
        <v>-0.03</v>
      </c>
      <c r="CU143" s="111" t="n">
        <v>20.0</v>
      </c>
      <c r="CV143" s="112" t="n">
        <v>0.0</v>
      </c>
      <c r="CW143" s="113" t="n">
        <v>33.0</v>
      </c>
      <c r="CX143" s="114" t="n">
        <v>0.0</v>
      </c>
      <c r="CY143" s="115" t="n">
        <v>11.0</v>
      </c>
      <c r="CZ143" s="116" t="n">
        <v>-0.03</v>
      </c>
      <c r="DA143" s="117" t="n">
        <v>23.0</v>
      </c>
      <c r="DB143" s="118" t="n">
        <v>30.53</v>
      </c>
      <c r="DC143" s="119" t="n">
        <v>97.0</v>
      </c>
      <c r="DD143" s="120" t="n">
        <v>0.3</v>
      </c>
      <c r="DE143" s="121" t="n">
        <v>1.0</v>
      </c>
      <c r="DF143" s="122" t="n">
        <v>1.3</v>
      </c>
      <c r="DG143" s="123" t="n">
        <v>57.0</v>
      </c>
      <c r="DH143" s="124" t="n">
        <v>59.75</v>
      </c>
      <c r="DI143" s="125" t="n">
        <v>96.0</v>
      </c>
      <c r="DJ143" s="126" t="n">
        <v>0.17</v>
      </c>
      <c r="DK143" s="127" t="n">
        <v>12.0</v>
      </c>
      <c r="DL143" s="128" t="n">
        <v>2.44</v>
      </c>
      <c r="DM143" s="129" t="n">
        <v>70.0</v>
      </c>
      <c r="DN143" s="130" t="n">
        <v>59.75</v>
      </c>
      <c r="DO143" s="131" t="n">
        <v>97.0</v>
      </c>
      <c r="DP143" s="132" t="n">
        <v>122.0</v>
      </c>
      <c r="DQ143" s="133" t="n">
        <v>-16.0</v>
      </c>
      <c r="DR143" s="134" t="n">
        <v>-11.59</v>
      </c>
      <c r="DS143" s="135" t="n">
        <v>83.0</v>
      </c>
      <c r="DT143" s="136" t="n">
        <v>0.0</v>
      </c>
      <c r="DU143" s="137" t="n">
        <v>0.0</v>
      </c>
      <c r="DV143" s="138" t="n">
        <v>21453.0</v>
      </c>
      <c r="DW143" s="139" t="n">
        <v>-5.0</v>
      </c>
      <c r="DX143" s="140" t="n">
        <v>-0.02</v>
      </c>
      <c r="DY143" s="141" t="inlineStr">
        <is>
          <t>PitchBook Research</t>
        </is>
      </c>
      <c r="DZ143" s="142" t="n">
        <v>43532.0</v>
      </c>
      <c r="EA143" s="143" t="n">
        <v>490.25</v>
      </c>
      <c r="EB143" s="144" t="n">
        <v>43530.0</v>
      </c>
      <c r="EC143" s="145" t="inlineStr">
        <is>
          <t>Secondary Transaction - Private</t>
        </is>
      </c>
      <c r="ED143" s="547">
        <f>HYPERLINK("https://my.pitchbook.com?c=65202-13", "View company online")</f>
      </c>
    </row>
    <row r="144">
      <c r="A144" s="147" t="inlineStr">
        <is>
          <t>51748-57</t>
        </is>
      </c>
      <c r="B144" s="148" t="inlineStr">
        <is>
          <t>Velvet by Graham &amp; Spencer</t>
        </is>
      </c>
      <c r="C144" s="149" t="inlineStr">
        <is>
          <t/>
        </is>
      </c>
      <c r="D144" s="150" t="inlineStr">
        <is>
          <t>Velvet, Velvet Tees</t>
        </is>
      </c>
      <c r="E144" s="151" t="inlineStr">
        <is>
          <t>51748-57</t>
        </is>
      </c>
      <c r="F144" s="152" t="inlineStr">
        <is>
          <t>Manufacturer and online retailer of women's and men's apparel. The company fuses quality with trend-setting basics and offers modern, sophisticated contemporary apparel brand with laid-back California attitude, for women and men. It sells its products online and through a chain of retail store in United States and United Kingdom.</t>
        </is>
      </c>
      <c r="G144" s="153" t="inlineStr">
        <is>
          <t>Consumer Products and Services (B2C)</t>
        </is>
      </c>
      <c r="H144" s="154" t="inlineStr">
        <is>
          <t>Apparel and Accessories</t>
        </is>
      </c>
      <c r="I144" s="155" t="inlineStr">
        <is>
          <t>Clothing</t>
        </is>
      </c>
      <c r="J144" s="156" t="inlineStr">
        <is>
          <t>Accessories, Clothing*, Internet Retail</t>
        </is>
      </c>
      <c r="K144" s="157" t="inlineStr">
        <is>
          <t>E-Commerce, Manufacturing, TMT</t>
        </is>
      </c>
      <c r="L144" s="158" t="inlineStr">
        <is>
          <t>cloth, clothing, designer dresses, dresses, men's apparel, women's apparel</t>
        </is>
      </c>
      <c r="M144" s="159" t="inlineStr">
        <is>
          <t>Formerly PE-Backed</t>
        </is>
      </c>
      <c r="N144" s="160" t="inlineStr">
        <is>
          <t/>
        </is>
      </c>
      <c r="O144" s="161" t="inlineStr">
        <is>
          <t>Generating Revenue</t>
        </is>
      </c>
      <c r="P144" s="162" t="inlineStr">
        <is>
          <t>Acquired/Merged (Operating Subsidiary)</t>
        </is>
      </c>
      <c r="Q144" s="163" t="inlineStr">
        <is>
          <t>Private Equity</t>
        </is>
      </c>
      <c r="R144" s="164" t="inlineStr">
        <is>
          <t>www.velvet-tees.com</t>
        </is>
      </c>
      <c r="S144" s="165" t="n">
        <v>51.0</v>
      </c>
      <c r="T144" s="166" t="inlineStr">
        <is>
          <t>2016: 51</t>
        </is>
      </c>
      <c r="U144" s="167" t="inlineStr">
        <is>
          <t/>
        </is>
      </c>
      <c r="V144" s="168" t="inlineStr">
        <is>
          <t/>
        </is>
      </c>
      <c r="W144" s="169" t="n">
        <v>1997.0</v>
      </c>
      <c r="X144" s="170" t="inlineStr">
        <is>
          <t>Adastria Co</t>
        </is>
      </c>
      <c r="Y144" s="171" t="inlineStr">
        <is>
          <t/>
        </is>
      </c>
      <c r="Z144" s="172" t="inlineStr">
        <is>
          <t/>
        </is>
      </c>
      <c r="AA144" s="173" t="n">
        <v>1800.0</v>
      </c>
      <c r="AB144" s="174" t="inlineStr">
        <is>
          <t/>
        </is>
      </c>
      <c r="AC144" s="175" t="inlineStr">
        <is>
          <t/>
        </is>
      </c>
      <c r="AD144" s="176" t="inlineStr">
        <is>
          <t/>
        </is>
      </c>
      <c r="AE144" s="177" t="inlineStr">
        <is>
          <t/>
        </is>
      </c>
      <c r="AF144" s="178" t="inlineStr">
        <is>
          <t>FY 2016</t>
        </is>
      </c>
      <c r="AG144" s="179" t="inlineStr">
        <is>
          <t/>
        </is>
      </c>
      <c r="AH144" s="180" t="inlineStr">
        <is>
          <t/>
        </is>
      </c>
      <c r="AI144" s="181" t="inlineStr">
        <is>
          <t/>
        </is>
      </c>
      <c r="AJ144" s="182" t="inlineStr">
        <is>
          <t>36883-36P</t>
        </is>
      </c>
      <c r="AK144" s="183" t="inlineStr">
        <is>
          <t>Henry Hirschowitz</t>
        </is>
      </c>
      <c r="AL144" s="184" t="inlineStr">
        <is>
          <t>Chief Executive Officer &amp; Co-Founder</t>
        </is>
      </c>
      <c r="AM144" s="185" t="inlineStr">
        <is>
          <t>hirschowitz@velvet-tees.com</t>
        </is>
      </c>
      <c r="AN144" s="186" t="inlineStr">
        <is>
          <t>+1 (888) 291-7412</t>
        </is>
      </c>
      <c r="AO144" s="187" t="inlineStr">
        <is>
          <t>Culver City, CA</t>
        </is>
      </c>
      <c r="AP144" s="188" t="inlineStr">
        <is>
          <t>3961 Landmark Street</t>
        </is>
      </c>
      <c r="AQ144" s="189" t="inlineStr">
        <is>
          <t/>
        </is>
      </c>
      <c r="AR144" s="190" t="inlineStr">
        <is>
          <t>Culver City</t>
        </is>
      </c>
      <c r="AS144" s="191" t="inlineStr">
        <is>
          <t>California</t>
        </is>
      </c>
      <c r="AT144" s="192" t="inlineStr">
        <is>
          <t>90232</t>
        </is>
      </c>
      <c r="AU144" s="193" t="inlineStr">
        <is>
          <t>United States</t>
        </is>
      </c>
      <c r="AV144" s="194" t="inlineStr">
        <is>
          <t>+1 (888) 291-7412</t>
        </is>
      </c>
      <c r="AW144" s="195" t="inlineStr">
        <is>
          <t>+1 (434) 385-5754</t>
        </is>
      </c>
      <c r="AX144" s="196" t="inlineStr">
        <is>
          <t>cs@velvet-tees.com</t>
        </is>
      </c>
      <c r="AY144" s="197" t="inlineStr">
        <is>
          <t>Americas</t>
        </is>
      </c>
      <c r="AZ144" s="198" t="inlineStr">
        <is>
          <t>North America</t>
        </is>
      </c>
      <c r="BA144" s="199" t="inlineStr">
        <is>
          <t>The company was acquired by Adastria Co (TSE: 2685) for an undisclosed amount on April 3, 2017. This latest acquisition allows the acquirer to establish a strategic presence in North America and in the world of contemporary fashion, as it seeks to transform the company into a leading global apparel company. The company is no longer being actively tracked by PitchBook.</t>
        </is>
      </c>
      <c r="BB144" s="200" t="inlineStr">
        <is>
          <t/>
        </is>
      </c>
      <c r="BC144" s="201" t="inlineStr">
        <is>
          <t/>
        </is>
      </c>
      <c r="BD144" s="202" t="inlineStr">
        <is>
          <t>Adastria Co</t>
        </is>
      </c>
      <c r="BE144" s="203" t="inlineStr">
        <is>
          <t>Snow Phipps Group</t>
        </is>
      </c>
      <c r="BF144" s="204" t="inlineStr">
        <is>
          <t/>
        </is>
      </c>
      <c r="BG144" s="205" t="inlineStr">
        <is>
          <t/>
        </is>
      </c>
      <c r="BH144" s="206" t="inlineStr">
        <is>
          <t>Snow Phipps Group(www.snowphipps.com)</t>
        </is>
      </c>
      <c r="BI144" s="207" t="inlineStr">
        <is>
          <t/>
        </is>
      </c>
      <c r="BJ144" s="208" t="inlineStr">
        <is>
          <t/>
        </is>
      </c>
      <c r="BK144" s="209" t="inlineStr">
        <is>
          <t>Morrison &amp; Foerster(Legal Advisor), The Sage Group(Advisor: General), Threadstone Advisors(Advisor: General), Weil, Gotshal &amp; Manges(Legal Advisor), William Susman Advisory(Advisor: General)</t>
        </is>
      </c>
      <c r="BL144" s="210" t="n">
        <v>40638.0</v>
      </c>
      <c r="BM144" s="211" t="inlineStr">
        <is>
          <t/>
        </is>
      </c>
      <c r="BN144" s="212" t="inlineStr">
        <is>
          <t/>
        </is>
      </c>
      <c r="BO144" s="213" t="inlineStr">
        <is>
          <t/>
        </is>
      </c>
      <c r="BP144" s="214" t="inlineStr">
        <is>
          <t/>
        </is>
      </c>
      <c r="BQ144" s="215" t="inlineStr">
        <is>
          <t>PE Growth/Expansion</t>
        </is>
      </c>
      <c r="BR144" s="216" t="inlineStr">
        <is>
          <t/>
        </is>
      </c>
      <c r="BS144" s="217" t="inlineStr">
        <is>
          <t/>
        </is>
      </c>
      <c r="BT144" s="218" t="inlineStr">
        <is>
          <t>Private Equity</t>
        </is>
      </c>
      <c r="BU144" s="219" t="inlineStr">
        <is>
          <t/>
        </is>
      </c>
      <c r="BV144" s="220" t="inlineStr">
        <is>
          <t/>
        </is>
      </c>
      <c r="BW144" s="221" t="inlineStr">
        <is>
          <t/>
        </is>
      </c>
      <c r="BX144" s="222" t="inlineStr">
        <is>
          <t>Completed</t>
        </is>
      </c>
      <c r="BY144" s="223" t="n">
        <v>42828.0</v>
      </c>
      <c r="BZ144" s="224" t="inlineStr">
        <is>
          <t/>
        </is>
      </c>
      <c r="CA144" s="225" t="inlineStr">
        <is>
          <t/>
        </is>
      </c>
      <c r="CB144" s="226" t="inlineStr">
        <is>
          <t/>
        </is>
      </c>
      <c r="CC144" s="227" t="inlineStr">
        <is>
          <t/>
        </is>
      </c>
      <c r="CD144" s="228" t="inlineStr">
        <is>
          <t>Merger/Acquisition</t>
        </is>
      </c>
      <c r="CE144" s="229" t="inlineStr">
        <is>
          <t/>
        </is>
      </c>
      <c r="CF144" s="230" t="inlineStr">
        <is>
          <t/>
        </is>
      </c>
      <c r="CG144" s="231" t="inlineStr">
        <is>
          <t>Corporate</t>
        </is>
      </c>
      <c r="CH144" s="232" t="inlineStr">
        <is>
          <t/>
        </is>
      </c>
      <c r="CI144" s="233" t="inlineStr">
        <is>
          <t/>
        </is>
      </c>
      <c r="CJ144" s="234" t="inlineStr">
        <is>
          <t/>
        </is>
      </c>
      <c r="CK144" s="235" t="inlineStr">
        <is>
          <t>Completed</t>
        </is>
      </c>
      <c r="CL144" s="236" t="inlineStr">
        <is>
          <t/>
        </is>
      </c>
      <c r="CM144" s="237" t="inlineStr">
        <is>
          <t/>
        </is>
      </c>
      <c r="CN144" s="238" t="inlineStr">
        <is>
          <t/>
        </is>
      </c>
      <c r="CO144" s="239" t="inlineStr">
        <is>
          <t/>
        </is>
      </c>
      <c r="CP144" s="240" t="inlineStr">
        <is>
          <t/>
        </is>
      </c>
      <c r="CQ144" s="241" t="inlineStr">
        <is>
          <t/>
        </is>
      </c>
      <c r="CR144" s="242" t="inlineStr">
        <is>
          <t/>
        </is>
      </c>
      <c r="CS144" s="243" t="inlineStr">
        <is>
          <t/>
        </is>
      </c>
      <c r="CT144" s="244" t="inlineStr">
        <is>
          <t/>
        </is>
      </c>
      <c r="CU144" s="245" t="inlineStr">
        <is>
          <t/>
        </is>
      </c>
      <c r="CV144" s="246" t="inlineStr">
        <is>
          <t/>
        </is>
      </c>
      <c r="CW144" s="247" t="inlineStr">
        <is>
          <t/>
        </is>
      </c>
      <c r="CX144" s="248" t="inlineStr">
        <is>
          <t/>
        </is>
      </c>
      <c r="CY144" s="249" t="inlineStr">
        <is>
          <t/>
        </is>
      </c>
      <c r="CZ144" s="250" t="inlineStr">
        <is>
          <t/>
        </is>
      </c>
      <c r="DA144" s="251" t="inlineStr">
        <is>
          <t/>
        </is>
      </c>
      <c r="DB144" s="252" t="inlineStr">
        <is>
          <t/>
        </is>
      </c>
      <c r="DC144" s="253" t="inlineStr">
        <is>
          <t/>
        </is>
      </c>
      <c r="DD144" s="254" t="inlineStr">
        <is>
          <t/>
        </is>
      </c>
      <c r="DE144" s="255" t="inlineStr">
        <is>
          <t/>
        </is>
      </c>
      <c r="DF144" s="256" t="inlineStr">
        <is>
          <t/>
        </is>
      </c>
      <c r="DG144" s="257" t="inlineStr">
        <is>
          <t/>
        </is>
      </c>
      <c r="DH144" s="258" t="inlineStr">
        <is>
          <t/>
        </is>
      </c>
      <c r="DI144" s="259" t="inlineStr">
        <is>
          <t/>
        </is>
      </c>
      <c r="DJ144" s="260" t="inlineStr">
        <is>
          <t/>
        </is>
      </c>
      <c r="DK144" s="261" t="inlineStr">
        <is>
          <t/>
        </is>
      </c>
      <c r="DL144" s="262" t="inlineStr">
        <is>
          <t/>
        </is>
      </c>
      <c r="DM144" s="263" t="inlineStr">
        <is>
          <t/>
        </is>
      </c>
      <c r="DN144" s="264" t="inlineStr">
        <is>
          <t/>
        </is>
      </c>
      <c r="DO144" s="265" t="inlineStr">
        <is>
          <t/>
        </is>
      </c>
      <c r="DP144" s="266" t="inlineStr">
        <is>
          <t/>
        </is>
      </c>
      <c r="DQ144" s="267" t="inlineStr">
        <is>
          <t/>
        </is>
      </c>
      <c r="DR144" s="268" t="inlineStr">
        <is>
          <t/>
        </is>
      </c>
      <c r="DS144" s="269" t="inlineStr">
        <is>
          <t/>
        </is>
      </c>
      <c r="DT144" s="270" t="inlineStr">
        <is>
          <t/>
        </is>
      </c>
      <c r="DU144" s="271" t="inlineStr">
        <is>
          <t/>
        </is>
      </c>
      <c r="DV144" s="272" t="inlineStr">
        <is>
          <t/>
        </is>
      </c>
      <c r="DW144" s="273" t="inlineStr">
        <is>
          <t/>
        </is>
      </c>
      <c r="DX144" s="274" t="inlineStr">
        <is>
          <t/>
        </is>
      </c>
      <c r="DY144" s="275" t="inlineStr">
        <is>
          <t>PitchBook Research</t>
        </is>
      </c>
      <c r="DZ144" s="276" t="n">
        <v>43351.0</v>
      </c>
      <c r="EA144" s="277" t="inlineStr">
        <is>
          <t/>
        </is>
      </c>
      <c r="EB144" s="278" t="inlineStr">
        <is>
          <t/>
        </is>
      </c>
      <c r="EC144" s="279" t="inlineStr">
        <is>
          <t/>
        </is>
      </c>
      <c r="ED144" s="548">
        <f>HYPERLINK("https://my.pitchbook.com?c=51748-57", "View company online")</f>
      </c>
    </row>
    <row r="145">
      <c r="A145" s="13" t="inlineStr">
        <is>
          <t>144649-72</t>
        </is>
      </c>
      <c r="B145" s="14" t="inlineStr">
        <is>
          <t>AOKI Holdings (TKS: 8214)</t>
        </is>
      </c>
      <c r="C145" s="15" t="inlineStr">
        <is>
          <t>AOKI International</t>
        </is>
      </c>
      <c r="D145" s="16" t="inlineStr">
        <is>
          <t/>
        </is>
      </c>
      <c r="E145" s="17" t="inlineStr">
        <is>
          <t>144649-72</t>
        </is>
      </c>
      <c r="F145" s="18" t="inlineStr">
        <is>
          <t>AOKI Holdings Inc. is a holding company involved in the Fashion business, Anniversaire and bridal business and Entertainment business segments. Fashion business segment comprises the operation of retail chain stores for men's and women's apparel under the brand names of AOKI. Anniversaire and bridal segment offer guesthouse style format for ceremonies and receptions for couples to hold their weddings and anniversaries. Entertainment segment comprises the operation of karaoke restaurants and bars under the brand name of Cote d'Azur and also offers relaxation and refreshing activities in Kaikatsu club.</t>
        </is>
      </c>
      <c r="G145" s="19" t="inlineStr">
        <is>
          <t>Business Products and Services (B2B)</t>
        </is>
      </c>
      <c r="H145" s="20" t="inlineStr">
        <is>
          <t>Commercial Services</t>
        </is>
      </c>
      <c r="I145" s="21" t="inlineStr">
        <is>
          <t>Other Commercial Services</t>
        </is>
      </c>
      <c r="J145" s="22" t="inlineStr">
        <is>
          <t>Accessories, Clothing, Other Commercial Services*</t>
        </is>
      </c>
      <c r="K145" s="23" t="inlineStr">
        <is>
          <t>Manufacturing</t>
        </is>
      </c>
      <c r="L145" s="24" t="inlineStr">
        <is>
          <t>accessories, clothing, men's apparel</t>
        </is>
      </c>
      <c r="M145" s="25" t="inlineStr">
        <is>
          <t>Corporation</t>
        </is>
      </c>
      <c r="N145" s="26" t="inlineStr">
        <is>
          <t/>
        </is>
      </c>
      <c r="O145" s="27" t="inlineStr">
        <is>
          <t>Profitable</t>
        </is>
      </c>
      <c r="P145" s="28" t="inlineStr">
        <is>
          <t>Publicly Held</t>
        </is>
      </c>
      <c r="Q145" s="29" t="inlineStr">
        <is>
          <t>Publicly Listed</t>
        </is>
      </c>
      <c r="R145" s="30" t="inlineStr">
        <is>
          <t>www.aoki-hd.co.jp</t>
        </is>
      </c>
      <c r="S145" s="31" t="n">
        <v>10086.0</v>
      </c>
      <c r="T145" s="32" t="inlineStr">
        <is>
          <t>2006: 2081, 2007: 2243, 2009: 2831, 2010: 2669, 2011: 2691, 2012: 2786, 2013: 2975, 2014: 3415, 2015: 3706, 2016: 3765, 2017: 4292, 2018: 10086</t>
        </is>
      </c>
      <c r="U145" s="33" t="inlineStr">
        <is>
          <t>TKS</t>
        </is>
      </c>
      <c r="V145" s="34" t="inlineStr">
        <is>
          <t>8214</t>
        </is>
      </c>
      <c r="W145" s="35" t="n">
        <v>1958.0</v>
      </c>
      <c r="X145" s="36" t="inlineStr">
        <is>
          <t/>
        </is>
      </c>
      <c r="Y145" s="37" t="inlineStr">
        <is>
          <t/>
        </is>
      </c>
      <c r="Z145" s="38" t="inlineStr">
        <is>
          <t/>
        </is>
      </c>
      <c r="AA145" s="39" t="n">
        <v>1765.03</v>
      </c>
      <c r="AB145" s="40" t="n">
        <v>768.71</v>
      </c>
      <c r="AC145" s="41" t="n">
        <v>48.69</v>
      </c>
      <c r="AD145" s="42" t="n">
        <v>1119.76</v>
      </c>
      <c r="AE145" s="43" t="n">
        <v>80.33</v>
      </c>
      <c r="AF145" s="44" t="inlineStr">
        <is>
          <t>TTM 3Q2019</t>
        </is>
      </c>
      <c r="AG145" s="45" t="n">
        <v>80.33</v>
      </c>
      <c r="AH145" s="46" t="n">
        <v>944.43</v>
      </c>
      <c r="AI145" s="47" t="n">
        <v>196.06</v>
      </c>
      <c r="AJ145" s="48" t="inlineStr">
        <is>
          <t/>
        </is>
      </c>
      <c r="AK145" s="49" t="inlineStr">
        <is>
          <t/>
        </is>
      </c>
      <c r="AL145" s="50" t="inlineStr">
        <is>
          <t/>
        </is>
      </c>
      <c r="AM145" s="51" t="inlineStr">
        <is>
          <t/>
        </is>
      </c>
      <c r="AN145" s="52" t="inlineStr">
        <is>
          <t/>
        </is>
      </c>
      <c r="AO145" s="53" t="inlineStr">
        <is>
          <t>Yokohama, Japan</t>
        </is>
      </c>
      <c r="AP145" s="54" t="inlineStr">
        <is>
          <t>24-1, Chigasaki Chuo</t>
        </is>
      </c>
      <c r="AQ145" s="55" t="inlineStr">
        <is>
          <t>Tsuzuki-ku</t>
        </is>
      </c>
      <c r="AR145" s="56" t="inlineStr">
        <is>
          <t>Yokohama</t>
        </is>
      </c>
      <c r="AS145" s="57" t="inlineStr">
        <is>
          <t/>
        </is>
      </c>
      <c r="AT145" s="58" t="inlineStr">
        <is>
          <t>224-8588</t>
        </is>
      </c>
      <c r="AU145" s="59" t="inlineStr">
        <is>
          <t>Japan</t>
        </is>
      </c>
      <c r="AV145" s="60" t="inlineStr">
        <is>
          <t>+81 (0)45 941 1888</t>
        </is>
      </c>
      <c r="AW145" s="61" t="inlineStr">
        <is>
          <t/>
        </is>
      </c>
      <c r="AX145" s="62" t="inlineStr">
        <is>
          <t/>
        </is>
      </c>
      <c r="AY145" s="63" t="inlineStr">
        <is>
          <t>Asia</t>
        </is>
      </c>
      <c r="AZ145" s="64" t="inlineStr">
        <is>
          <t>East Asia</t>
        </is>
      </c>
      <c r="BA145" s="65" t="inlineStr">
        <is>
          <t/>
        </is>
      </c>
      <c r="BB145" s="66" t="inlineStr">
        <is>
          <t/>
        </is>
      </c>
      <c r="BC145" s="67" t="inlineStr">
        <is>
          <t/>
        </is>
      </c>
      <c r="BD145" s="68" t="inlineStr">
        <is>
          <t/>
        </is>
      </c>
      <c r="BE145" s="69" t="inlineStr">
        <is>
          <t/>
        </is>
      </c>
      <c r="BF145" s="70" t="inlineStr">
        <is>
          <t/>
        </is>
      </c>
      <c r="BG145" s="71" t="inlineStr">
        <is>
          <t/>
        </is>
      </c>
      <c r="BH145" s="72" t="inlineStr">
        <is>
          <t/>
        </is>
      </c>
      <c r="BI145" s="73" t="inlineStr">
        <is>
          <t/>
        </is>
      </c>
      <c r="BJ145" s="74" t="inlineStr">
        <is>
          <t/>
        </is>
      </c>
      <c r="BK145" s="75" t="inlineStr">
        <is>
          <t/>
        </is>
      </c>
      <c r="BL145" s="76" t="inlineStr">
        <is>
          <t/>
        </is>
      </c>
      <c r="BM145" s="77" t="inlineStr">
        <is>
          <t/>
        </is>
      </c>
      <c r="BN145" s="78" t="inlineStr">
        <is>
          <t/>
        </is>
      </c>
      <c r="BO145" s="79" t="inlineStr">
        <is>
          <t/>
        </is>
      </c>
      <c r="BP145" s="80" t="inlineStr">
        <is>
          <t/>
        </is>
      </c>
      <c r="BQ145" s="81" t="inlineStr">
        <is>
          <t/>
        </is>
      </c>
      <c r="BR145" s="82" t="inlineStr">
        <is>
          <t/>
        </is>
      </c>
      <c r="BS145" s="83" t="inlineStr">
        <is>
          <t/>
        </is>
      </c>
      <c r="BT145" s="84" t="inlineStr">
        <is>
          <t/>
        </is>
      </c>
      <c r="BU145" s="85" t="inlineStr">
        <is>
          <t/>
        </is>
      </c>
      <c r="BV145" s="86" t="inlineStr">
        <is>
          <t/>
        </is>
      </c>
      <c r="BW145" s="87" t="inlineStr">
        <is>
          <t/>
        </is>
      </c>
      <c r="BX145" s="88" t="inlineStr">
        <is>
          <t/>
        </is>
      </c>
      <c r="BY145" s="89" t="inlineStr">
        <is>
          <t/>
        </is>
      </c>
      <c r="BZ145" s="90" t="inlineStr">
        <is>
          <t/>
        </is>
      </c>
      <c r="CA145" s="91" t="inlineStr">
        <is>
          <t/>
        </is>
      </c>
      <c r="CB145" s="92" t="inlineStr">
        <is>
          <t/>
        </is>
      </c>
      <c r="CC145" s="93" t="inlineStr">
        <is>
          <t/>
        </is>
      </c>
      <c r="CD145" s="94" t="inlineStr">
        <is>
          <t/>
        </is>
      </c>
      <c r="CE145" s="95" t="inlineStr">
        <is>
          <t/>
        </is>
      </c>
      <c r="CF145" s="96" t="inlineStr">
        <is>
          <t/>
        </is>
      </c>
      <c r="CG145" s="97" t="inlineStr">
        <is>
          <t/>
        </is>
      </c>
      <c r="CH145" s="98" t="inlineStr">
        <is>
          <t/>
        </is>
      </c>
      <c r="CI145" s="99" t="inlineStr">
        <is>
          <t/>
        </is>
      </c>
      <c r="CJ145" s="100" t="inlineStr">
        <is>
          <t/>
        </is>
      </c>
      <c r="CK145" s="101" t="inlineStr">
        <is>
          <t/>
        </is>
      </c>
      <c r="CL145" s="102" t="inlineStr">
        <is>
          <t/>
        </is>
      </c>
      <c r="CM145" s="103" t="inlineStr">
        <is>
          <t/>
        </is>
      </c>
      <c r="CN145" s="104" t="n">
        <v>0.36</v>
      </c>
      <c r="CO145" s="105" t="n">
        <v>92.0</v>
      </c>
      <c r="CP145" s="106" t="n">
        <v>0.04</v>
      </c>
      <c r="CQ145" s="107" t="n">
        <v>13.42</v>
      </c>
      <c r="CR145" s="108" t="n">
        <v>0.36</v>
      </c>
      <c r="CS145" s="109" t="n">
        <v>92.0</v>
      </c>
      <c r="CT145" s="110" t="inlineStr">
        <is>
          <t/>
        </is>
      </c>
      <c r="CU145" s="111" t="inlineStr">
        <is>
          <t/>
        </is>
      </c>
      <c r="CV145" s="112" t="inlineStr">
        <is>
          <t/>
        </is>
      </c>
      <c r="CW145" s="113" t="inlineStr">
        <is>
          <t/>
        </is>
      </c>
      <c r="CX145" s="114" t="n">
        <v>0.36</v>
      </c>
      <c r="CY145" s="115" t="n">
        <v>92.0</v>
      </c>
      <c r="CZ145" s="116" t="inlineStr">
        <is>
          <t/>
        </is>
      </c>
      <c r="DA145" s="117" t="inlineStr">
        <is>
          <t/>
        </is>
      </c>
      <c r="DB145" s="118" t="n">
        <v>25.76</v>
      </c>
      <c r="DC145" s="119" t="n">
        <v>96.0</v>
      </c>
      <c r="DD145" s="120" t="n">
        <v>6.36</v>
      </c>
      <c r="DE145" s="121" t="n">
        <v>32.81</v>
      </c>
      <c r="DF145" s="122" t="n">
        <v>25.76</v>
      </c>
      <c r="DG145" s="123" t="n">
        <v>96.0</v>
      </c>
      <c r="DH145" s="124" t="inlineStr">
        <is>
          <t/>
        </is>
      </c>
      <c r="DI145" s="125" t="inlineStr">
        <is>
          <t/>
        </is>
      </c>
      <c r="DJ145" s="126" t="inlineStr">
        <is>
          <t/>
        </is>
      </c>
      <c r="DK145" s="127" t="inlineStr">
        <is>
          <t/>
        </is>
      </c>
      <c r="DL145" s="128" t="n">
        <v>25.76</v>
      </c>
      <c r="DM145" s="129" t="n">
        <v>95.0</v>
      </c>
      <c r="DN145" s="130" t="inlineStr">
        <is>
          <t/>
        </is>
      </c>
      <c r="DO145" s="131" t="inlineStr">
        <is>
          <t/>
        </is>
      </c>
      <c r="DP145" s="132" t="inlineStr">
        <is>
          <t/>
        </is>
      </c>
      <c r="DQ145" s="133" t="inlineStr">
        <is>
          <t/>
        </is>
      </c>
      <c r="DR145" s="134" t="inlineStr">
        <is>
          <t/>
        </is>
      </c>
      <c r="DS145" s="135" t="n">
        <v>875.0</v>
      </c>
      <c r="DT145" s="136" t="n">
        <v>3.0</v>
      </c>
      <c r="DU145" s="137" t="n">
        <v>0.34</v>
      </c>
      <c r="DV145" s="138" t="inlineStr">
        <is>
          <t/>
        </is>
      </c>
      <c r="DW145" s="139" t="inlineStr">
        <is>
          <t/>
        </is>
      </c>
      <c r="DX145" s="140" t="inlineStr">
        <is>
          <t/>
        </is>
      </c>
      <c r="DY145" s="141" t="inlineStr">
        <is>
          <t>PitchBook Research</t>
        </is>
      </c>
      <c r="DZ145" s="142" t="n">
        <v>43351.0</v>
      </c>
      <c r="EA145" s="143" t="inlineStr">
        <is>
          <t/>
        </is>
      </c>
      <c r="EB145" s="144" t="inlineStr">
        <is>
          <t/>
        </is>
      </c>
      <c r="EC145" s="145" t="inlineStr">
        <is>
          <t/>
        </is>
      </c>
      <c r="ED145" s="547">
        <f>HYPERLINK("https://my.pitchbook.com?c=144649-72", "View company online")</f>
      </c>
    </row>
    <row r="146">
      <c r="A146" s="147" t="inlineStr">
        <is>
          <t>42010-93</t>
        </is>
      </c>
      <c r="B146" s="148" t="inlineStr">
        <is>
          <t>Wacoal Holdings (TKS: 3591)</t>
        </is>
      </c>
      <c r="C146" s="149" t="inlineStr">
        <is>
          <t/>
        </is>
      </c>
      <c r="D146" s="150" t="inlineStr">
        <is>
          <t/>
        </is>
      </c>
      <c r="E146" s="151" t="inlineStr">
        <is>
          <t>42010-93</t>
        </is>
      </c>
      <c r="F146" s="152" t="inlineStr">
        <is>
          <t>Wacoal Holdings Corp primarily manufactures and sells women's intimate apparel under the Wacoal brand. Roughly three fourths of its sales are from women's foundation garments and lingerie, which includes brassieres, girdles, slips, and women's briefs. Other innerwear includes nightwear, hosiery, and children's underwear. Remaining sales consist of outerwear and sportswear, textile products, and nonapparel businesses. Wacoal sells most of its apparel wholesale to department stores and other retailers. Less than a fourth of its apparel sales are direct to the customer via its own retail stores, catalog sales, and internet orders. The vast majority of Wacoal's sales are in Japan. It also has sales in China, Europe, and the United States.</t>
        </is>
      </c>
      <c r="G146" s="153" t="inlineStr">
        <is>
          <t>Consumer Products and Services (B2C)</t>
        </is>
      </c>
      <c r="H146" s="154" t="inlineStr">
        <is>
          <t>Apparel and Accessories</t>
        </is>
      </c>
      <c r="I146" s="155" t="inlineStr">
        <is>
          <t>Clothing</t>
        </is>
      </c>
      <c r="J146" s="156" t="inlineStr">
        <is>
          <t>Clothing*</t>
        </is>
      </c>
      <c r="K146" s="157" t="inlineStr">
        <is>
          <t/>
        </is>
      </c>
      <c r="L146" s="158" t="inlineStr">
        <is>
          <t/>
        </is>
      </c>
      <c r="M146" s="159" t="inlineStr">
        <is>
          <t>Corporation</t>
        </is>
      </c>
      <c r="N146" s="160" t="inlineStr">
        <is>
          <t/>
        </is>
      </c>
      <c r="O146" s="161" t="inlineStr">
        <is>
          <t>Profitable</t>
        </is>
      </c>
      <c r="P146" s="162" t="inlineStr">
        <is>
          <t>Publicly Held</t>
        </is>
      </c>
      <c r="Q146" s="163" t="inlineStr">
        <is>
          <t>Publicly Listed</t>
        </is>
      </c>
      <c r="R146" s="164" t="inlineStr">
        <is>
          <t>www.wacoalholdings.jp</t>
        </is>
      </c>
      <c r="S146" s="165" t="n">
        <v>21675.0</v>
      </c>
      <c r="T146" s="166" t="inlineStr">
        <is>
          <t>1992: 218, 1993: 218, 1994: 218, 1995: 218, 1996: 218, 1997: 218, 1998: 218, 1999: 5070, 2000: 5013, 2001: 4690, 2002: 4690, 2003: 10903, 2004: 11267, 2005: 12565, 2006: 13020, 2007: 13397, 2008: 13541, 2009: 14476, 2010: 17094, 2011: 15983, 2012: 16524, 2013: 19881, 2014: 20303, 2015: 20196, 2016: 21892, 2017: 22157, 2018: 21675</t>
        </is>
      </c>
      <c r="U146" s="167" t="inlineStr">
        <is>
          <t>TKS</t>
        </is>
      </c>
      <c r="V146" s="168" t="inlineStr">
        <is>
          <t>3591</t>
        </is>
      </c>
      <c r="W146" s="169" t="n">
        <v>1949.0</v>
      </c>
      <c r="X146" s="170" t="inlineStr">
        <is>
          <t/>
        </is>
      </c>
      <c r="Y146" s="171" t="inlineStr">
        <is>
          <t/>
        </is>
      </c>
      <c r="Z146" s="172" t="inlineStr">
        <is>
          <t/>
        </is>
      </c>
      <c r="AA146" s="173" t="n">
        <v>1761.59</v>
      </c>
      <c r="AB146" s="174" t="n">
        <v>940.09</v>
      </c>
      <c r="AC146" s="175" t="n">
        <v>38.2</v>
      </c>
      <c r="AD146" s="176" t="n">
        <v>1470.56</v>
      </c>
      <c r="AE146" s="177" t="n">
        <v>94.94</v>
      </c>
      <c r="AF146" s="178" t="inlineStr">
        <is>
          <t>TTM 3Q2019</t>
        </is>
      </c>
      <c r="AG146" s="179" t="n">
        <v>44.23</v>
      </c>
      <c r="AH146" s="180" t="n">
        <v>1606.0</v>
      </c>
      <c r="AI146" s="181" t="n">
        <v>-243.16</v>
      </c>
      <c r="AJ146" s="182" t="inlineStr">
        <is>
          <t/>
        </is>
      </c>
      <c r="AK146" s="183" t="inlineStr">
        <is>
          <t/>
        </is>
      </c>
      <c r="AL146" s="184" t="inlineStr">
        <is>
          <t/>
        </is>
      </c>
      <c r="AM146" s="185" t="inlineStr">
        <is>
          <t/>
        </is>
      </c>
      <c r="AN146" s="186" t="inlineStr">
        <is>
          <t/>
        </is>
      </c>
      <c r="AO146" s="187" t="inlineStr">
        <is>
          <t>Kyoto, Japan</t>
        </is>
      </c>
      <c r="AP146" s="188" t="inlineStr">
        <is>
          <t>29, Nakajima-cho, Kisshoin</t>
        </is>
      </c>
      <c r="AQ146" s="189" t="inlineStr">
        <is>
          <t>Minami-ku</t>
        </is>
      </c>
      <c r="AR146" s="190" t="inlineStr">
        <is>
          <t>Kyoto</t>
        </is>
      </c>
      <c r="AS146" s="191" t="inlineStr">
        <is>
          <t/>
        </is>
      </c>
      <c r="AT146" s="192" t="inlineStr">
        <is>
          <t>601-8530</t>
        </is>
      </c>
      <c r="AU146" s="193" t="inlineStr">
        <is>
          <t>Japan</t>
        </is>
      </c>
      <c r="AV146" s="194" t="inlineStr">
        <is>
          <t>+81 (0)75 694 3111</t>
        </is>
      </c>
      <c r="AW146" s="195" t="inlineStr">
        <is>
          <t/>
        </is>
      </c>
      <c r="AX146" s="196" t="inlineStr">
        <is>
          <t/>
        </is>
      </c>
      <c r="AY146" s="197" t="inlineStr">
        <is>
          <t>Asia</t>
        </is>
      </c>
      <c r="AZ146" s="198" t="inlineStr">
        <is>
          <t>East Asia</t>
        </is>
      </c>
      <c r="BA146" s="199" t="inlineStr">
        <is>
          <t/>
        </is>
      </c>
      <c r="BB146" s="200" t="inlineStr">
        <is>
          <t/>
        </is>
      </c>
      <c r="BC146" s="201" t="inlineStr">
        <is>
          <t/>
        </is>
      </c>
      <c r="BD146" s="202" t="inlineStr">
        <is>
          <t/>
        </is>
      </c>
      <c r="BE146" s="203" t="inlineStr">
        <is>
          <t/>
        </is>
      </c>
      <c r="BF146" s="204" t="inlineStr">
        <is>
          <t/>
        </is>
      </c>
      <c r="BG146" s="205" t="inlineStr">
        <is>
          <t/>
        </is>
      </c>
      <c r="BH146" s="206" t="inlineStr">
        <is>
          <t/>
        </is>
      </c>
      <c r="BI146" s="207" t="inlineStr">
        <is>
          <t/>
        </is>
      </c>
      <c r="BJ146" s="208" t="inlineStr">
        <is>
          <t/>
        </is>
      </c>
      <c r="BK146" s="209" t="inlineStr">
        <is>
          <t/>
        </is>
      </c>
      <c r="BL146" s="210" t="inlineStr">
        <is>
          <t/>
        </is>
      </c>
      <c r="BM146" s="211" t="inlineStr">
        <is>
          <t/>
        </is>
      </c>
      <c r="BN146" s="212" t="inlineStr">
        <is>
          <t/>
        </is>
      </c>
      <c r="BO146" s="213" t="inlineStr">
        <is>
          <t/>
        </is>
      </c>
      <c r="BP146" s="214" t="inlineStr">
        <is>
          <t/>
        </is>
      </c>
      <c r="BQ146" s="215" t="inlineStr">
        <is>
          <t/>
        </is>
      </c>
      <c r="BR146" s="216" t="inlineStr">
        <is>
          <t/>
        </is>
      </c>
      <c r="BS146" s="217" t="inlineStr">
        <is>
          <t/>
        </is>
      </c>
      <c r="BT146" s="218" t="inlineStr">
        <is>
          <t/>
        </is>
      </c>
      <c r="BU146" s="219" t="inlineStr">
        <is>
          <t/>
        </is>
      </c>
      <c r="BV146" s="220" t="inlineStr">
        <is>
          <t/>
        </is>
      </c>
      <c r="BW146" s="221" t="inlineStr">
        <is>
          <t/>
        </is>
      </c>
      <c r="BX146" s="222" t="inlineStr">
        <is>
          <t/>
        </is>
      </c>
      <c r="BY146" s="223" t="inlineStr">
        <is>
          <t/>
        </is>
      </c>
      <c r="BZ146" s="224" t="inlineStr">
        <is>
          <t/>
        </is>
      </c>
      <c r="CA146" s="225" t="inlineStr">
        <is>
          <t/>
        </is>
      </c>
      <c r="CB146" s="226" t="inlineStr">
        <is>
          <t/>
        </is>
      </c>
      <c r="CC146" s="227" t="inlineStr">
        <is>
          <t/>
        </is>
      </c>
      <c r="CD146" s="228" t="inlineStr">
        <is>
          <t/>
        </is>
      </c>
      <c r="CE146" s="229" t="inlineStr">
        <is>
          <t/>
        </is>
      </c>
      <c r="CF146" s="230" t="inlineStr">
        <is>
          <t/>
        </is>
      </c>
      <c r="CG146" s="231" t="inlineStr">
        <is>
          <t/>
        </is>
      </c>
      <c r="CH146" s="232" t="inlineStr">
        <is>
          <t/>
        </is>
      </c>
      <c r="CI146" s="233" t="inlineStr">
        <is>
          <t/>
        </is>
      </c>
      <c r="CJ146" s="234" t="inlineStr">
        <is>
          <t/>
        </is>
      </c>
      <c r="CK146" s="235" t="inlineStr">
        <is>
          <t/>
        </is>
      </c>
      <c r="CL146" s="236" t="inlineStr">
        <is>
          <t/>
        </is>
      </c>
      <c r="CM146" s="237" t="inlineStr">
        <is>
          <t/>
        </is>
      </c>
      <c r="CN146" s="238" t="n">
        <v>0.18</v>
      </c>
      <c r="CO146" s="239" t="n">
        <v>88.0</v>
      </c>
      <c r="CP146" s="240" t="n">
        <v>0.06</v>
      </c>
      <c r="CQ146" s="241" t="n">
        <v>49.7</v>
      </c>
      <c r="CR146" s="242" t="n">
        <v>0.06</v>
      </c>
      <c r="CS146" s="243" t="n">
        <v>86.0</v>
      </c>
      <c r="CT146" s="244" t="n">
        <v>0.29</v>
      </c>
      <c r="CU146" s="245" t="n">
        <v>89.0</v>
      </c>
      <c r="CV146" s="246" t="inlineStr">
        <is>
          <t/>
        </is>
      </c>
      <c r="CW146" s="247" t="inlineStr">
        <is>
          <t/>
        </is>
      </c>
      <c r="CX146" s="248" t="n">
        <v>0.06</v>
      </c>
      <c r="CY146" s="249" t="n">
        <v>85.0</v>
      </c>
      <c r="CZ146" s="250" t="inlineStr">
        <is>
          <t/>
        </is>
      </c>
      <c r="DA146" s="251" t="inlineStr">
        <is>
          <t/>
        </is>
      </c>
      <c r="DB146" s="252" t="n">
        <v>29.16</v>
      </c>
      <c r="DC146" s="253" t="n">
        <v>96.0</v>
      </c>
      <c r="DD146" s="254" t="n">
        <v>0.86</v>
      </c>
      <c r="DE146" s="255" t="n">
        <v>3.05</v>
      </c>
      <c r="DF146" s="256" t="n">
        <v>6.41</v>
      </c>
      <c r="DG146" s="257" t="n">
        <v>86.0</v>
      </c>
      <c r="DH146" s="258" t="n">
        <v>51.91</v>
      </c>
      <c r="DI146" s="259" t="n">
        <v>96.0</v>
      </c>
      <c r="DJ146" s="260" t="inlineStr">
        <is>
          <t/>
        </is>
      </c>
      <c r="DK146" s="261" t="inlineStr">
        <is>
          <t/>
        </is>
      </c>
      <c r="DL146" s="262" t="n">
        <v>6.41</v>
      </c>
      <c r="DM146" s="263" t="n">
        <v>85.0</v>
      </c>
      <c r="DN146" s="264" t="inlineStr">
        <is>
          <t/>
        </is>
      </c>
      <c r="DO146" s="265" t="inlineStr">
        <is>
          <t/>
        </is>
      </c>
      <c r="DP146" s="266" t="inlineStr">
        <is>
          <t/>
        </is>
      </c>
      <c r="DQ146" s="267" t="inlineStr">
        <is>
          <t/>
        </is>
      </c>
      <c r="DR146" s="268" t="inlineStr">
        <is>
          <t/>
        </is>
      </c>
      <c r="DS146" s="269" t="n">
        <v>217.0</v>
      </c>
      <c r="DT146" s="270" t="n">
        <v>2.0</v>
      </c>
      <c r="DU146" s="271" t="n">
        <v>0.93</v>
      </c>
      <c r="DV146" s="272" t="inlineStr">
        <is>
          <t/>
        </is>
      </c>
      <c r="DW146" s="273" t="inlineStr">
        <is>
          <t/>
        </is>
      </c>
      <c r="DX146" s="274" t="inlineStr">
        <is>
          <t/>
        </is>
      </c>
      <c r="DY146" s="275" t="inlineStr">
        <is>
          <t>PitchBook Research</t>
        </is>
      </c>
      <c r="DZ146" s="276" t="n">
        <v>43354.0</v>
      </c>
      <c r="EA146" s="277" t="inlineStr">
        <is>
          <t/>
        </is>
      </c>
      <c r="EB146" s="278" t="inlineStr">
        <is>
          <t/>
        </is>
      </c>
      <c r="EC146" s="279" t="inlineStr">
        <is>
          <t/>
        </is>
      </c>
      <c r="ED146" s="548">
        <f>HYPERLINK("https://my.pitchbook.com?c=42010-93", "View company online")</f>
      </c>
    </row>
    <row r="147">
      <c r="A147" s="13" t="inlineStr">
        <is>
          <t>11412-46</t>
        </is>
      </c>
      <c r="B147" s="14" t="inlineStr">
        <is>
          <t>Mosaic Fashions</t>
        </is>
      </c>
      <c r="C147" s="15" t="inlineStr">
        <is>
          <t/>
        </is>
      </c>
      <c r="D147" s="16" t="inlineStr">
        <is>
          <t>Mosaic</t>
        </is>
      </c>
      <c r="E147" s="17" t="inlineStr">
        <is>
          <t>11412-46</t>
        </is>
      </c>
      <c r="F147" s="18" t="inlineStr">
        <is>
          <t>Manufacturer and wholesaler of women's clothing and accessories. The company is engaged in the manufacture, design and sale of women's swear, jewellery, footwear, bags, belts, lingerie and sleepwear.</t>
        </is>
      </c>
      <c r="G147" s="19" t="inlineStr">
        <is>
          <t>Consumer Products and Services (B2C)</t>
        </is>
      </c>
      <c r="H147" s="20" t="inlineStr">
        <is>
          <t>Apparel and Accessories</t>
        </is>
      </c>
      <c r="I147" s="21" t="inlineStr">
        <is>
          <t>Accessories</t>
        </is>
      </c>
      <c r="J147" s="22" t="inlineStr">
        <is>
          <t>Accessories*, Clothing</t>
        </is>
      </c>
      <c r="K147" s="23" t="inlineStr">
        <is>
          <t>Manufacturing</t>
        </is>
      </c>
      <c r="L147" s="24" t="inlineStr">
        <is>
          <t>clothing apparel, designer women's clothing, women's apparel</t>
        </is>
      </c>
      <c r="M147" s="25" t="inlineStr">
        <is>
          <t>Formerly PE-Backed</t>
        </is>
      </c>
      <c r="N147" s="26" t="inlineStr">
        <is>
          <t/>
        </is>
      </c>
      <c r="O147" s="27" t="inlineStr">
        <is>
          <t>Generating Revenue/Not Profitable</t>
        </is>
      </c>
      <c r="P147" s="28" t="inlineStr">
        <is>
          <t>Acquired/Merged</t>
        </is>
      </c>
      <c r="Q147" s="29" t="inlineStr">
        <is>
          <t>Private Equity, Publicly Listed</t>
        </is>
      </c>
      <c r="R147" s="30" t="inlineStr">
        <is>
          <t>www.mosaic-fashions.is</t>
        </is>
      </c>
      <c r="S147" s="31" t="n">
        <v>14761.0</v>
      </c>
      <c r="T147" s="32" t="inlineStr">
        <is>
          <t>2008: 14761</t>
        </is>
      </c>
      <c r="U147" s="33" t="inlineStr">
        <is>
          <t/>
        </is>
      </c>
      <c r="V147" s="34" t="inlineStr">
        <is>
          <t/>
        </is>
      </c>
      <c r="W147" s="35" t="n">
        <v>2003.0</v>
      </c>
      <c r="X147" s="36" t="inlineStr">
        <is>
          <t/>
        </is>
      </c>
      <c r="Y147" s="37" t="inlineStr">
        <is>
          <t/>
        </is>
      </c>
      <c r="Z147" s="38" t="inlineStr">
        <is>
          <t/>
        </is>
      </c>
      <c r="AA147" s="39" t="n">
        <v>1742.38</v>
      </c>
      <c r="AB147" s="40" t="n">
        <v>1054.28</v>
      </c>
      <c r="AC147" s="41" t="n">
        <v>-32.63</v>
      </c>
      <c r="AD147" s="42" t="inlineStr">
        <is>
          <t/>
        </is>
      </c>
      <c r="AE147" s="43" t="n">
        <v>-88.09</v>
      </c>
      <c r="AF147" s="44" t="inlineStr">
        <is>
          <t>FY 2008</t>
        </is>
      </c>
      <c r="AG147" s="45" t="inlineStr">
        <is>
          <t/>
        </is>
      </c>
      <c r="AH147" s="46" t="inlineStr">
        <is>
          <t/>
        </is>
      </c>
      <c r="AI147" s="47" t="inlineStr">
        <is>
          <t/>
        </is>
      </c>
      <c r="AJ147" s="48" t="inlineStr">
        <is>
          <t/>
        </is>
      </c>
      <c r="AK147" s="49" t="inlineStr">
        <is>
          <t/>
        </is>
      </c>
      <c r="AL147" s="50" t="inlineStr">
        <is>
          <t/>
        </is>
      </c>
      <c r="AM147" s="51" t="inlineStr">
        <is>
          <t/>
        </is>
      </c>
      <c r="AN147" s="52" t="inlineStr">
        <is>
          <t/>
        </is>
      </c>
      <c r="AO147" s="53" t="inlineStr">
        <is>
          <t>London, United Kingdom</t>
        </is>
      </c>
      <c r="AP147" s="54" t="inlineStr">
        <is>
          <t>69-77 Paul Street</t>
        </is>
      </c>
      <c r="AQ147" s="55" t="inlineStr">
        <is>
          <t>1st Floor</t>
        </is>
      </c>
      <c r="AR147" s="56" t="inlineStr">
        <is>
          <t>London</t>
        </is>
      </c>
      <c r="AS147" s="57" t="inlineStr">
        <is>
          <t>England</t>
        </is>
      </c>
      <c r="AT147" s="58" t="inlineStr">
        <is>
          <t>EC2A 4PN</t>
        </is>
      </c>
      <c r="AU147" s="59" t="inlineStr">
        <is>
          <t>United Kingdom</t>
        </is>
      </c>
      <c r="AV147" s="60" t="inlineStr">
        <is>
          <t/>
        </is>
      </c>
      <c r="AW147" s="61" t="inlineStr">
        <is>
          <t/>
        </is>
      </c>
      <c r="AX147" s="62" t="inlineStr">
        <is>
          <t/>
        </is>
      </c>
      <c r="AY147" s="63" t="inlineStr">
        <is>
          <t>Europe</t>
        </is>
      </c>
      <c r="AZ147" s="64" t="inlineStr">
        <is>
          <t>Western Europe</t>
        </is>
      </c>
      <c r="BA147" s="65" t="inlineStr">
        <is>
          <t>The company was acquired by Arion Bank and its management through an LBO on March 31, 2009 for an undisclosed sum. Later, the company was merged with Aurora Fashions. The company is no longer actively tracked by PitchBook.</t>
        </is>
      </c>
      <c r="BB147" s="66" t="inlineStr">
        <is>
          <t/>
        </is>
      </c>
      <c r="BC147" s="67" t="inlineStr">
        <is>
          <t/>
        </is>
      </c>
      <c r="BD147" s="68" t="inlineStr">
        <is>
          <t/>
        </is>
      </c>
      <c r="BE147" s="69" t="inlineStr">
        <is>
          <t>Arion Banki, Baugur Group, Karen Millen</t>
        </is>
      </c>
      <c r="BF147" s="70" t="inlineStr">
        <is>
          <t/>
        </is>
      </c>
      <c r="BG147" s="71" t="inlineStr">
        <is>
          <t/>
        </is>
      </c>
      <c r="BH147" s="72" t="inlineStr">
        <is>
          <t>Arion Banki(www.arionbanki.is), Baugur Group(www.baugurgroup.is), Karen Millen(www.karenmillen.com)</t>
        </is>
      </c>
      <c r="BI147" s="73" t="inlineStr">
        <is>
          <t/>
        </is>
      </c>
      <c r="BJ147" s="74" t="inlineStr">
        <is>
          <t/>
        </is>
      </c>
      <c r="BK147" s="75" t="inlineStr">
        <is>
          <t>KPMG(Advisor: General)</t>
        </is>
      </c>
      <c r="BL147" s="76" t="n">
        <v>38708.0</v>
      </c>
      <c r="BM147" s="77" t="inlineStr">
        <is>
          <t/>
        </is>
      </c>
      <c r="BN147" s="78" t="inlineStr">
        <is>
          <t/>
        </is>
      </c>
      <c r="BO147" s="79" t="inlineStr">
        <is>
          <t/>
        </is>
      </c>
      <c r="BP147" s="80" t="inlineStr">
        <is>
          <t/>
        </is>
      </c>
      <c r="BQ147" s="81" t="inlineStr">
        <is>
          <t>IPO</t>
        </is>
      </c>
      <c r="BR147" s="82" t="inlineStr">
        <is>
          <t/>
        </is>
      </c>
      <c r="BS147" s="83" t="inlineStr">
        <is>
          <t/>
        </is>
      </c>
      <c r="BT147" s="84" t="inlineStr">
        <is>
          <t>Public Investment</t>
        </is>
      </c>
      <c r="BU147" s="85" t="inlineStr">
        <is>
          <t/>
        </is>
      </c>
      <c r="BV147" s="86" t="inlineStr">
        <is>
          <t/>
        </is>
      </c>
      <c r="BW147" s="87" t="inlineStr">
        <is>
          <t/>
        </is>
      </c>
      <c r="BX147" s="88" t="inlineStr">
        <is>
          <t>Completed</t>
        </is>
      </c>
      <c r="BY147" s="89" t="n">
        <v>39903.0</v>
      </c>
      <c r="BZ147" s="90" t="inlineStr">
        <is>
          <t/>
        </is>
      </c>
      <c r="CA147" s="91" t="inlineStr">
        <is>
          <t/>
        </is>
      </c>
      <c r="CB147" s="92" t="inlineStr">
        <is>
          <t/>
        </is>
      </c>
      <c r="CC147" s="93" t="inlineStr">
        <is>
          <t/>
        </is>
      </c>
      <c r="CD147" s="94" t="inlineStr">
        <is>
          <t>Buyout/LBO</t>
        </is>
      </c>
      <c r="CE147" s="95" t="inlineStr">
        <is>
          <t>Secondary Buyout</t>
        </is>
      </c>
      <c r="CF147" s="96" t="inlineStr">
        <is>
          <t>Public to Private</t>
        </is>
      </c>
      <c r="CG147" s="97" t="inlineStr">
        <is>
          <t>Private Equity</t>
        </is>
      </c>
      <c r="CH147" s="98" t="inlineStr">
        <is>
          <t/>
        </is>
      </c>
      <c r="CI147" s="99" t="inlineStr">
        <is>
          <t/>
        </is>
      </c>
      <c r="CJ147" s="100" t="inlineStr">
        <is>
          <t/>
        </is>
      </c>
      <c r="CK147" s="101" t="inlineStr">
        <is>
          <t>Completed</t>
        </is>
      </c>
      <c r="CL147" s="102" t="inlineStr">
        <is>
          <t/>
        </is>
      </c>
      <c r="CM147" s="103" t="inlineStr">
        <is>
          <t/>
        </is>
      </c>
      <c r="CN147" s="104" t="inlineStr">
        <is>
          <t/>
        </is>
      </c>
      <c r="CO147" s="105" t="inlineStr">
        <is>
          <t/>
        </is>
      </c>
      <c r="CP147" s="106" t="inlineStr">
        <is>
          <t/>
        </is>
      </c>
      <c r="CQ147" s="107" t="inlineStr">
        <is>
          <t/>
        </is>
      </c>
      <c r="CR147" s="108" t="inlineStr">
        <is>
          <t/>
        </is>
      </c>
      <c r="CS147" s="109" t="inlineStr">
        <is>
          <t/>
        </is>
      </c>
      <c r="CT147" s="110" t="inlineStr">
        <is>
          <t/>
        </is>
      </c>
      <c r="CU147" s="111" t="inlineStr">
        <is>
          <t/>
        </is>
      </c>
      <c r="CV147" s="112" t="inlineStr">
        <is>
          <t/>
        </is>
      </c>
      <c r="CW147" s="113" t="inlineStr">
        <is>
          <t/>
        </is>
      </c>
      <c r="CX147" s="114" t="inlineStr">
        <is>
          <t/>
        </is>
      </c>
      <c r="CY147" s="115" t="inlineStr">
        <is>
          <t/>
        </is>
      </c>
      <c r="CZ147" s="116" t="inlineStr">
        <is>
          <t/>
        </is>
      </c>
      <c r="DA147" s="117" t="inlineStr">
        <is>
          <t/>
        </is>
      </c>
      <c r="DB147" s="118" t="inlineStr">
        <is>
          <t/>
        </is>
      </c>
      <c r="DC147" s="119" t="inlineStr">
        <is>
          <t/>
        </is>
      </c>
      <c r="DD147" s="120" t="inlineStr">
        <is>
          <t/>
        </is>
      </c>
      <c r="DE147" s="121" t="inlineStr">
        <is>
          <t/>
        </is>
      </c>
      <c r="DF147" s="122" t="inlineStr">
        <is>
          <t/>
        </is>
      </c>
      <c r="DG147" s="123" t="inlineStr">
        <is>
          <t/>
        </is>
      </c>
      <c r="DH147" s="124" t="inlineStr">
        <is>
          <t/>
        </is>
      </c>
      <c r="DI147" s="125" t="inlineStr">
        <is>
          <t/>
        </is>
      </c>
      <c r="DJ147" s="126" t="inlineStr">
        <is>
          <t/>
        </is>
      </c>
      <c r="DK147" s="127" t="inlineStr">
        <is>
          <t/>
        </is>
      </c>
      <c r="DL147" s="128" t="inlineStr">
        <is>
          <t/>
        </is>
      </c>
      <c r="DM147" s="129" t="inlineStr">
        <is>
          <t/>
        </is>
      </c>
      <c r="DN147" s="130" t="inlineStr">
        <is>
          <t/>
        </is>
      </c>
      <c r="DO147" s="131" t="inlineStr">
        <is>
          <t/>
        </is>
      </c>
      <c r="DP147" s="132" t="inlineStr">
        <is>
          <t/>
        </is>
      </c>
      <c r="DQ147" s="133" t="inlineStr">
        <is>
          <t/>
        </is>
      </c>
      <c r="DR147" s="134" t="inlineStr">
        <is>
          <t/>
        </is>
      </c>
      <c r="DS147" s="135" t="inlineStr">
        <is>
          <t/>
        </is>
      </c>
      <c r="DT147" s="136" t="inlineStr">
        <is>
          <t/>
        </is>
      </c>
      <c r="DU147" s="137" t="inlineStr">
        <is>
          <t/>
        </is>
      </c>
      <c r="DV147" s="138" t="inlineStr">
        <is>
          <t/>
        </is>
      </c>
      <c r="DW147" s="139" t="inlineStr">
        <is>
          <t/>
        </is>
      </c>
      <c r="DX147" s="140" t="inlineStr">
        <is>
          <t/>
        </is>
      </c>
      <c r="DY147" s="141" t="inlineStr">
        <is>
          <t>PitchBook Research</t>
        </is>
      </c>
      <c r="DZ147" s="142" t="n">
        <v>43448.0</v>
      </c>
      <c r="EA147" s="143" t="n">
        <v>1256.0</v>
      </c>
      <c r="EB147" s="144" t="n">
        <v>39207.0</v>
      </c>
      <c r="EC147" s="145" t="inlineStr">
        <is>
          <t>Buyout/LBO</t>
        </is>
      </c>
      <c r="ED147" s="547">
        <f>HYPERLINK("https://my.pitchbook.com?c=11412-46", "View company online")</f>
      </c>
    </row>
    <row r="148">
      <c r="A148" s="147" t="inlineStr">
        <is>
          <t>65661-13</t>
        </is>
      </c>
      <c r="B148" s="148" t="inlineStr">
        <is>
          <t>Ermenegildo Zegna Holditalia</t>
        </is>
      </c>
      <c r="C148" s="149" t="inlineStr">
        <is>
          <t/>
        </is>
      </c>
      <c r="D148" s="150" t="inlineStr">
        <is>
          <t>Zegna, Ermenegildo Zegna</t>
        </is>
      </c>
      <c r="E148" s="151" t="inlineStr">
        <is>
          <t>65661-13</t>
        </is>
      </c>
      <c r="F148" s="152" t="inlineStr">
        <is>
          <t>Owner and operator of a luxury apparel brand intended to sell premium menswear. The company's brand offers ready to wear menswear such as jackets, suits, blazers, sweatshirts, underwear, pants as well as shoes like sneakers, loafers, boots and other accessories like leather bags, belts, ties, sunglasses, enabling customers to find and purchase fine linen-made apparel customized clothing across multiple retail stores.</t>
        </is>
      </c>
      <c r="G148" s="153" t="inlineStr">
        <is>
          <t>Consumer Products and Services (B2C)</t>
        </is>
      </c>
      <c r="H148" s="154" t="inlineStr">
        <is>
          <t>Apparel and Accessories</t>
        </is>
      </c>
      <c r="I148" s="155" t="inlineStr">
        <is>
          <t>Clothing</t>
        </is>
      </c>
      <c r="J148" s="156" t="inlineStr">
        <is>
          <t>Accessories, Clothing*, Footwear</t>
        </is>
      </c>
      <c r="K148" s="157" t="inlineStr">
        <is>
          <t/>
        </is>
      </c>
      <c r="L148" s="158" t="inlineStr">
        <is>
          <t>accessories retail, clothing retail, luxury clothing, luxury menswear, luxury shoes</t>
        </is>
      </c>
      <c r="M148" s="159" t="inlineStr">
        <is>
          <t>Corporation</t>
        </is>
      </c>
      <c r="N148" s="160" t="inlineStr">
        <is>
          <t/>
        </is>
      </c>
      <c r="O148" s="161" t="inlineStr">
        <is>
          <t>Generating Revenue</t>
        </is>
      </c>
      <c r="P148" s="162" t="inlineStr">
        <is>
          <t>Privately Held (no backing)</t>
        </is>
      </c>
      <c r="Q148" s="163" t="inlineStr">
        <is>
          <t>Other Private Companies</t>
        </is>
      </c>
      <c r="R148" s="164" t="inlineStr">
        <is>
          <t>www.zegna.com</t>
        </is>
      </c>
      <c r="S148" s="165" t="n">
        <v>6500.0</v>
      </c>
      <c r="T148" s="166" t="inlineStr">
        <is>
          <t>2018: 6500</t>
        </is>
      </c>
      <c r="U148" s="167" t="inlineStr">
        <is>
          <t/>
        </is>
      </c>
      <c r="V148" s="168" t="inlineStr">
        <is>
          <t/>
        </is>
      </c>
      <c r="W148" s="169" t="n">
        <v>1910.0</v>
      </c>
      <c r="X148" s="170" t="inlineStr">
        <is>
          <t/>
        </is>
      </c>
      <c r="Y148" s="171" t="inlineStr">
        <is>
          <t/>
        </is>
      </c>
      <c r="Z148" s="172" t="inlineStr">
        <is>
          <t/>
        </is>
      </c>
      <c r="AA148" s="173" t="n">
        <v>1700.0</v>
      </c>
      <c r="AB148" s="174" t="inlineStr">
        <is>
          <t/>
        </is>
      </c>
      <c r="AC148" s="175" t="inlineStr">
        <is>
          <t/>
        </is>
      </c>
      <c r="AD148" s="176" t="inlineStr">
        <is>
          <t/>
        </is>
      </c>
      <c r="AE148" s="177" t="inlineStr">
        <is>
          <t/>
        </is>
      </c>
      <c r="AF148" s="178" t="inlineStr">
        <is>
          <t>FY 2017</t>
        </is>
      </c>
      <c r="AG148" s="179" t="inlineStr">
        <is>
          <t/>
        </is>
      </c>
      <c r="AH148" s="180" t="inlineStr">
        <is>
          <t/>
        </is>
      </c>
      <c r="AI148" s="181" t="inlineStr">
        <is>
          <t/>
        </is>
      </c>
      <c r="AJ148" s="182" t="inlineStr">
        <is>
          <t>123593-23P</t>
        </is>
      </c>
      <c r="AK148" s="183" t="inlineStr">
        <is>
          <t>Luigi Baldi</t>
        </is>
      </c>
      <c r="AL148" s="184" t="inlineStr">
        <is>
          <t>Executive</t>
        </is>
      </c>
      <c r="AM148" s="185" t="inlineStr">
        <is>
          <t>lb@zegna.com</t>
        </is>
      </c>
      <c r="AN148" s="186" t="inlineStr">
        <is>
          <t>+39 03 2153 8409</t>
        </is>
      </c>
      <c r="AO148" s="187" t="inlineStr">
        <is>
          <t>Trivero, Italy</t>
        </is>
      </c>
      <c r="AP148" s="188" t="inlineStr">
        <is>
          <t>Sede legale Via Roma 99/100</t>
        </is>
      </c>
      <c r="AQ148" s="189" t="inlineStr">
        <is>
          <t/>
        </is>
      </c>
      <c r="AR148" s="190" t="inlineStr">
        <is>
          <t>Trivero</t>
        </is>
      </c>
      <c r="AS148" s="191" t="inlineStr">
        <is>
          <t>Biella</t>
        </is>
      </c>
      <c r="AT148" s="192" t="inlineStr">
        <is>
          <t>13835</t>
        </is>
      </c>
      <c r="AU148" s="193" t="inlineStr">
        <is>
          <t>Italy</t>
        </is>
      </c>
      <c r="AV148" s="194" t="inlineStr">
        <is>
          <t>+39 03 2153 8409</t>
        </is>
      </c>
      <c r="AW148" s="195" t="inlineStr">
        <is>
          <t>+39 01 5582 0330</t>
        </is>
      </c>
      <c r="AX148" s="196" t="inlineStr">
        <is>
          <t/>
        </is>
      </c>
      <c r="AY148" s="197" t="inlineStr">
        <is>
          <t>Europe</t>
        </is>
      </c>
      <c r="AZ148" s="198" t="inlineStr">
        <is>
          <t>Southern Europe</t>
        </is>
      </c>
      <c r="BA148" s="199" t="inlineStr">
        <is>
          <t/>
        </is>
      </c>
      <c r="BB148" s="200" t="inlineStr">
        <is>
          <t/>
        </is>
      </c>
      <c r="BC148" s="201" t="inlineStr">
        <is>
          <t/>
        </is>
      </c>
      <c r="BD148" s="202" t="inlineStr">
        <is>
          <t/>
        </is>
      </c>
      <c r="BE148" s="203" t="inlineStr">
        <is>
          <t/>
        </is>
      </c>
      <c r="BF148" s="204" t="inlineStr">
        <is>
          <t/>
        </is>
      </c>
      <c r="BG148" s="205" t="inlineStr">
        <is>
          <t/>
        </is>
      </c>
      <c r="BH148" s="206" t="inlineStr">
        <is>
          <t/>
        </is>
      </c>
      <c r="BI148" s="207" t="inlineStr">
        <is>
          <t/>
        </is>
      </c>
      <c r="BJ148" s="208" t="inlineStr">
        <is>
          <t>Barack Ferrazzano Kirschbaum &amp; Nagelberg(Legal Advisor), Tecnova(Consulting), The Brownestone Group(Consulting)</t>
        </is>
      </c>
      <c r="BK148" s="209" t="inlineStr">
        <is>
          <t/>
        </is>
      </c>
      <c r="BL148" s="210" t="inlineStr">
        <is>
          <t/>
        </is>
      </c>
      <c r="BM148" s="211" t="inlineStr">
        <is>
          <t/>
        </is>
      </c>
      <c r="BN148" s="212" t="inlineStr">
        <is>
          <t/>
        </is>
      </c>
      <c r="BO148" s="213" t="inlineStr">
        <is>
          <t/>
        </is>
      </c>
      <c r="BP148" s="214" t="inlineStr">
        <is>
          <t/>
        </is>
      </c>
      <c r="BQ148" s="215" t="inlineStr">
        <is>
          <t/>
        </is>
      </c>
      <c r="BR148" s="216" t="inlineStr">
        <is>
          <t/>
        </is>
      </c>
      <c r="BS148" s="217" t="inlineStr">
        <is>
          <t/>
        </is>
      </c>
      <c r="BT148" s="218" t="inlineStr">
        <is>
          <t/>
        </is>
      </c>
      <c r="BU148" s="219" t="inlineStr">
        <is>
          <t/>
        </is>
      </c>
      <c r="BV148" s="220" t="inlineStr">
        <is>
          <t/>
        </is>
      </c>
      <c r="BW148" s="221" t="inlineStr">
        <is>
          <t/>
        </is>
      </c>
      <c r="BX148" s="222" t="inlineStr">
        <is>
          <t/>
        </is>
      </c>
      <c r="BY148" s="223" t="inlineStr">
        <is>
          <t/>
        </is>
      </c>
      <c r="BZ148" s="224" t="inlineStr">
        <is>
          <t/>
        </is>
      </c>
      <c r="CA148" s="225" t="inlineStr">
        <is>
          <t/>
        </is>
      </c>
      <c r="CB148" s="226" t="inlineStr">
        <is>
          <t/>
        </is>
      </c>
      <c r="CC148" s="227" t="inlineStr">
        <is>
          <t/>
        </is>
      </c>
      <c r="CD148" s="228" t="inlineStr">
        <is>
          <t/>
        </is>
      </c>
      <c r="CE148" s="229" t="inlineStr">
        <is>
          <t/>
        </is>
      </c>
      <c r="CF148" s="230" t="inlineStr">
        <is>
          <t/>
        </is>
      </c>
      <c r="CG148" s="231" t="inlineStr">
        <is>
          <t/>
        </is>
      </c>
      <c r="CH148" s="232" t="inlineStr">
        <is>
          <t/>
        </is>
      </c>
      <c r="CI148" s="233" t="inlineStr">
        <is>
          <t/>
        </is>
      </c>
      <c r="CJ148" s="234" t="inlineStr">
        <is>
          <t/>
        </is>
      </c>
      <c r="CK148" s="235" t="inlineStr">
        <is>
          <t/>
        </is>
      </c>
      <c r="CL148" s="236" t="inlineStr">
        <is>
          <t/>
        </is>
      </c>
      <c r="CM148" s="237" t="inlineStr">
        <is>
          <t/>
        </is>
      </c>
      <c r="CN148" s="238" t="n">
        <v>0.18</v>
      </c>
      <c r="CO148" s="239" t="n">
        <v>88.0</v>
      </c>
      <c r="CP148" s="240" t="n">
        <v>0.07</v>
      </c>
      <c r="CQ148" s="241" t="n">
        <v>62.06</v>
      </c>
      <c r="CR148" s="242" t="n">
        <v>0.03</v>
      </c>
      <c r="CS148" s="243" t="n">
        <v>86.0</v>
      </c>
      <c r="CT148" s="244" t="n">
        <v>0.32</v>
      </c>
      <c r="CU148" s="245" t="n">
        <v>90.0</v>
      </c>
      <c r="CV148" s="246" t="n">
        <v>-0.01</v>
      </c>
      <c r="CW148" s="247" t="n">
        <v>33.0</v>
      </c>
      <c r="CX148" s="248" t="n">
        <v>0.07</v>
      </c>
      <c r="CY148" s="249" t="n">
        <v>85.0</v>
      </c>
      <c r="CZ148" s="250" t="n">
        <v>0.32</v>
      </c>
      <c r="DA148" s="251" t="n">
        <v>92.0</v>
      </c>
      <c r="DB148" s="252" t="n">
        <v>219.09</v>
      </c>
      <c r="DC148" s="253" t="n">
        <v>100.0</v>
      </c>
      <c r="DD148" s="254" t="n">
        <v>-36.72</v>
      </c>
      <c r="DE148" s="255" t="n">
        <v>-14.36</v>
      </c>
      <c r="DF148" s="256" t="n">
        <v>85.55</v>
      </c>
      <c r="DG148" s="257" t="n">
        <v>99.0</v>
      </c>
      <c r="DH148" s="258" t="n">
        <v>352.62</v>
      </c>
      <c r="DI148" s="259" t="n">
        <v>99.0</v>
      </c>
      <c r="DJ148" s="260" t="n">
        <v>0.6</v>
      </c>
      <c r="DK148" s="261" t="n">
        <v>38.0</v>
      </c>
      <c r="DL148" s="262" t="n">
        <v>170.5</v>
      </c>
      <c r="DM148" s="263" t="n">
        <v>100.0</v>
      </c>
      <c r="DN148" s="264" t="n">
        <v>352.62</v>
      </c>
      <c r="DO148" s="265" t="n">
        <v>100.0</v>
      </c>
      <c r="DP148" s="266" t="n">
        <v>435.0</v>
      </c>
      <c r="DQ148" s="267" t="n">
        <v>-43.0</v>
      </c>
      <c r="DR148" s="268" t="n">
        <v>-9.0</v>
      </c>
      <c r="DS148" s="269" t="n">
        <v>5793.0</v>
      </c>
      <c r="DT148" s="270" t="n">
        <v>11.0</v>
      </c>
      <c r="DU148" s="271" t="n">
        <v>0.19</v>
      </c>
      <c r="DV148" s="272" t="n">
        <v>126605.0</v>
      </c>
      <c r="DW148" s="273" t="n">
        <v>-30.0</v>
      </c>
      <c r="DX148" s="274" t="n">
        <v>-0.02</v>
      </c>
      <c r="DY148" s="275" t="inlineStr">
        <is>
          <t>PitchBook Research</t>
        </is>
      </c>
      <c r="DZ148" s="276" t="n">
        <v>43528.0</v>
      </c>
      <c r="EA148" s="277" t="inlineStr">
        <is>
          <t/>
        </is>
      </c>
      <c r="EB148" s="278" t="inlineStr">
        <is>
          <t/>
        </is>
      </c>
      <c r="EC148" s="279" t="inlineStr">
        <is>
          <t/>
        </is>
      </c>
      <c r="ED148" s="548">
        <f>HYPERLINK("https://my.pitchbook.com?c=65661-13", "View company online")</f>
      </c>
    </row>
    <row r="149">
      <c r="A149" s="13" t="inlineStr">
        <is>
          <t>59879-89</t>
        </is>
      </c>
      <c r="B149" s="14" t="inlineStr">
        <is>
          <t>Fielmann (ETR: FIE)</t>
        </is>
      </c>
      <c r="C149" s="15" t="inlineStr">
        <is>
          <t/>
        </is>
      </c>
      <c r="D149" s="16" t="inlineStr">
        <is>
          <t/>
        </is>
      </c>
      <c r="E149" s="17" t="inlineStr">
        <is>
          <t>59879-89</t>
        </is>
      </c>
      <c r="F149" s="18" t="inlineStr">
        <is>
          <t>Fielmann AG is an optical retailer that offers eyewear fashion at a low price. Its main market is Europe. The company offers a wide range of products: glasses, sunglasses, contact lenses, and hearing aids. The assortment of models is fashionable, and the firm offers its products at reasonable prices. Fielmann is involved in all levels of the optical industry value-added chain: designing, manufacturing, product offering, and optician services.</t>
        </is>
      </c>
      <c r="G149" s="19" t="inlineStr">
        <is>
          <t>Consumer Products and Services (B2C)</t>
        </is>
      </c>
      <c r="H149" s="20" t="inlineStr">
        <is>
          <t>Retail</t>
        </is>
      </c>
      <c r="I149" s="21" t="inlineStr">
        <is>
          <t>Other Retail</t>
        </is>
      </c>
      <c r="J149" s="22" t="inlineStr">
        <is>
          <t>Accessories, Other Retail*, Specialty Retail</t>
        </is>
      </c>
      <c r="K149" s="23" t="inlineStr">
        <is>
          <t>Manufacturing</t>
        </is>
      </c>
      <c r="L149" s="24" t="inlineStr">
        <is>
          <t>eyewear, eyewear retailer</t>
        </is>
      </c>
      <c r="M149" s="25" t="inlineStr">
        <is>
          <t>Corporation</t>
        </is>
      </c>
      <c r="N149" s="26" t="n">
        <v>62.88</v>
      </c>
      <c r="O149" s="27" t="inlineStr">
        <is>
          <t>Profitable</t>
        </is>
      </c>
      <c r="P149" s="28" t="inlineStr">
        <is>
          <t>Publicly Held</t>
        </is>
      </c>
      <c r="Q149" s="29" t="inlineStr">
        <is>
          <t>Private Equity, Publicly Listed</t>
        </is>
      </c>
      <c r="R149" s="30" t="inlineStr">
        <is>
          <t>www.fielmann.com</t>
        </is>
      </c>
      <c r="S149" s="31" t="n">
        <v>19488.0</v>
      </c>
      <c r="T149" s="32" t="inlineStr">
        <is>
          <t>2005: 8139, 2010: 13733, 2011: 14297, 2012: 15494, 2013: 16176, 2014: 16739, 2015: 17318, 2016: 17928, 2017: 18653, 2018: 19488</t>
        </is>
      </c>
      <c r="U149" s="33" t="inlineStr">
        <is>
          <t>ETR</t>
        </is>
      </c>
      <c r="V149" s="34" t="inlineStr">
        <is>
          <t>FIE</t>
        </is>
      </c>
      <c r="W149" s="35" t="n">
        <v>1972.0</v>
      </c>
      <c r="X149" s="36" t="inlineStr">
        <is>
          <t/>
        </is>
      </c>
      <c r="Y149" s="37" t="inlineStr">
        <is>
          <t/>
        </is>
      </c>
      <c r="Z149" s="38" t="inlineStr">
        <is>
          <t/>
        </is>
      </c>
      <c r="AA149" s="39" t="n">
        <v>1670.14</v>
      </c>
      <c r="AB149" s="40" t="n">
        <v>1334.44</v>
      </c>
      <c r="AC149" s="41" t="n">
        <v>195.19</v>
      </c>
      <c r="AD149" s="42" t="n">
        <v>4608.05</v>
      </c>
      <c r="AE149" s="43" t="n">
        <v>344.13</v>
      </c>
      <c r="AF149" s="44" t="inlineStr">
        <is>
          <t>TTM 3Q2018</t>
        </is>
      </c>
      <c r="AG149" s="45" t="n">
        <v>291.43</v>
      </c>
      <c r="AH149" s="46" t="n">
        <v>5668.63</v>
      </c>
      <c r="AI149" s="47" t="n">
        <v>-361.18</v>
      </c>
      <c r="AJ149" s="48" t="inlineStr">
        <is>
          <t>154123-75P</t>
        </is>
      </c>
      <c r="AK149" s="49" t="inlineStr">
        <is>
          <t>Günther Fielmann</t>
        </is>
      </c>
      <c r="AL149" s="50" t="inlineStr">
        <is>
          <t>Founder, Chief Executive Officer &amp; Majority Shareholder</t>
        </is>
      </c>
      <c r="AM149" s="51" t="inlineStr">
        <is>
          <t>gunther.fielmann@fielmann.de</t>
        </is>
      </c>
      <c r="AN149" s="52" t="inlineStr">
        <is>
          <t>+49 (0)40 2707 60</t>
        </is>
      </c>
      <c r="AO149" s="53" t="inlineStr">
        <is>
          <t>Hamburg, Germany</t>
        </is>
      </c>
      <c r="AP149" s="54" t="inlineStr">
        <is>
          <t>Weidestraße 118a</t>
        </is>
      </c>
      <c r="AQ149" s="55" t="inlineStr">
        <is>
          <t/>
        </is>
      </c>
      <c r="AR149" s="56" t="inlineStr">
        <is>
          <t>Hamburg</t>
        </is>
      </c>
      <c r="AS149" s="57" t="inlineStr">
        <is>
          <t/>
        </is>
      </c>
      <c r="AT149" s="58" t="inlineStr">
        <is>
          <t>22083</t>
        </is>
      </c>
      <c r="AU149" s="59" t="inlineStr">
        <is>
          <t>Germany</t>
        </is>
      </c>
      <c r="AV149" s="60" t="inlineStr">
        <is>
          <t>+49 (0)40 2707 60</t>
        </is>
      </c>
      <c r="AW149" s="61" t="inlineStr">
        <is>
          <t>+49 (0)40 2707 6399</t>
        </is>
      </c>
      <c r="AX149" s="62" t="inlineStr">
        <is>
          <t>kundenservice@fielmann.com</t>
        </is>
      </c>
      <c r="AY149" s="63" t="inlineStr">
        <is>
          <t>Europe</t>
        </is>
      </c>
      <c r="AZ149" s="64" t="inlineStr">
        <is>
          <t>Western Europe</t>
        </is>
      </c>
      <c r="BA149" s="65" t="inlineStr">
        <is>
          <t>The company raised EUR 53.68 million in its initial public offering on the ETR stock exchange under the ticker symbol of FIE on September 1, 1994.</t>
        </is>
      </c>
      <c r="BB149" s="66" t="inlineStr">
        <is>
          <t/>
        </is>
      </c>
      <c r="BC149" s="67" t="inlineStr">
        <is>
          <t/>
        </is>
      </c>
      <c r="BD149" s="68" t="inlineStr">
        <is>
          <t/>
        </is>
      </c>
      <c r="BE149" s="69" t="inlineStr">
        <is>
          <t>Hannover Finanz Group</t>
        </is>
      </c>
      <c r="BF149" s="70" t="inlineStr">
        <is>
          <t/>
        </is>
      </c>
      <c r="BG149" s="71" t="inlineStr">
        <is>
          <t/>
        </is>
      </c>
      <c r="BH149" s="72" t="inlineStr">
        <is>
          <t>Hannover Finanz Group(www.hannoverfinanz.de)</t>
        </is>
      </c>
      <c r="BI149" s="73" t="inlineStr">
        <is>
          <t/>
        </is>
      </c>
      <c r="BJ149" s="74" t="inlineStr">
        <is>
          <t>Renell Wertpapierhandelsbank(Advisor: General)</t>
        </is>
      </c>
      <c r="BK149" s="75" t="inlineStr">
        <is>
          <t>Susat &amp; Partner Ohg(Advisor: General)</t>
        </is>
      </c>
      <c r="BL149" s="76" t="n">
        <v>29952.0</v>
      </c>
      <c r="BM149" s="77" t="inlineStr">
        <is>
          <t/>
        </is>
      </c>
      <c r="BN149" s="78" t="inlineStr">
        <is>
          <t/>
        </is>
      </c>
      <c r="BO149" s="79" t="inlineStr">
        <is>
          <t/>
        </is>
      </c>
      <c r="BP149" s="80" t="inlineStr">
        <is>
          <t/>
        </is>
      </c>
      <c r="BQ149" s="81" t="inlineStr">
        <is>
          <t>PE Growth/Expansion</t>
        </is>
      </c>
      <c r="BR149" s="82" t="inlineStr">
        <is>
          <t/>
        </is>
      </c>
      <c r="BS149" s="83" t="inlineStr">
        <is>
          <t/>
        </is>
      </c>
      <c r="BT149" s="84" t="inlineStr">
        <is>
          <t>Private Equity</t>
        </is>
      </c>
      <c r="BU149" s="85" t="inlineStr">
        <is>
          <t/>
        </is>
      </c>
      <c r="BV149" s="86" t="inlineStr">
        <is>
          <t/>
        </is>
      </c>
      <c r="BW149" s="87" t="inlineStr">
        <is>
          <t/>
        </is>
      </c>
      <c r="BX149" s="88" t="inlineStr">
        <is>
          <t>Completed</t>
        </is>
      </c>
      <c r="BY149" s="89" t="n">
        <v>34578.0</v>
      </c>
      <c r="BZ149" s="90" t="n">
        <v>62.88</v>
      </c>
      <c r="CA149" s="91" t="inlineStr">
        <is>
          <t/>
        </is>
      </c>
      <c r="CB149" s="92" t="inlineStr">
        <is>
          <t/>
        </is>
      </c>
      <c r="CC149" s="93" t="inlineStr">
        <is>
          <t/>
        </is>
      </c>
      <c r="CD149" s="94" t="inlineStr">
        <is>
          <t>IPO</t>
        </is>
      </c>
      <c r="CE149" s="95" t="inlineStr">
        <is>
          <t/>
        </is>
      </c>
      <c r="CF149" s="96" t="inlineStr">
        <is>
          <t/>
        </is>
      </c>
      <c r="CG149" s="97" t="inlineStr">
        <is>
          <t>Public Investment</t>
        </is>
      </c>
      <c r="CH149" s="98" t="inlineStr">
        <is>
          <t/>
        </is>
      </c>
      <c r="CI149" s="99" t="inlineStr">
        <is>
          <t/>
        </is>
      </c>
      <c r="CJ149" s="100" t="inlineStr">
        <is>
          <t/>
        </is>
      </c>
      <c r="CK149" s="101" t="inlineStr">
        <is>
          <t>Completed</t>
        </is>
      </c>
      <c r="CL149" s="102" t="inlineStr">
        <is>
          <t/>
        </is>
      </c>
      <c r="CM149" s="103" t="inlineStr">
        <is>
          <t/>
        </is>
      </c>
      <c r="CN149" s="104" t="n">
        <v>-0.15</v>
      </c>
      <c r="CO149" s="105" t="n">
        <v>11.0</v>
      </c>
      <c r="CP149" s="106" t="n">
        <v>-0.02</v>
      </c>
      <c r="CQ149" s="107" t="n">
        <v>-12.79</v>
      </c>
      <c r="CR149" s="108" t="n">
        <v>-0.15</v>
      </c>
      <c r="CS149" s="109" t="n">
        <v>12.0</v>
      </c>
      <c r="CT149" s="110" t="inlineStr">
        <is>
          <t/>
        </is>
      </c>
      <c r="CU149" s="111" t="inlineStr">
        <is>
          <t/>
        </is>
      </c>
      <c r="CV149" s="112" t="inlineStr">
        <is>
          <t/>
        </is>
      </c>
      <c r="CW149" s="113" t="inlineStr">
        <is>
          <t/>
        </is>
      </c>
      <c r="CX149" s="114" t="n">
        <v>-0.15</v>
      </c>
      <c r="CY149" s="115" t="n">
        <v>9.0</v>
      </c>
      <c r="CZ149" s="116" t="inlineStr">
        <is>
          <t/>
        </is>
      </c>
      <c r="DA149" s="117" t="inlineStr">
        <is>
          <t/>
        </is>
      </c>
      <c r="DB149" s="118" t="n">
        <v>21.41</v>
      </c>
      <c r="DC149" s="119" t="n">
        <v>95.0</v>
      </c>
      <c r="DD149" s="120" t="n">
        <v>5.19</v>
      </c>
      <c r="DE149" s="121" t="n">
        <v>31.99</v>
      </c>
      <c r="DF149" s="122" t="n">
        <v>21.41</v>
      </c>
      <c r="DG149" s="123" t="n">
        <v>95.0</v>
      </c>
      <c r="DH149" s="124" t="inlineStr">
        <is>
          <t/>
        </is>
      </c>
      <c r="DI149" s="125" t="inlineStr">
        <is>
          <t/>
        </is>
      </c>
      <c r="DJ149" s="126" t="inlineStr">
        <is>
          <t/>
        </is>
      </c>
      <c r="DK149" s="127" t="inlineStr">
        <is>
          <t/>
        </is>
      </c>
      <c r="DL149" s="128" t="n">
        <v>21.41</v>
      </c>
      <c r="DM149" s="129" t="n">
        <v>93.0</v>
      </c>
      <c r="DN149" s="130" t="inlineStr">
        <is>
          <t/>
        </is>
      </c>
      <c r="DO149" s="131" t="inlineStr">
        <is>
          <t/>
        </is>
      </c>
      <c r="DP149" s="132" t="inlineStr">
        <is>
          <t/>
        </is>
      </c>
      <c r="DQ149" s="133" t="inlineStr">
        <is>
          <t/>
        </is>
      </c>
      <c r="DR149" s="134" t="inlineStr">
        <is>
          <t/>
        </is>
      </c>
      <c r="DS149" s="135" t="n">
        <v>728.0</v>
      </c>
      <c r="DT149" s="136" t="n">
        <v>-2.0</v>
      </c>
      <c r="DU149" s="137" t="n">
        <v>-0.27</v>
      </c>
      <c r="DV149" s="138" t="inlineStr">
        <is>
          <t/>
        </is>
      </c>
      <c r="DW149" s="139" t="inlineStr">
        <is>
          <t/>
        </is>
      </c>
      <c r="DX149" s="140" t="inlineStr">
        <is>
          <t/>
        </is>
      </c>
      <c r="DY149" s="141" t="inlineStr">
        <is>
          <t>PitchBook Research</t>
        </is>
      </c>
      <c r="DZ149" s="142" t="n">
        <v>43492.0</v>
      </c>
      <c r="EA149" s="143" t="inlineStr">
        <is>
          <t/>
        </is>
      </c>
      <c r="EB149" s="144" t="inlineStr">
        <is>
          <t/>
        </is>
      </c>
      <c r="EC149" s="145" t="inlineStr">
        <is>
          <t/>
        </is>
      </c>
      <c r="ED149" s="547">
        <f>HYPERLINK("https://my.pitchbook.com?c=59879-89", "View company online")</f>
      </c>
    </row>
    <row r="150">
      <c r="A150" s="147" t="inlineStr">
        <is>
          <t>58287-79</t>
        </is>
      </c>
      <c r="B150" s="148" t="inlineStr">
        <is>
          <t>Printemps Department Store</t>
        </is>
      </c>
      <c r="C150" s="149" t="inlineStr">
        <is>
          <t/>
        </is>
      </c>
      <c r="D150" s="150" t="inlineStr">
        <is>
          <t>Printemps</t>
        </is>
      </c>
      <c r="E150" s="151" t="inlineStr">
        <is>
          <t>58287-79</t>
        </is>
      </c>
      <c r="F150" s="152" t="inlineStr">
        <is>
          <t>Operator of beauty department stores. The company offers women's beauty products, hand bags, makeup collections and accessories. It also offers personal shopping, tax refund, valet and watch repair.</t>
        </is>
      </c>
      <c r="G150" s="153" t="inlineStr">
        <is>
          <t>Consumer Products and Services (B2C)</t>
        </is>
      </c>
      <c r="H150" s="154" t="inlineStr">
        <is>
          <t>Retail</t>
        </is>
      </c>
      <c r="I150" s="155" t="inlineStr">
        <is>
          <t>Specialty Retail</t>
        </is>
      </c>
      <c r="J150" s="156" t="inlineStr">
        <is>
          <t>Accessories, Clothing, Specialty Retail*</t>
        </is>
      </c>
      <c r="K150" s="157" t="inlineStr">
        <is>
          <t/>
        </is>
      </c>
      <c r="L150" s="158" t="inlineStr">
        <is>
          <t>clothes, handbag</t>
        </is>
      </c>
      <c r="M150" s="159" t="inlineStr">
        <is>
          <t>Formerly PE-Backed</t>
        </is>
      </c>
      <c r="N150" s="160" t="inlineStr">
        <is>
          <t/>
        </is>
      </c>
      <c r="O150" s="161" t="inlineStr">
        <is>
          <t>Generating Revenue</t>
        </is>
      </c>
      <c r="P150" s="162" t="inlineStr">
        <is>
          <t>Acquired/Merged</t>
        </is>
      </c>
      <c r="Q150" s="163" t="inlineStr">
        <is>
          <t>Private Equity</t>
        </is>
      </c>
      <c r="R150" s="164" t="inlineStr">
        <is>
          <t>departmentstoreparis.printemps.com</t>
        </is>
      </c>
      <c r="S150" s="165" t="n">
        <v>3000.0</v>
      </c>
      <c r="T150" s="166" t="inlineStr">
        <is>
          <t>2006: 3000, 2013: 4000</t>
        </is>
      </c>
      <c r="U150" s="167" t="inlineStr">
        <is>
          <t/>
        </is>
      </c>
      <c r="V150" s="168" t="inlineStr">
        <is>
          <t/>
        </is>
      </c>
      <c r="W150" s="169" t="n">
        <v>1864.0</v>
      </c>
      <c r="X150" s="170" t="inlineStr">
        <is>
          <t/>
        </is>
      </c>
      <c r="Y150" s="171" t="inlineStr">
        <is>
          <t/>
        </is>
      </c>
      <c r="Z150" s="172" t="inlineStr">
        <is>
          <t/>
        </is>
      </c>
      <c r="AA150" s="173" t="n">
        <v>1665.91</v>
      </c>
      <c r="AB150" s="174" t="n">
        <v>229.57</v>
      </c>
      <c r="AC150" s="175" t="n">
        <v>14.09</v>
      </c>
      <c r="AD150" s="176" t="inlineStr">
        <is>
          <t/>
        </is>
      </c>
      <c r="AE150" s="177" t="n">
        <v>56.23</v>
      </c>
      <c r="AF150" s="178" t="inlineStr">
        <is>
          <t>FY 2015</t>
        </is>
      </c>
      <c r="AG150" s="179" t="inlineStr">
        <is>
          <t/>
        </is>
      </c>
      <c r="AH150" s="180" t="inlineStr">
        <is>
          <t/>
        </is>
      </c>
      <c r="AI150" s="181" t="inlineStr">
        <is>
          <t/>
        </is>
      </c>
      <c r="AJ150" s="182" t="inlineStr">
        <is>
          <t>52625-26P</t>
        </is>
      </c>
      <c r="AK150" s="183" t="inlineStr">
        <is>
          <t>Paolo Cesare</t>
        </is>
      </c>
      <c r="AL150" s="184" t="inlineStr">
        <is>
          <t>President &amp; Chief Executive Officer</t>
        </is>
      </c>
      <c r="AM150" s="185" t="inlineStr">
        <is>
          <t/>
        </is>
      </c>
      <c r="AN150" s="186" t="inlineStr">
        <is>
          <t>+33 (0)1 42 82 50 00</t>
        </is>
      </c>
      <c r="AO150" s="187" t="inlineStr">
        <is>
          <t>Paris, France</t>
        </is>
      </c>
      <c r="AP150" s="188" t="inlineStr">
        <is>
          <t>64, Boulevard Haussmann</t>
        </is>
      </c>
      <c r="AQ150" s="189" t="inlineStr">
        <is>
          <t/>
        </is>
      </c>
      <c r="AR150" s="190" t="inlineStr">
        <is>
          <t>Paris</t>
        </is>
      </c>
      <c r="AS150" s="191" t="inlineStr">
        <is>
          <t/>
        </is>
      </c>
      <c r="AT150" s="192" t="inlineStr">
        <is>
          <t>75009</t>
        </is>
      </c>
      <c r="AU150" s="193" t="inlineStr">
        <is>
          <t>France</t>
        </is>
      </c>
      <c r="AV150" s="194" t="inlineStr">
        <is>
          <t>+33 (0)1 42 82 50 00</t>
        </is>
      </c>
      <c r="AW150" s="195" t="inlineStr">
        <is>
          <t/>
        </is>
      </c>
      <c r="AX150" s="196" t="inlineStr">
        <is>
          <t/>
        </is>
      </c>
      <c r="AY150" s="197" t="inlineStr">
        <is>
          <t>Europe</t>
        </is>
      </c>
      <c r="AZ150" s="198" t="inlineStr">
        <is>
          <t>Western Europe</t>
        </is>
      </c>
      <c r="BA150" s="199" t="inlineStr">
        <is>
          <t>The company was acquired by undisclosed Qatari investors for EUR1.75 billion on an undisclosed date. The company is no longer actively tracked by PitchBook.</t>
        </is>
      </c>
      <c r="BB150" s="200" t="inlineStr">
        <is>
          <t/>
        </is>
      </c>
      <c r="BC150" s="201" t="inlineStr">
        <is>
          <t/>
        </is>
      </c>
      <c r="BD150" s="202" t="inlineStr">
        <is>
          <t/>
        </is>
      </c>
      <c r="BE150" s="203" t="inlineStr">
        <is>
          <t>Deutsche Asset Management Real Estate Investment Management, Individual Investor</t>
        </is>
      </c>
      <c r="BF150" s="204" t="inlineStr">
        <is>
          <t/>
        </is>
      </c>
      <c r="BG150" s="205" t="inlineStr">
        <is>
          <t/>
        </is>
      </c>
      <c r="BH150" s="206" t="inlineStr">
        <is>
          <t>Deutsche Asset Management Real Estate Investment Management(realestate.deutscheawm.com)</t>
        </is>
      </c>
      <c r="BI150" s="207" t="inlineStr">
        <is>
          <t/>
        </is>
      </c>
      <c r="BJ150" s="208" t="inlineStr">
        <is>
          <t/>
        </is>
      </c>
      <c r="BK150" s="209" t="inlineStr">
        <is>
          <t>Brandford Griffith &amp; Associés(Legal Advisor)</t>
        </is>
      </c>
      <c r="BL150" s="210" t="n">
        <v>38718.0</v>
      </c>
      <c r="BM150" s="211" t="n">
        <v>1329.84</v>
      </c>
      <c r="BN150" s="212" t="inlineStr">
        <is>
          <t>Actual</t>
        </is>
      </c>
      <c r="BO150" s="213" t="n">
        <v>1329.84</v>
      </c>
      <c r="BP150" s="214" t="inlineStr">
        <is>
          <t>Actual</t>
        </is>
      </c>
      <c r="BQ150" s="215" t="inlineStr">
        <is>
          <t>Buyout/LBO</t>
        </is>
      </c>
      <c r="BR150" s="216" t="inlineStr">
        <is>
          <t>Corporate Divestiture</t>
        </is>
      </c>
      <c r="BS150" s="217" t="inlineStr">
        <is>
          <t/>
        </is>
      </c>
      <c r="BT150" s="218" t="inlineStr">
        <is>
          <t>Private Equity</t>
        </is>
      </c>
      <c r="BU150" s="219" t="inlineStr">
        <is>
          <t/>
        </is>
      </c>
      <c r="BV150" s="220" t="inlineStr">
        <is>
          <t/>
        </is>
      </c>
      <c r="BW150" s="221" t="inlineStr">
        <is>
          <t/>
        </is>
      </c>
      <c r="BX150" s="222" t="inlineStr">
        <is>
          <t>Completed</t>
        </is>
      </c>
      <c r="BY150" s="223" t="n">
        <v>41325.0</v>
      </c>
      <c r="BZ150" s="224" t="n">
        <v>2341.84</v>
      </c>
      <c r="CA150" s="225" t="inlineStr">
        <is>
          <t>Actual</t>
        </is>
      </c>
      <c r="CB150" s="226" t="n">
        <v>2341.84</v>
      </c>
      <c r="CC150" s="227" t="inlineStr">
        <is>
          <t>Actual</t>
        </is>
      </c>
      <c r="CD150" s="228" t="inlineStr">
        <is>
          <t>Merger/Acquisition</t>
        </is>
      </c>
      <c r="CE150" s="229" t="inlineStr">
        <is>
          <t/>
        </is>
      </c>
      <c r="CF150" s="230" t="inlineStr">
        <is>
          <t/>
        </is>
      </c>
      <c r="CG150" s="231" t="inlineStr">
        <is>
          <t>Corporate</t>
        </is>
      </c>
      <c r="CH150" s="232" t="inlineStr">
        <is>
          <t/>
        </is>
      </c>
      <c r="CI150" s="233" t="inlineStr">
        <is>
          <t/>
        </is>
      </c>
      <c r="CJ150" s="234" t="inlineStr">
        <is>
          <t/>
        </is>
      </c>
      <c r="CK150" s="235" t="inlineStr">
        <is>
          <t>Completed</t>
        </is>
      </c>
      <c r="CL150" s="236" t="inlineStr">
        <is>
          <t/>
        </is>
      </c>
      <c r="CM150" s="237" t="inlineStr">
        <is>
          <t/>
        </is>
      </c>
      <c r="CN150" s="238" t="inlineStr">
        <is>
          <t/>
        </is>
      </c>
      <c r="CO150" s="239" t="inlineStr">
        <is>
          <t/>
        </is>
      </c>
      <c r="CP150" s="240" t="inlineStr">
        <is>
          <t/>
        </is>
      </c>
      <c r="CQ150" s="241" t="inlineStr">
        <is>
          <t/>
        </is>
      </c>
      <c r="CR150" s="242" t="inlineStr">
        <is>
          <t/>
        </is>
      </c>
      <c r="CS150" s="243" t="inlineStr">
        <is>
          <t/>
        </is>
      </c>
      <c r="CT150" s="244" t="inlineStr">
        <is>
          <t/>
        </is>
      </c>
      <c r="CU150" s="245" t="inlineStr">
        <is>
          <t/>
        </is>
      </c>
      <c r="CV150" s="246" t="inlineStr">
        <is>
          <t/>
        </is>
      </c>
      <c r="CW150" s="247" t="inlineStr">
        <is>
          <t/>
        </is>
      </c>
      <c r="CX150" s="248" t="inlineStr">
        <is>
          <t/>
        </is>
      </c>
      <c r="CY150" s="249" t="inlineStr">
        <is>
          <t/>
        </is>
      </c>
      <c r="CZ150" s="250" t="inlineStr">
        <is>
          <t/>
        </is>
      </c>
      <c r="DA150" s="251" t="inlineStr">
        <is>
          <t/>
        </is>
      </c>
      <c r="DB150" s="252" t="inlineStr">
        <is>
          <t/>
        </is>
      </c>
      <c r="DC150" s="253" t="inlineStr">
        <is>
          <t/>
        </is>
      </c>
      <c r="DD150" s="254" t="inlineStr">
        <is>
          <t/>
        </is>
      </c>
      <c r="DE150" s="255" t="inlineStr">
        <is>
          <t/>
        </is>
      </c>
      <c r="DF150" s="256" t="inlineStr">
        <is>
          <t/>
        </is>
      </c>
      <c r="DG150" s="257" t="inlineStr">
        <is>
          <t/>
        </is>
      </c>
      <c r="DH150" s="258" t="inlineStr">
        <is>
          <t/>
        </is>
      </c>
      <c r="DI150" s="259" t="inlineStr">
        <is>
          <t/>
        </is>
      </c>
      <c r="DJ150" s="260" t="inlineStr">
        <is>
          <t/>
        </is>
      </c>
      <c r="DK150" s="261" t="inlineStr">
        <is>
          <t/>
        </is>
      </c>
      <c r="DL150" s="262" t="inlineStr">
        <is>
          <t/>
        </is>
      </c>
      <c r="DM150" s="263" t="inlineStr">
        <is>
          <t/>
        </is>
      </c>
      <c r="DN150" s="264" t="inlineStr">
        <is>
          <t/>
        </is>
      </c>
      <c r="DO150" s="265" t="inlineStr">
        <is>
          <t/>
        </is>
      </c>
      <c r="DP150" s="266" t="inlineStr">
        <is>
          <t/>
        </is>
      </c>
      <c r="DQ150" s="267" t="inlineStr">
        <is>
          <t/>
        </is>
      </c>
      <c r="DR150" s="268" t="inlineStr">
        <is>
          <t/>
        </is>
      </c>
      <c r="DS150" s="269" t="inlineStr">
        <is>
          <t/>
        </is>
      </c>
      <c r="DT150" s="270" t="inlineStr">
        <is>
          <t/>
        </is>
      </c>
      <c r="DU150" s="271" t="inlineStr">
        <is>
          <t/>
        </is>
      </c>
      <c r="DV150" s="272" t="inlineStr">
        <is>
          <t/>
        </is>
      </c>
      <c r="DW150" s="273" t="inlineStr">
        <is>
          <t/>
        </is>
      </c>
      <c r="DX150" s="274" t="inlineStr">
        <is>
          <t/>
        </is>
      </c>
      <c r="DY150" s="275" t="inlineStr">
        <is>
          <t>PitchBook Research</t>
        </is>
      </c>
      <c r="DZ150" s="276" t="n">
        <v>43499.0</v>
      </c>
      <c r="EA150" s="277" t="n">
        <v>2341.84</v>
      </c>
      <c r="EB150" s="278" t="n">
        <v>41325.0</v>
      </c>
      <c r="EC150" s="279" t="inlineStr">
        <is>
          <t>Merger/Acquisition</t>
        </is>
      </c>
      <c r="ED150" s="548">
        <f>HYPERLINK("https://my.pitchbook.com?c=58287-79", "View company online")</f>
      </c>
    </row>
    <row r="151">
      <c r="A151" s="13" t="inlineStr">
        <is>
          <t>10799-83</t>
        </is>
      </c>
      <c r="B151" s="14" t="inlineStr">
        <is>
          <t>Steve Madden (NAS: SHOO)</t>
        </is>
      </c>
      <c r="C151" s="15" t="inlineStr">
        <is>
          <t/>
        </is>
      </c>
      <c r="D151" s="16" t="inlineStr">
        <is>
          <t>SM</t>
        </is>
      </c>
      <c r="E151" s="17" t="inlineStr">
        <is>
          <t>10799-83</t>
        </is>
      </c>
      <c r="F151" s="18" t="inlineStr">
        <is>
          <t>Steven Madden Ltd designs and sells brand-name and private-label footwear, handbags, and accessories. Its products are geared toward fashion-conscious adults and children. The company sells its products through department stores and other retailers as well as its own stores and websites. Nearly all of the company's revenue comes from three of its segments. The wholesale footwear segment accounts for the majority of revenue, while the wholesale accessories segment and retail segment contribute similar amounts. Geographically, most sales are in North America and South Africa, but the company's products also reach Europe, Asia, and Australia. Steve Madden sources products from manufacturers in Asia, Mexico, and Italy.</t>
        </is>
      </c>
      <c r="G151" s="19" t="inlineStr">
        <is>
          <t>Consumer Products and Services (B2C)</t>
        </is>
      </c>
      <c r="H151" s="20" t="inlineStr">
        <is>
          <t>Apparel and Accessories</t>
        </is>
      </c>
      <c r="I151" s="21" t="inlineStr">
        <is>
          <t>Footwear</t>
        </is>
      </c>
      <c r="J151" s="22" t="inlineStr">
        <is>
          <t>Footwear*</t>
        </is>
      </c>
      <c r="K151" s="23" t="inlineStr">
        <is>
          <t>Manufacturing</t>
        </is>
      </c>
      <c r="L151" s="24" t="inlineStr">
        <is>
          <t>digital content</t>
        </is>
      </c>
      <c r="M151" s="25" t="inlineStr">
        <is>
          <t>Corporation</t>
        </is>
      </c>
      <c r="N151" s="26" t="inlineStr">
        <is>
          <t/>
        </is>
      </c>
      <c r="O151" s="27" t="inlineStr">
        <is>
          <t>Profitable</t>
        </is>
      </c>
      <c r="P151" s="28" t="inlineStr">
        <is>
          <t>Publicly Held</t>
        </is>
      </c>
      <c r="Q151" s="29" t="inlineStr">
        <is>
          <t>Private Equity, Publicly Listed</t>
        </is>
      </c>
      <c r="R151" s="30" t="inlineStr">
        <is>
          <t>www.stevemadden.com</t>
        </is>
      </c>
      <c r="S151" s="31" t="n">
        <v>3900.0</v>
      </c>
      <c r="T151" s="32" t="inlineStr">
        <is>
          <t>1993: 14, 1994: 20, 1995: 74, 1996: 154, 1997: 210, 1998: 500, 1999: 709, 2000: 1640, 2001: 1023, 2002: 1081, 2003: 1150, 2004: 1510, 2005: 1414, 2006: 1098, 2007: 1510, 2008: 1510, 2009: 1370, 2010: 1440, 2011: 2370, 2012: 2650, 2013: 2864, 2014: 3256, 2015: 3578, 2016: 3925, 2017: 3884, 2018: 3900</t>
        </is>
      </c>
      <c r="U151" s="33" t="inlineStr">
        <is>
          <t>NAS</t>
        </is>
      </c>
      <c r="V151" s="34" t="inlineStr">
        <is>
          <t>SHOO</t>
        </is>
      </c>
      <c r="W151" s="35" t="n">
        <v>1990.0</v>
      </c>
      <c r="X151" s="36" t="inlineStr">
        <is>
          <t/>
        </is>
      </c>
      <c r="Y151" s="37" t="inlineStr">
        <is>
          <t/>
        </is>
      </c>
      <c r="Z151" s="38" t="inlineStr">
        <is>
          <t/>
        </is>
      </c>
      <c r="AA151" s="39" t="n">
        <v>1653.61</v>
      </c>
      <c r="AB151" s="40" t="n">
        <v>616.04</v>
      </c>
      <c r="AC151" s="41" t="n">
        <v>129.14</v>
      </c>
      <c r="AD151" s="42" t="n">
        <v>2423.37</v>
      </c>
      <c r="AE151" s="43" t="n">
        <v>195.86</v>
      </c>
      <c r="AF151" s="44" t="inlineStr">
        <is>
          <t>FY 2018</t>
        </is>
      </c>
      <c r="AG151" s="45" t="n">
        <v>173.38</v>
      </c>
      <c r="AH151" s="46" t="n">
        <v>2763.66</v>
      </c>
      <c r="AI151" s="47" t="n">
        <v>-267.0</v>
      </c>
      <c r="AJ151" s="48" t="inlineStr">
        <is>
          <t>14290-48P</t>
        </is>
      </c>
      <c r="AK151" s="49" t="inlineStr">
        <is>
          <t>Arvind Dharia</t>
        </is>
      </c>
      <c r="AL151" s="50" t="inlineStr">
        <is>
          <t>Chief Financial Officer &amp; Secretary</t>
        </is>
      </c>
      <c r="AM151" s="51" t="inlineStr">
        <is>
          <t>arvind@stevemadden.in</t>
        </is>
      </c>
      <c r="AN151" s="52" t="inlineStr">
        <is>
          <t>+1 (888) 762-3336</t>
        </is>
      </c>
      <c r="AO151" s="53" t="inlineStr">
        <is>
          <t>Stratford, CT</t>
        </is>
      </c>
      <c r="AP151" s="54" t="inlineStr">
        <is>
          <t>7365 Main Street</t>
        </is>
      </c>
      <c r="AQ151" s="55" t="inlineStr">
        <is>
          <t>Suite 204</t>
        </is>
      </c>
      <c r="AR151" s="56" t="inlineStr">
        <is>
          <t>Stratford</t>
        </is>
      </c>
      <c r="AS151" s="57" t="inlineStr">
        <is>
          <t>Connecticut</t>
        </is>
      </c>
      <c r="AT151" s="58" t="inlineStr">
        <is>
          <t>06614</t>
        </is>
      </c>
      <c r="AU151" s="59" t="inlineStr">
        <is>
          <t>United States</t>
        </is>
      </c>
      <c r="AV151" s="60" t="inlineStr">
        <is>
          <t>+1 (888) 762-3336</t>
        </is>
      </c>
      <c r="AW151" s="61" t="inlineStr">
        <is>
          <t/>
        </is>
      </c>
      <c r="AX151" s="62" t="inlineStr">
        <is>
          <t>info@stevemaddendirect.com</t>
        </is>
      </c>
      <c r="AY151" s="63" t="inlineStr">
        <is>
          <t>Americas</t>
        </is>
      </c>
      <c r="AZ151" s="64" t="inlineStr">
        <is>
          <t>North America</t>
        </is>
      </c>
      <c r="BA151" s="65" t="inlineStr">
        <is>
          <t>The company was in talks to be acquired by Brown Shoe Company or Lion Capital in 2007. Subsequently the deal was cancelled. This company is no longer actively tracked by PitchBook.</t>
        </is>
      </c>
      <c r="BB151" s="66" t="inlineStr">
        <is>
          <t/>
        </is>
      </c>
      <c r="BC151" s="67" t="inlineStr">
        <is>
          <t/>
        </is>
      </c>
      <c r="BD151" s="68" t="inlineStr">
        <is>
          <t/>
        </is>
      </c>
      <c r="BE151" s="69" t="inlineStr">
        <is>
          <t/>
        </is>
      </c>
      <c r="BF151" s="70" t="inlineStr">
        <is>
          <t>Lion Capital</t>
        </is>
      </c>
      <c r="BG151" s="71" t="inlineStr">
        <is>
          <t/>
        </is>
      </c>
      <c r="BH151" s="72" t="inlineStr">
        <is>
          <t/>
        </is>
      </c>
      <c r="BI151" s="73" t="inlineStr">
        <is>
          <t>Lion Capital(www.lioncapital.com)</t>
        </is>
      </c>
      <c r="BJ151" s="74" t="inlineStr">
        <is>
          <t>CL King &amp; Associates(Advisor: General), Telsey Advisory Group(Advisor: General)</t>
        </is>
      </c>
      <c r="BK151" s="75" t="inlineStr">
        <is>
          <t>PJ SOLOMON(Advisor: General)</t>
        </is>
      </c>
      <c r="BL151" s="76" t="n">
        <v>39374.0</v>
      </c>
      <c r="BM151" s="77" t="inlineStr">
        <is>
          <t/>
        </is>
      </c>
      <c r="BN151" s="78" t="inlineStr">
        <is>
          <t/>
        </is>
      </c>
      <c r="BO151" s="79" t="inlineStr">
        <is>
          <t/>
        </is>
      </c>
      <c r="BP151" s="80" t="inlineStr">
        <is>
          <t/>
        </is>
      </c>
      <c r="BQ151" s="81" t="inlineStr">
        <is>
          <t>Merger/Acquisition</t>
        </is>
      </c>
      <c r="BR151" s="82" t="inlineStr">
        <is>
          <t/>
        </is>
      </c>
      <c r="BS151" s="83" t="inlineStr">
        <is>
          <t/>
        </is>
      </c>
      <c r="BT151" s="84" t="inlineStr">
        <is>
          <t>Corporate</t>
        </is>
      </c>
      <c r="BU151" s="85" t="inlineStr">
        <is>
          <t/>
        </is>
      </c>
      <c r="BV151" s="86" t="inlineStr">
        <is>
          <t/>
        </is>
      </c>
      <c r="BW151" s="87" t="inlineStr">
        <is>
          <t/>
        </is>
      </c>
      <c r="BX151" s="88" t="inlineStr">
        <is>
          <t>Failed/Cancelled</t>
        </is>
      </c>
      <c r="BY151" s="89" t="n">
        <v>39374.0</v>
      </c>
      <c r="BZ151" s="90" t="inlineStr">
        <is>
          <t/>
        </is>
      </c>
      <c r="CA151" s="91" t="inlineStr">
        <is>
          <t/>
        </is>
      </c>
      <c r="CB151" s="92" t="inlineStr">
        <is>
          <t/>
        </is>
      </c>
      <c r="CC151" s="93" t="inlineStr">
        <is>
          <t/>
        </is>
      </c>
      <c r="CD151" s="94" t="inlineStr">
        <is>
          <t>Merger/Acquisition</t>
        </is>
      </c>
      <c r="CE151" s="95" t="inlineStr">
        <is>
          <t/>
        </is>
      </c>
      <c r="CF151" s="96" t="inlineStr">
        <is>
          <t/>
        </is>
      </c>
      <c r="CG151" s="97" t="inlineStr">
        <is>
          <t>Corporate</t>
        </is>
      </c>
      <c r="CH151" s="98" t="inlineStr">
        <is>
          <t/>
        </is>
      </c>
      <c r="CI151" s="99" t="inlineStr">
        <is>
          <t/>
        </is>
      </c>
      <c r="CJ151" s="100" t="inlineStr">
        <is>
          <t/>
        </is>
      </c>
      <c r="CK151" s="101" t="inlineStr">
        <is>
          <t>Failed/Cancelled</t>
        </is>
      </c>
      <c r="CL151" s="102" t="inlineStr">
        <is>
          <t/>
        </is>
      </c>
      <c r="CM151" s="103" t="inlineStr">
        <is>
          <t/>
        </is>
      </c>
      <c r="CN151" s="104" t="n">
        <v>0.34</v>
      </c>
      <c r="CO151" s="105" t="n">
        <v>92.0</v>
      </c>
      <c r="CP151" s="106" t="n">
        <v>0.01</v>
      </c>
      <c r="CQ151" s="107" t="n">
        <v>1.5</v>
      </c>
      <c r="CR151" s="108" t="n">
        <v>-0.12</v>
      </c>
      <c r="CS151" s="109" t="n">
        <v>12.0</v>
      </c>
      <c r="CT151" s="110" t="n">
        <v>-0.05</v>
      </c>
      <c r="CU151" s="111" t="n">
        <v>15.0</v>
      </c>
      <c r="CV151" s="112" t="n">
        <v>-0.42</v>
      </c>
      <c r="CW151" s="113" t="n">
        <v>30.0</v>
      </c>
      <c r="CX151" s="114" t="n">
        <v>0.18</v>
      </c>
      <c r="CY151" s="115" t="n">
        <v>88.0</v>
      </c>
      <c r="CZ151" s="116" t="n">
        <v>-0.05</v>
      </c>
      <c r="DA151" s="117" t="n">
        <v>19.0</v>
      </c>
      <c r="DB151" s="118" t="n">
        <v>179.15</v>
      </c>
      <c r="DC151" s="119" t="n">
        <v>100.0</v>
      </c>
      <c r="DD151" s="120" t="n">
        <v>14.23</v>
      </c>
      <c r="DE151" s="121" t="n">
        <v>8.63</v>
      </c>
      <c r="DF151" s="122" t="n">
        <v>335.28</v>
      </c>
      <c r="DG151" s="123" t="n">
        <v>100.0</v>
      </c>
      <c r="DH151" s="124" t="n">
        <v>199.63</v>
      </c>
      <c r="DI151" s="125" t="n">
        <v>99.0</v>
      </c>
      <c r="DJ151" s="126" t="n">
        <v>336.23</v>
      </c>
      <c r="DK151" s="127" t="n">
        <v>99.0</v>
      </c>
      <c r="DL151" s="128" t="n">
        <v>334.32</v>
      </c>
      <c r="DM151" s="129" t="n">
        <v>100.0</v>
      </c>
      <c r="DN151" s="130" t="n">
        <v>199.63</v>
      </c>
      <c r="DO151" s="131" t="n">
        <v>99.0</v>
      </c>
      <c r="DP151" s="132" t="n">
        <v>240834.0</v>
      </c>
      <c r="DQ151" s="133" t="n">
        <v>-9893.0</v>
      </c>
      <c r="DR151" s="134" t="n">
        <v>-3.95</v>
      </c>
      <c r="DS151" s="135" t="n">
        <v>11338.0</v>
      </c>
      <c r="DT151" s="136" t="n">
        <v>57.0</v>
      </c>
      <c r="DU151" s="137" t="n">
        <v>0.51</v>
      </c>
      <c r="DV151" s="138" t="n">
        <v>71697.0</v>
      </c>
      <c r="DW151" s="139" t="n">
        <v>-59.0</v>
      </c>
      <c r="DX151" s="140" t="n">
        <v>-0.08</v>
      </c>
      <c r="DY151" s="141" t="inlineStr">
        <is>
          <t>PitchBook Research</t>
        </is>
      </c>
      <c r="DZ151" s="142" t="n">
        <v>43526.0</v>
      </c>
      <c r="EA151" s="143" t="inlineStr">
        <is>
          <t/>
        </is>
      </c>
      <c r="EB151" s="144" t="inlineStr">
        <is>
          <t/>
        </is>
      </c>
      <c r="EC151" s="145" t="inlineStr">
        <is>
          <t/>
        </is>
      </c>
      <c r="ED151" s="547">
        <f>HYPERLINK("https://my.pitchbook.com?c=10799-83", "View company online")</f>
      </c>
    </row>
    <row r="152">
      <c r="A152" s="147" t="inlineStr">
        <is>
          <t>10331-65</t>
        </is>
      </c>
      <c r="B152" s="148" t="inlineStr">
        <is>
          <t>Kellwood Company</t>
        </is>
      </c>
      <c r="C152" s="149" t="inlineStr">
        <is>
          <t/>
        </is>
      </c>
      <c r="D152" s="150" t="inlineStr">
        <is>
          <t>Kellwood</t>
        </is>
      </c>
      <c r="E152" s="151" t="inlineStr">
        <is>
          <t>10331-65</t>
        </is>
      </c>
      <c r="F152" s="152" t="inlineStr">
        <is>
          <t>Manufacturer and marketer of fashion brands for men, women and girls. The company designs, manufactures and markets a collection of brands across a range of consumer lifestyles, including Vince, Rebecca Taylor, David Meister, Zobha, Sag Harbor, Briggs NY, Jolt, My Michelle, and XOXO. It operates retail stores and e-commerce sites for Vince, Rebecca Taylor and Zobha, as well as the e-commerce store for David Meister.</t>
        </is>
      </c>
      <c r="G152" s="153" t="inlineStr">
        <is>
          <t>Consumer Products and Services (B2C)</t>
        </is>
      </c>
      <c r="H152" s="154" t="inlineStr">
        <is>
          <t>Apparel and Accessories</t>
        </is>
      </c>
      <c r="I152" s="155" t="inlineStr">
        <is>
          <t>Clothing</t>
        </is>
      </c>
      <c r="J152" s="156" t="inlineStr">
        <is>
          <t>Clothing*, Internet Retail, Specialty Retail</t>
        </is>
      </c>
      <c r="K152" s="157" t="inlineStr">
        <is>
          <t>Manufacturing</t>
        </is>
      </c>
      <c r="L152" s="158" t="inlineStr">
        <is>
          <t>fashion designer, men's fashion, specialty retail, women's fashion</t>
        </is>
      </c>
      <c r="M152" s="159" t="inlineStr">
        <is>
          <t>Formerly PE-Backed</t>
        </is>
      </c>
      <c r="N152" s="160" t="inlineStr">
        <is>
          <t/>
        </is>
      </c>
      <c r="O152" s="161" t="inlineStr">
        <is>
          <t>Generating Revenue</t>
        </is>
      </c>
      <c r="P152" s="162" t="inlineStr">
        <is>
          <t>Acquired/Merged</t>
        </is>
      </c>
      <c r="Q152" s="163" t="inlineStr">
        <is>
          <t>Private Equity, Publicly Listed</t>
        </is>
      </c>
      <c r="R152" s="164" t="inlineStr">
        <is>
          <t/>
        </is>
      </c>
      <c r="S152" s="165" t="n">
        <v>2000.0</v>
      </c>
      <c r="T152" s="166" t="inlineStr">
        <is>
          <t>2000: 20100, 2001: 25000, 2007: 30000, 2009: 2000</t>
        </is>
      </c>
      <c r="U152" s="167" t="inlineStr">
        <is>
          <t/>
        </is>
      </c>
      <c r="V152" s="168" t="inlineStr">
        <is>
          <t/>
        </is>
      </c>
      <c r="W152" s="169" t="n">
        <v>1961.0</v>
      </c>
      <c r="X152" s="170" t="inlineStr">
        <is>
          <t/>
        </is>
      </c>
      <c r="Y152" s="171" t="inlineStr">
        <is>
          <t/>
        </is>
      </c>
      <c r="Z152" s="172" t="inlineStr">
        <is>
          <t/>
        </is>
      </c>
      <c r="AA152" s="173" t="n">
        <v>1635.04</v>
      </c>
      <c r="AB152" s="174" t="n">
        <v>400.25</v>
      </c>
      <c r="AC152" s="175" t="n">
        <v>-52.55</v>
      </c>
      <c r="AD152" s="176" t="n">
        <v>768.32</v>
      </c>
      <c r="AE152" s="177" t="n">
        <v>-53.88</v>
      </c>
      <c r="AF152" s="178" t="inlineStr">
        <is>
          <t>TTM 3Q2008</t>
        </is>
      </c>
      <c r="AG152" s="179" t="inlineStr">
        <is>
          <t/>
        </is>
      </c>
      <c r="AH152" s="180" t="inlineStr">
        <is>
          <t/>
        </is>
      </c>
      <c r="AI152" s="181" t="inlineStr">
        <is>
          <t/>
        </is>
      </c>
      <c r="AJ152" s="182" t="inlineStr">
        <is>
          <t>152851-78P</t>
        </is>
      </c>
      <c r="AK152" s="183" t="inlineStr">
        <is>
          <t>David Falwell</t>
        </is>
      </c>
      <c r="AL152" s="184" t="inlineStr">
        <is>
          <t>Chief Executive Officer</t>
        </is>
      </c>
      <c r="AM152" s="185" t="inlineStr">
        <is>
          <t>david.falwell@kellwood.com</t>
        </is>
      </c>
      <c r="AN152" s="186" t="inlineStr">
        <is>
          <t>+1 (212) 515-2600</t>
        </is>
      </c>
      <c r="AO152" s="187" t="inlineStr">
        <is>
          <t>New York, NY</t>
        </is>
      </c>
      <c r="AP152" s="188" t="inlineStr">
        <is>
          <t>1441 Broadway</t>
        </is>
      </c>
      <c r="AQ152" s="189" t="inlineStr">
        <is>
          <t>Floor 7</t>
        </is>
      </c>
      <c r="AR152" s="190" t="inlineStr">
        <is>
          <t>New York</t>
        </is>
      </c>
      <c r="AS152" s="191" t="inlineStr">
        <is>
          <t>New York</t>
        </is>
      </c>
      <c r="AT152" s="192" t="inlineStr">
        <is>
          <t>10018</t>
        </is>
      </c>
      <c r="AU152" s="193" t="inlineStr">
        <is>
          <t>United States</t>
        </is>
      </c>
      <c r="AV152" s="194" t="inlineStr">
        <is>
          <t>+1 (212) 515-2600</t>
        </is>
      </c>
      <c r="AW152" s="195" t="inlineStr">
        <is>
          <t>+1 (314) 576-3434</t>
        </is>
      </c>
      <c r="AX152" s="196" t="inlineStr">
        <is>
          <t>info@kellwood.com</t>
        </is>
      </c>
      <c r="AY152" s="197" t="inlineStr">
        <is>
          <t>Americas</t>
        </is>
      </c>
      <c r="AZ152" s="198" t="inlineStr">
        <is>
          <t>North America</t>
        </is>
      </c>
      <c r="BA152" s="199" t="inlineStr">
        <is>
          <t>The company was acquired by Oneworld Star International for $156 million on December 21, 2016.</t>
        </is>
      </c>
      <c r="BB152" s="200" t="inlineStr">
        <is>
          <t/>
        </is>
      </c>
      <c r="BC152" s="201" t="inlineStr">
        <is>
          <t/>
        </is>
      </c>
      <c r="BD152" s="202" t="inlineStr">
        <is>
          <t>Oneworld Star Holdings</t>
        </is>
      </c>
      <c r="BE152" s="203" t="inlineStr">
        <is>
          <t>Sun Capital Partners</t>
        </is>
      </c>
      <c r="BF152" s="204" t="inlineStr">
        <is>
          <t/>
        </is>
      </c>
      <c r="BG152" s="205" t="inlineStr">
        <is>
          <t/>
        </is>
      </c>
      <c r="BH152" s="206" t="inlineStr">
        <is>
          <t>Sun Capital Partners(www.suncappart.com)</t>
        </is>
      </c>
      <c r="BI152" s="207" t="inlineStr">
        <is>
          <t/>
        </is>
      </c>
      <c r="BJ152" s="208" t="inlineStr">
        <is>
          <t>Financo(Advisor: General), The Stump Companies(Advisor: General)</t>
        </is>
      </c>
      <c r="BK152" s="209" t="inlineStr">
        <is>
          <t>Bank of America Merrill Lynch(Advisor: General), Bear Stearns(Underwriter), Citigroup(Advisor: General), Consensus Advisory Services(Advisor: General), Credit Suisse(Advisor: General), Financo(Advisor: General), J.P. Morgan(Underwriter), Kirkland &amp; Ellis(Legal Advisor), Lazard(Underwriter), McDermott Will &amp; Emery(Legal Advisor), Merrill Lynch Pierce Fenner &amp; Smith(Underwriter), Morgan Stanley(Advisor: General), Robert W. Baird &amp; Co.(Underwriter), SBC Warburg Dillon Read(Underwriter), Sonnenschein Nath &amp; Rosenthal(Legal Advisor), The Goldman Sachs Group(Underwriter), Threadstone Advisors(Advisor: General), UBS(Underwriter)</t>
        </is>
      </c>
      <c r="BL152" s="210" t="n">
        <v>26982.0</v>
      </c>
      <c r="BM152" s="211" t="inlineStr">
        <is>
          <t/>
        </is>
      </c>
      <c r="BN152" s="212" t="inlineStr">
        <is>
          <t/>
        </is>
      </c>
      <c r="BO152" s="213" t="inlineStr">
        <is>
          <t/>
        </is>
      </c>
      <c r="BP152" s="214" t="inlineStr">
        <is>
          <t/>
        </is>
      </c>
      <c r="BQ152" s="215" t="inlineStr">
        <is>
          <t>IPO</t>
        </is>
      </c>
      <c r="BR152" s="216" t="inlineStr">
        <is>
          <t/>
        </is>
      </c>
      <c r="BS152" s="217" t="inlineStr">
        <is>
          <t/>
        </is>
      </c>
      <c r="BT152" s="218" t="inlineStr">
        <is>
          <t>Public Investment</t>
        </is>
      </c>
      <c r="BU152" s="219" t="inlineStr">
        <is>
          <t/>
        </is>
      </c>
      <c r="BV152" s="220" t="inlineStr">
        <is>
          <t/>
        </is>
      </c>
      <c r="BW152" s="221" t="inlineStr">
        <is>
          <t/>
        </is>
      </c>
      <c r="BX152" s="222" t="inlineStr">
        <is>
          <t>Completed</t>
        </is>
      </c>
      <c r="BY152" s="223" t="n">
        <v>42725.0</v>
      </c>
      <c r="BZ152" s="224" t="n">
        <v>156.0</v>
      </c>
      <c r="CA152" s="225" t="inlineStr">
        <is>
          <t>Actual</t>
        </is>
      </c>
      <c r="CB152" s="226" t="n">
        <v>156.0</v>
      </c>
      <c r="CC152" s="227" t="inlineStr">
        <is>
          <t>Actual</t>
        </is>
      </c>
      <c r="CD152" s="228" t="inlineStr">
        <is>
          <t>Merger/Acquisition</t>
        </is>
      </c>
      <c r="CE152" s="229" t="inlineStr">
        <is>
          <t/>
        </is>
      </c>
      <c r="CF152" s="230" t="inlineStr">
        <is>
          <t/>
        </is>
      </c>
      <c r="CG152" s="231" t="inlineStr">
        <is>
          <t>Corporate</t>
        </is>
      </c>
      <c r="CH152" s="232" t="inlineStr">
        <is>
          <t/>
        </is>
      </c>
      <c r="CI152" s="233" t="inlineStr">
        <is>
          <t/>
        </is>
      </c>
      <c r="CJ152" s="234" t="inlineStr">
        <is>
          <t/>
        </is>
      </c>
      <c r="CK152" s="235" t="inlineStr">
        <is>
          <t>Completed</t>
        </is>
      </c>
      <c r="CL152" s="236" t="inlineStr">
        <is>
          <t/>
        </is>
      </c>
      <c r="CM152" s="237" t="inlineStr">
        <is>
          <t/>
        </is>
      </c>
      <c r="CN152" s="238" t="inlineStr">
        <is>
          <t/>
        </is>
      </c>
      <c r="CO152" s="239" t="inlineStr">
        <is>
          <t/>
        </is>
      </c>
      <c r="CP152" s="240" t="inlineStr">
        <is>
          <t/>
        </is>
      </c>
      <c r="CQ152" s="241" t="inlineStr">
        <is>
          <t/>
        </is>
      </c>
      <c r="CR152" s="242" t="inlineStr">
        <is>
          <t/>
        </is>
      </c>
      <c r="CS152" s="243" t="inlineStr">
        <is>
          <t/>
        </is>
      </c>
      <c r="CT152" s="244" t="inlineStr">
        <is>
          <t/>
        </is>
      </c>
      <c r="CU152" s="245" t="inlineStr">
        <is>
          <t/>
        </is>
      </c>
      <c r="CV152" s="246" t="inlineStr">
        <is>
          <t/>
        </is>
      </c>
      <c r="CW152" s="247" t="inlineStr">
        <is>
          <t/>
        </is>
      </c>
      <c r="CX152" s="248" t="inlineStr">
        <is>
          <t/>
        </is>
      </c>
      <c r="CY152" s="249" t="inlineStr">
        <is>
          <t/>
        </is>
      </c>
      <c r="CZ152" s="250" t="inlineStr">
        <is>
          <t/>
        </is>
      </c>
      <c r="DA152" s="251" t="inlineStr">
        <is>
          <t/>
        </is>
      </c>
      <c r="DB152" s="252" t="inlineStr">
        <is>
          <t/>
        </is>
      </c>
      <c r="DC152" s="253" t="inlineStr">
        <is>
          <t/>
        </is>
      </c>
      <c r="DD152" s="254" t="inlineStr">
        <is>
          <t/>
        </is>
      </c>
      <c r="DE152" s="255" t="inlineStr">
        <is>
          <t/>
        </is>
      </c>
      <c r="DF152" s="256" t="inlineStr">
        <is>
          <t/>
        </is>
      </c>
      <c r="DG152" s="257" t="inlineStr">
        <is>
          <t/>
        </is>
      </c>
      <c r="DH152" s="258" t="inlineStr">
        <is>
          <t/>
        </is>
      </c>
      <c r="DI152" s="259" t="inlineStr">
        <is>
          <t/>
        </is>
      </c>
      <c r="DJ152" s="260" t="inlineStr">
        <is>
          <t/>
        </is>
      </c>
      <c r="DK152" s="261" t="inlineStr">
        <is>
          <t/>
        </is>
      </c>
      <c r="DL152" s="262" t="inlineStr">
        <is>
          <t/>
        </is>
      </c>
      <c r="DM152" s="263" t="inlineStr">
        <is>
          <t/>
        </is>
      </c>
      <c r="DN152" s="264" t="inlineStr">
        <is>
          <t/>
        </is>
      </c>
      <c r="DO152" s="265" t="inlineStr">
        <is>
          <t/>
        </is>
      </c>
      <c r="DP152" s="266" t="inlineStr">
        <is>
          <t/>
        </is>
      </c>
      <c r="DQ152" s="267" t="inlineStr">
        <is>
          <t/>
        </is>
      </c>
      <c r="DR152" s="268" t="inlineStr">
        <is>
          <t/>
        </is>
      </c>
      <c r="DS152" s="269" t="inlineStr">
        <is>
          <t/>
        </is>
      </c>
      <c r="DT152" s="270" t="inlineStr">
        <is>
          <t/>
        </is>
      </c>
      <c r="DU152" s="271" t="inlineStr">
        <is>
          <t/>
        </is>
      </c>
      <c r="DV152" s="272" t="inlineStr">
        <is>
          <t/>
        </is>
      </c>
      <c r="DW152" s="273" t="inlineStr">
        <is>
          <t/>
        </is>
      </c>
      <c r="DX152" s="274" t="inlineStr">
        <is>
          <t/>
        </is>
      </c>
      <c r="DY152" s="275" t="inlineStr">
        <is>
          <t>PitchBook Research</t>
        </is>
      </c>
      <c r="DZ152" s="276" t="n">
        <v>43351.0</v>
      </c>
      <c r="EA152" s="277" t="n">
        <v>156.0</v>
      </c>
      <c r="EB152" s="278" t="n">
        <v>42725.0</v>
      </c>
      <c r="EC152" s="279" t="inlineStr">
        <is>
          <t>Merger/Acquisition</t>
        </is>
      </c>
      <c r="ED152" s="548">
        <f>HYPERLINK("https://my.pitchbook.com?c=10331-65", "View company online")</f>
      </c>
    </row>
    <row r="153">
      <c r="A153" s="13" t="inlineStr">
        <is>
          <t>51676-48</t>
        </is>
      </c>
      <c r="B153" s="14" t="inlineStr">
        <is>
          <t>Acushnet Holdings (NYS: GOLF)</t>
        </is>
      </c>
      <c r="C153" s="15" t="inlineStr">
        <is>
          <t>Acushnet Process Company</t>
        </is>
      </c>
      <c r="D153" s="16" t="inlineStr">
        <is>
          <t>Acushnet Company</t>
        </is>
      </c>
      <c r="E153" s="17" t="inlineStr">
        <is>
          <t>51676-48</t>
        </is>
      </c>
      <c r="F153" s="18" t="inlineStr">
        <is>
          <t>Acushnet Holdings Corp is a US-based company engaged in the design, development, manufacture, and distribution of golf products. Its product category includes golf balls, golf shoes, golf clubs, wedges, putters, golf gloves, golf gear and golf wear, of which key revenue is derived from the sales of golf balls and golf gloves. The operating segments of the company are Titleist golf balls, Titleist golf clubs, Titleist golf gear and FootJoy golf wear. The company operates in the United States, EMEA, Japan, Korea and other countries, of which a majority of the revenue is generated from the operations in the United States.</t>
        </is>
      </c>
      <c r="G153" s="19" t="inlineStr">
        <is>
          <t>Consumer Products and Services (B2C)</t>
        </is>
      </c>
      <c r="H153" s="20" t="inlineStr">
        <is>
          <t>Consumer Durables</t>
        </is>
      </c>
      <c r="I153" s="21" t="inlineStr">
        <is>
          <t>Recreational Goods</t>
        </is>
      </c>
      <c r="J153" s="22" t="inlineStr">
        <is>
          <t>Footwear, Recreational Goods*</t>
        </is>
      </c>
      <c r="K153" s="23" t="inlineStr">
        <is>
          <t>Manufacturing</t>
        </is>
      </c>
      <c r="L153" s="24" t="inlineStr">
        <is>
          <t>golf accessories, outerwear</t>
        </is>
      </c>
      <c r="M153" s="25" t="inlineStr">
        <is>
          <t>Formerly PE-Backed</t>
        </is>
      </c>
      <c r="N153" s="26" t="inlineStr">
        <is>
          <t/>
        </is>
      </c>
      <c r="O153" s="27" t="inlineStr">
        <is>
          <t>Profitable</t>
        </is>
      </c>
      <c r="P153" s="28" t="inlineStr">
        <is>
          <t>Publicly Held</t>
        </is>
      </c>
      <c r="Q153" s="29" t="inlineStr">
        <is>
          <t>Private Equity, Publicly Listed, Venture Capital</t>
        </is>
      </c>
      <c r="R153" s="30" t="inlineStr">
        <is>
          <t>www.acushnetholdingscorp.com</t>
        </is>
      </c>
      <c r="S153" s="31" t="n">
        <v>5209.0</v>
      </c>
      <c r="T153" s="32" t="inlineStr">
        <is>
          <t>2015: 1015, 2016: 5228, 2017: 5230, 2018: 5209</t>
        </is>
      </c>
      <c r="U153" s="33" t="inlineStr">
        <is>
          <t>NYS</t>
        </is>
      </c>
      <c r="V153" s="34" t="inlineStr">
        <is>
          <t>GOLF</t>
        </is>
      </c>
      <c r="W153" s="35" t="n">
        <v>1910.0</v>
      </c>
      <c r="X153" s="36" t="inlineStr">
        <is>
          <t/>
        </is>
      </c>
      <c r="Y153" s="37" t="inlineStr">
        <is>
          <t/>
        </is>
      </c>
      <c r="Z153" s="38" t="inlineStr">
        <is>
          <t>News (New) </t>
        </is>
      </c>
      <c r="AA153" s="39" t="n">
        <v>1633.72</v>
      </c>
      <c r="AB153" s="40" t="n">
        <v>842.35</v>
      </c>
      <c r="AC153" s="41" t="n">
        <v>99.87</v>
      </c>
      <c r="AD153" s="42" t="n">
        <v>1951.6</v>
      </c>
      <c r="AE153" s="43" t="n">
        <v>208.73</v>
      </c>
      <c r="AF153" s="44" t="inlineStr">
        <is>
          <t>FY 2018</t>
        </is>
      </c>
      <c r="AG153" s="45" t="n">
        <v>168.23</v>
      </c>
      <c r="AH153" s="46" t="n">
        <v>1693.41</v>
      </c>
      <c r="AI153" s="47" t="n">
        <v>352.48</v>
      </c>
      <c r="AJ153" s="48" t="inlineStr">
        <is>
          <t>89553-61P</t>
        </is>
      </c>
      <c r="AK153" s="49" t="inlineStr">
        <is>
          <t>Peg Nicholson</t>
        </is>
      </c>
      <c r="AL153" s="50" t="inlineStr">
        <is>
          <t>Co-Chief Information Officer &amp; Senior Vice President</t>
        </is>
      </c>
      <c r="AM153" s="51" t="inlineStr">
        <is>
          <t>peg_nicholson@acushnetgolf.com</t>
        </is>
      </c>
      <c r="AN153" s="52" t="inlineStr">
        <is>
          <t>+1 (800) 225-8500</t>
        </is>
      </c>
      <c r="AO153" s="53" t="inlineStr">
        <is>
          <t>Fairhaven, MA</t>
        </is>
      </c>
      <c r="AP153" s="54" t="inlineStr">
        <is>
          <t>333 Bridge Street</t>
        </is>
      </c>
      <c r="AQ153" s="55" t="inlineStr">
        <is>
          <t/>
        </is>
      </c>
      <c r="AR153" s="56" t="inlineStr">
        <is>
          <t>Fairhaven</t>
        </is>
      </c>
      <c r="AS153" s="57" t="inlineStr">
        <is>
          <t>Massachusetts</t>
        </is>
      </c>
      <c r="AT153" s="58" t="inlineStr">
        <is>
          <t>02719</t>
        </is>
      </c>
      <c r="AU153" s="59" t="inlineStr">
        <is>
          <t>United States</t>
        </is>
      </c>
      <c r="AV153" s="60" t="inlineStr">
        <is>
          <t>+1 (800) 225-8500</t>
        </is>
      </c>
      <c r="AW153" s="61" t="inlineStr">
        <is>
          <t>+1 (508) 979-3927</t>
        </is>
      </c>
      <c r="AX153" s="62" t="inlineStr">
        <is>
          <t>peter.marshall@acushnetcompany.com</t>
        </is>
      </c>
      <c r="AY153" s="63" t="inlineStr">
        <is>
          <t>Americas</t>
        </is>
      </c>
      <c r="AZ153" s="64" t="inlineStr">
        <is>
          <t>North America</t>
        </is>
      </c>
      <c r="BA153" s="65" t="inlineStr">
        <is>
          <t>The company completed its initial public offering on the New York stock exchange under the ticker symbol of GOLF on October 28, 2016. A total of 19,333,333 shares were sold at a price of $17 per share. After the offering, there was a total of 74,093,598 outstanding shares priced at $17 per share, valuing the company at $1.25 billion. The company did not issue any shares and will not receive any proceeds from the offering. The underwriters were granted an option to purchase up to an additional 2,899,999 shares from the selling shareholders to cover-allotments, if any.</t>
        </is>
      </c>
      <c r="BB153" s="66" t="inlineStr">
        <is>
          <t>Fila Korea</t>
        </is>
      </c>
      <c r="BC153" s="67" t="n">
        <v>1.0</v>
      </c>
      <c r="BD153" s="68" t="inlineStr">
        <is>
          <t/>
        </is>
      </c>
      <c r="BE153" s="69" t="inlineStr">
        <is>
          <t>Beam Suntory, CDIB Capital International, China Investment Corporation, Korea Development Bank, Mirae Asset Private Equity, National Pension Service, Neoplux, The Blackstone Group, Woori Bank</t>
        </is>
      </c>
      <c r="BF153" s="70" t="inlineStr">
        <is>
          <t>Adidas, Callaway Golf Company, Nike, Roger Cleveland Golf Company</t>
        </is>
      </c>
      <c r="BG153" s="71" t="inlineStr">
        <is>
          <t>Fila Korea(info.fila.co.kr)</t>
        </is>
      </c>
      <c r="BH153" s="72" t="inlineStr">
        <is>
          <t>CDIB Capital International(www.cdibcapital.com), China Investment Corporation(www.china-inv.cn), Korea Development Bank(www.kdb.co.kr), National Pension Service(www.nps.or.kr), Neoplux(www.neoplux.co.kr), The Blackstone Group(www.blackstone.com), Woori Bank(spot.wooribank.com)</t>
        </is>
      </c>
      <c r="BI153" s="73" t="inlineStr">
        <is>
          <t>Adidas(www.adidas-group.com), Callaway Golf Company(cmp.callawaygolf.com), Nike(www.nike.com), Roger Cleveland Golf Company(www.clevelandgolf.com)</t>
        </is>
      </c>
      <c r="BJ153" s="74" t="inlineStr">
        <is>
          <t/>
        </is>
      </c>
      <c r="BK153" s="75" t="inlineStr">
        <is>
          <t>Centerview Partners(Advisor: General), Chadbourne &amp; Parke(Legal Advisor), Credit Suisse Securities (USA)(Underwriter), D.A. Davidson Companies(Underwriter), Daiwa Securities Group(Underwriter), Deutsche Bank (Corporate &amp; Investment Bank)(Underwriter), J.P. Morgan(Underwriter), Jefferies Group(Underwriter), KeyBank(Underwriter), KPMG Corporate Finance(Advisor: General), Morgan Stanley(Underwriter), Nomura Securities(Underwriter), PwC(Accounting), Raymond James Financial(Underwriter), Simpson Thacher &amp; Bartlett(Legal Advisor), SunTrust Robinson Humphrey(Underwriter), UBS(Underwriter), Wells Fargo Securities(Underwriter)</t>
        </is>
      </c>
      <c r="BL153" s="76" t="n">
        <v>40753.0</v>
      </c>
      <c r="BM153" s="77" t="n">
        <v>1225.0</v>
      </c>
      <c r="BN153" s="78" t="inlineStr">
        <is>
          <t>Actual</t>
        </is>
      </c>
      <c r="BO153" s="79" t="n">
        <v>1225.0</v>
      </c>
      <c r="BP153" s="80" t="inlineStr">
        <is>
          <t>Actual</t>
        </is>
      </c>
      <c r="BQ153" s="81" t="inlineStr">
        <is>
          <t>Buyout/LBO</t>
        </is>
      </c>
      <c r="BR153" s="82" t="inlineStr">
        <is>
          <t>Corporate Divestiture</t>
        </is>
      </c>
      <c r="BS153" s="83" t="inlineStr">
        <is>
          <t/>
        </is>
      </c>
      <c r="BT153" s="84" t="inlineStr">
        <is>
          <t>Private Equity</t>
        </is>
      </c>
      <c r="BU153" s="85" t="inlineStr">
        <is>
          <t/>
        </is>
      </c>
      <c r="BV153" s="86" t="inlineStr">
        <is>
          <t/>
        </is>
      </c>
      <c r="BW153" s="87" t="inlineStr">
        <is>
          <t/>
        </is>
      </c>
      <c r="BX153" s="88" t="inlineStr">
        <is>
          <t>Completed</t>
        </is>
      </c>
      <c r="BY153" s="89" t="n">
        <v>42671.0</v>
      </c>
      <c r="BZ153" s="90" t="n">
        <v>328.67</v>
      </c>
      <c r="CA153" s="91" t="inlineStr">
        <is>
          <t>Actual</t>
        </is>
      </c>
      <c r="CB153" s="92" t="n">
        <v>1259.59</v>
      </c>
      <c r="CC153" s="93" t="inlineStr">
        <is>
          <t>Estimated</t>
        </is>
      </c>
      <c r="CD153" s="94" t="inlineStr">
        <is>
          <t>IPO</t>
        </is>
      </c>
      <c r="CE153" s="95" t="inlineStr">
        <is>
          <t/>
        </is>
      </c>
      <c r="CF153" s="96" t="inlineStr">
        <is>
          <t/>
        </is>
      </c>
      <c r="CG153" s="97" t="inlineStr">
        <is>
          <t>Public Investment</t>
        </is>
      </c>
      <c r="CH153" s="98" t="inlineStr">
        <is>
          <t/>
        </is>
      </c>
      <c r="CI153" s="99" t="inlineStr">
        <is>
          <t/>
        </is>
      </c>
      <c r="CJ153" s="100" t="inlineStr">
        <is>
          <t/>
        </is>
      </c>
      <c r="CK153" s="101" t="inlineStr">
        <is>
          <t>Completed</t>
        </is>
      </c>
      <c r="CL153" s="102" t="inlineStr">
        <is>
          <t/>
        </is>
      </c>
      <c r="CM153" s="103" t="inlineStr">
        <is>
          <t/>
        </is>
      </c>
      <c r="CN153" s="104" t="n">
        <v>-0.92</v>
      </c>
      <c r="CO153" s="105" t="n">
        <v>5.0</v>
      </c>
      <c r="CP153" s="106" t="n">
        <v>-0.46</v>
      </c>
      <c r="CQ153" s="107" t="n">
        <v>-100.0</v>
      </c>
      <c r="CR153" s="108" t="n">
        <v>-0.92</v>
      </c>
      <c r="CS153" s="109" t="n">
        <v>6.0</v>
      </c>
      <c r="CT153" s="110" t="inlineStr">
        <is>
          <t/>
        </is>
      </c>
      <c r="CU153" s="111" t="inlineStr">
        <is>
          <t/>
        </is>
      </c>
      <c r="CV153" s="112" t="n">
        <v>-0.92</v>
      </c>
      <c r="CW153" s="113" t="n">
        <v>27.0</v>
      </c>
      <c r="CX153" s="114" t="inlineStr">
        <is>
          <t/>
        </is>
      </c>
      <c r="CY153" s="115" t="inlineStr">
        <is>
          <t/>
        </is>
      </c>
      <c r="CZ153" s="116" t="inlineStr">
        <is>
          <t/>
        </is>
      </c>
      <c r="DA153" s="117" t="inlineStr">
        <is>
          <t/>
        </is>
      </c>
      <c r="DB153" s="118" t="n">
        <v>1.18</v>
      </c>
      <c r="DC153" s="119" t="n">
        <v>55.0</v>
      </c>
      <c r="DD153" s="120" t="n">
        <v>0.54</v>
      </c>
      <c r="DE153" s="121" t="n">
        <v>85.2</v>
      </c>
      <c r="DF153" s="122" t="n">
        <v>1.18</v>
      </c>
      <c r="DG153" s="123" t="n">
        <v>55.0</v>
      </c>
      <c r="DH153" s="124" t="inlineStr">
        <is>
          <t/>
        </is>
      </c>
      <c r="DI153" s="125" t="inlineStr">
        <is>
          <t/>
        </is>
      </c>
      <c r="DJ153" s="126" t="n">
        <v>1.18</v>
      </c>
      <c r="DK153" s="127" t="n">
        <v>54.0</v>
      </c>
      <c r="DL153" s="128" t="inlineStr">
        <is>
          <t/>
        </is>
      </c>
      <c r="DM153" s="129" t="inlineStr">
        <is>
          <t/>
        </is>
      </c>
      <c r="DN153" s="130" t="inlineStr">
        <is>
          <t/>
        </is>
      </c>
      <c r="DO153" s="131" t="inlineStr">
        <is>
          <t/>
        </is>
      </c>
      <c r="DP153" s="132" t="n">
        <v>842.0</v>
      </c>
      <c r="DQ153" s="133" t="n">
        <v>-30.0</v>
      </c>
      <c r="DR153" s="134" t="n">
        <v>-3.44</v>
      </c>
      <c r="DS153" s="135" t="inlineStr">
        <is>
          <t/>
        </is>
      </c>
      <c r="DT153" s="136" t="inlineStr">
        <is>
          <t/>
        </is>
      </c>
      <c r="DU153" s="137" t="inlineStr">
        <is>
          <t/>
        </is>
      </c>
      <c r="DV153" s="138" t="inlineStr">
        <is>
          <t/>
        </is>
      </c>
      <c r="DW153" s="139" t="inlineStr">
        <is>
          <t/>
        </is>
      </c>
      <c r="DX153" s="140" t="inlineStr">
        <is>
          <t/>
        </is>
      </c>
      <c r="DY153" s="141" t="inlineStr">
        <is>
          <t>PitchBook Research</t>
        </is>
      </c>
      <c r="DZ153" s="142" t="n">
        <v>43518.0</v>
      </c>
      <c r="EA153" s="143" t="n">
        <v>1259.59</v>
      </c>
      <c r="EB153" s="144" t="n">
        <v>42671.0</v>
      </c>
      <c r="EC153" s="145" t="inlineStr">
        <is>
          <t>IPO</t>
        </is>
      </c>
      <c r="ED153" s="547">
        <f>HYPERLINK("https://my.pitchbook.com?c=51676-48", "View company online")</f>
      </c>
    </row>
    <row r="154">
      <c r="A154" s="147" t="inlineStr">
        <is>
          <t>66328-57</t>
        </is>
      </c>
      <c r="B154" s="148" t="inlineStr">
        <is>
          <t>Kalyan Jewellers India</t>
        </is>
      </c>
      <c r="C154" s="149" t="inlineStr">
        <is>
          <t/>
        </is>
      </c>
      <c r="D154" s="150" t="inlineStr">
        <is>
          <t>Kalyan Jewellers</t>
        </is>
      </c>
      <c r="E154" s="151" t="inlineStr">
        <is>
          <t>66328-57</t>
        </is>
      </c>
      <c r="F154" s="152" t="inlineStr">
        <is>
          <t>Manufacturer and retailer of jewelry. The company's product portfolio has a broad-based appeal, comprising mostly fast-moving, non-fashion jewelry that targets India's large base of mid-market consumers.</t>
        </is>
      </c>
      <c r="G154" s="153" t="inlineStr">
        <is>
          <t>Consumer Products and Services (B2C)</t>
        </is>
      </c>
      <c r="H154" s="154" t="inlineStr">
        <is>
          <t>Apparel and Accessories</t>
        </is>
      </c>
      <c r="I154" s="155" t="inlineStr">
        <is>
          <t>Accessories</t>
        </is>
      </c>
      <c r="J154" s="156" t="inlineStr">
        <is>
          <t>Accessories*, Luxury Goods, Specialty Retail</t>
        </is>
      </c>
      <c r="K154" s="157" t="inlineStr">
        <is>
          <t>Manufacturing</t>
        </is>
      </c>
      <c r="L154" s="158" t="inlineStr">
        <is>
          <t>diamond jewelry, gold bangles, gold jewelry, jewelry</t>
        </is>
      </c>
      <c r="M154" s="159" t="inlineStr">
        <is>
          <t>Private Equity-Backed</t>
        </is>
      </c>
      <c r="N154" s="160" t="n">
        <v>273.6</v>
      </c>
      <c r="O154" s="161" t="inlineStr">
        <is>
          <t>Generating Revenue</t>
        </is>
      </c>
      <c r="P154" s="162" t="inlineStr">
        <is>
          <t>Privately Held (backing)</t>
        </is>
      </c>
      <c r="Q154" s="163" t="inlineStr">
        <is>
          <t>M&amp;A, Private Equity</t>
        </is>
      </c>
      <c r="R154" s="164" t="inlineStr">
        <is>
          <t>www.kalyanjewellers.net</t>
        </is>
      </c>
      <c r="S154" s="165" t="n">
        <v>8000.0</v>
      </c>
      <c r="T154" s="166" t="inlineStr">
        <is>
          <t>2014: 4000, 2017: 4000, 2018: 8000</t>
        </is>
      </c>
      <c r="U154" s="167" t="inlineStr">
        <is>
          <t/>
        </is>
      </c>
      <c r="V154" s="168" t="inlineStr">
        <is>
          <t/>
        </is>
      </c>
      <c r="W154" s="169" t="n">
        <v>1993.0</v>
      </c>
      <c r="X154" s="170" t="inlineStr">
        <is>
          <t/>
        </is>
      </c>
      <c r="Y154" s="171" t="inlineStr">
        <is>
          <t/>
        </is>
      </c>
      <c r="Z154" s="172" t="inlineStr">
        <is>
          <t/>
        </is>
      </c>
      <c r="AA154" s="173" t="n">
        <v>1628.63</v>
      </c>
      <c r="AB154" s="174" t="inlineStr">
        <is>
          <t/>
        </is>
      </c>
      <c r="AC154" s="175" t="inlineStr">
        <is>
          <t/>
        </is>
      </c>
      <c r="AD154" s="176" t="inlineStr">
        <is>
          <t/>
        </is>
      </c>
      <c r="AE154" s="177" t="inlineStr">
        <is>
          <t/>
        </is>
      </c>
      <c r="AF154" s="178" t="inlineStr">
        <is>
          <t>FY 2018</t>
        </is>
      </c>
      <c r="AG154" s="179" t="inlineStr">
        <is>
          <t/>
        </is>
      </c>
      <c r="AH154" s="180" t="inlineStr">
        <is>
          <t/>
        </is>
      </c>
      <c r="AI154" s="181" t="inlineStr">
        <is>
          <t/>
        </is>
      </c>
      <c r="AJ154" s="182" t="inlineStr">
        <is>
          <t>63206-47P</t>
        </is>
      </c>
      <c r="AK154" s="183" t="inlineStr">
        <is>
          <t>Ramesh Kalyanaraman</t>
        </is>
      </c>
      <c r="AL154" s="184" t="inlineStr">
        <is>
          <t>Executive Director</t>
        </is>
      </c>
      <c r="AM154" s="185" t="inlineStr">
        <is>
          <t>ramesh.kalyanaraman@kalyanjewellers.net</t>
        </is>
      </c>
      <c r="AN154" s="186" t="inlineStr">
        <is>
          <t>+91 (0)48 7243 7333</t>
        </is>
      </c>
      <c r="AO154" s="187" t="inlineStr">
        <is>
          <t>Thrissur, India</t>
        </is>
      </c>
      <c r="AP154" s="188" t="inlineStr">
        <is>
          <t>TC 32 / 204 / 2</t>
        </is>
      </c>
      <c r="AQ154" s="189" t="inlineStr">
        <is>
          <t>Sitaram Mill Road, Punkunnam</t>
        </is>
      </c>
      <c r="AR154" s="190" t="inlineStr">
        <is>
          <t>Thrissur</t>
        </is>
      </c>
      <c r="AS154" s="191" t="inlineStr">
        <is>
          <t>Kerala</t>
        </is>
      </c>
      <c r="AT154" s="192" t="inlineStr">
        <is>
          <t>680002</t>
        </is>
      </c>
      <c r="AU154" s="193" t="inlineStr">
        <is>
          <t>India</t>
        </is>
      </c>
      <c r="AV154" s="194" t="inlineStr">
        <is>
          <t>+91 (0)48 7243 7333</t>
        </is>
      </c>
      <c r="AW154" s="195" t="inlineStr">
        <is>
          <t>+91 (0)48 7243 7334</t>
        </is>
      </c>
      <c r="AX154" s="196" t="inlineStr">
        <is>
          <t>contactus@kalyanjewellers.net</t>
        </is>
      </c>
      <c r="AY154" s="197" t="inlineStr">
        <is>
          <t>Asia</t>
        </is>
      </c>
      <c r="AZ154" s="198" t="inlineStr">
        <is>
          <t>South Asia</t>
        </is>
      </c>
      <c r="BA154" s="199" t="inlineStr">
        <is>
          <t>The company is planning to go public on the Bombay stock exchange on November 2, 2017. The expected offering amount is INR 30 billion. Previously, the company received $78 million of development capital from Warburg Pincus on April 3, 2017. The proceeds will be used for expansion of its network in both domestic and overseas markets. The company also has plans to nearly double its presence to 200-plus showrooms using a combination of equity, debt and internal accruals and is working on a blueprint for a foray into the e-commerce segment which will complement the physical retail network. The company is being actively tracked by PitchBook.</t>
        </is>
      </c>
      <c r="BB154" s="200" t="inlineStr">
        <is>
          <t>Warburg Pincus</t>
        </is>
      </c>
      <c r="BC154" s="201" t="n">
        <v>1.0</v>
      </c>
      <c r="BD154" s="202" t="inlineStr">
        <is>
          <t/>
        </is>
      </c>
      <c r="BE154" s="203" t="inlineStr">
        <is>
          <t/>
        </is>
      </c>
      <c r="BF154" s="204" t="inlineStr">
        <is>
          <t>Apax Partners, Bain Capital, Temasek Holdings, The Blackstone Group, TPG Capital</t>
        </is>
      </c>
      <c r="BG154" s="205" t="inlineStr">
        <is>
          <t>Warburg Pincus(www.warburgpincus.com)</t>
        </is>
      </c>
      <c r="BH154" s="206" t="inlineStr">
        <is>
          <t/>
        </is>
      </c>
      <c r="BI154" s="207" t="inlineStr">
        <is>
          <t>Apax Partners(www.apax.com), Bain Capital(www.baincapital.com), Temasek Holdings(www.temasek.com.sg), The Blackstone Group(www.blackstone.com), TPG Capital(www.tpg.com)</t>
        </is>
      </c>
      <c r="BJ154" s="208" t="inlineStr">
        <is>
          <t/>
        </is>
      </c>
      <c r="BK154" s="209" t="inlineStr">
        <is>
          <t>Axis Capital (India)(Advisor: General), ICICI Securities(Advisor: General), UBS(Advisor: General)</t>
        </is>
      </c>
      <c r="BL154" s="210" t="n">
        <v>41932.0</v>
      </c>
      <c r="BM154" s="211" t="n">
        <v>195.6</v>
      </c>
      <c r="BN154" s="212" t="inlineStr">
        <is>
          <t>Actual</t>
        </is>
      </c>
      <c r="BO154" s="213" t="n">
        <v>820.0</v>
      </c>
      <c r="BP154" s="214" t="inlineStr">
        <is>
          <t>Estimated</t>
        </is>
      </c>
      <c r="BQ154" s="215" t="inlineStr">
        <is>
          <t>PE Growth/Expansion</t>
        </is>
      </c>
      <c r="BR154" s="216" t="inlineStr">
        <is>
          <t/>
        </is>
      </c>
      <c r="BS154" s="217" t="inlineStr">
        <is>
          <t/>
        </is>
      </c>
      <c r="BT154" s="218" t="inlineStr">
        <is>
          <t>Private Equity</t>
        </is>
      </c>
      <c r="BU154" s="219" t="inlineStr">
        <is>
          <t/>
        </is>
      </c>
      <c r="BV154" s="220" t="inlineStr">
        <is>
          <t/>
        </is>
      </c>
      <c r="BW154" s="221" t="inlineStr">
        <is>
          <t/>
        </is>
      </c>
      <c r="BX154" s="222" t="inlineStr">
        <is>
          <t>Completed</t>
        </is>
      </c>
      <c r="BY154" s="223" t="inlineStr">
        <is>
          <t/>
        </is>
      </c>
      <c r="BZ154" s="224" t="n">
        <v>416.62</v>
      </c>
      <c r="CA154" s="225" t="inlineStr">
        <is>
          <t>Actual</t>
        </is>
      </c>
      <c r="CB154" s="226" t="inlineStr">
        <is>
          <t/>
        </is>
      </c>
      <c r="CC154" s="227" t="inlineStr">
        <is>
          <t/>
        </is>
      </c>
      <c r="CD154" s="228" t="inlineStr">
        <is>
          <t>IPO</t>
        </is>
      </c>
      <c r="CE154" s="229" t="inlineStr">
        <is>
          <t/>
        </is>
      </c>
      <c r="CF154" s="230" t="inlineStr">
        <is>
          <t/>
        </is>
      </c>
      <c r="CG154" s="231" t="inlineStr">
        <is>
          <t>Public Investment</t>
        </is>
      </c>
      <c r="CH154" s="232" t="inlineStr">
        <is>
          <t/>
        </is>
      </c>
      <c r="CI154" s="233" t="inlineStr">
        <is>
          <t/>
        </is>
      </c>
      <c r="CJ154" s="234" t="inlineStr">
        <is>
          <t/>
        </is>
      </c>
      <c r="CK154" s="235" t="inlineStr">
        <is>
          <t>Upcoming</t>
        </is>
      </c>
      <c r="CL154" s="236" t="inlineStr">
        <is>
          <t/>
        </is>
      </c>
      <c r="CM154" s="237" t="inlineStr">
        <is>
          <t/>
        </is>
      </c>
      <c r="CN154" s="238" t="n">
        <v>1.0</v>
      </c>
      <c r="CO154" s="239" t="n">
        <v>98.0</v>
      </c>
      <c r="CP154" s="240" t="n">
        <v>0.05</v>
      </c>
      <c r="CQ154" s="241" t="n">
        <v>4.72</v>
      </c>
      <c r="CR154" s="242" t="n">
        <v>1.97</v>
      </c>
      <c r="CS154" s="243" t="n">
        <v>99.0</v>
      </c>
      <c r="CT154" s="244" t="n">
        <v>0.03</v>
      </c>
      <c r="CU154" s="245" t="n">
        <v>60.0</v>
      </c>
      <c r="CV154" s="246" t="n">
        <v>3.17</v>
      </c>
      <c r="CW154" s="247" t="n">
        <v>94.0</v>
      </c>
      <c r="CX154" s="248" t="n">
        <v>0.78</v>
      </c>
      <c r="CY154" s="249" t="n">
        <v>96.0</v>
      </c>
      <c r="CZ154" s="250" t="n">
        <v>0.02</v>
      </c>
      <c r="DA154" s="251" t="n">
        <v>64.0</v>
      </c>
      <c r="DB154" s="252" t="n">
        <v>196.25</v>
      </c>
      <c r="DC154" s="253" t="n">
        <v>100.0</v>
      </c>
      <c r="DD154" s="254" t="n">
        <v>1.97</v>
      </c>
      <c r="DE154" s="255" t="n">
        <v>1.02</v>
      </c>
      <c r="DF154" s="256" t="n">
        <v>15.28</v>
      </c>
      <c r="DG154" s="257" t="n">
        <v>92.0</v>
      </c>
      <c r="DH154" s="258" t="n">
        <v>377.23</v>
      </c>
      <c r="DI154" s="259" t="n">
        <v>99.0</v>
      </c>
      <c r="DJ154" s="260" t="n">
        <v>6.38</v>
      </c>
      <c r="DK154" s="261" t="n">
        <v>82.0</v>
      </c>
      <c r="DL154" s="262" t="n">
        <v>24.18</v>
      </c>
      <c r="DM154" s="263" t="n">
        <v>94.0</v>
      </c>
      <c r="DN154" s="264" t="n">
        <v>30.05</v>
      </c>
      <c r="DO154" s="265" t="n">
        <v>95.0</v>
      </c>
      <c r="DP154" s="266" t="n">
        <v>4541.0</v>
      </c>
      <c r="DQ154" s="267" t="n">
        <v>48.0</v>
      </c>
      <c r="DR154" s="268" t="n">
        <v>1.07</v>
      </c>
      <c r="DS154" s="269" t="n">
        <v>818.0</v>
      </c>
      <c r="DT154" s="270" t="n">
        <v>9.0</v>
      </c>
      <c r="DU154" s="271" t="n">
        <v>1.11</v>
      </c>
      <c r="DV154" s="272" t="n">
        <v>10790.0</v>
      </c>
      <c r="DW154" s="273" t="n">
        <v>3.0</v>
      </c>
      <c r="DX154" s="274" t="n">
        <v>0.03</v>
      </c>
      <c r="DY154" s="275" t="inlineStr">
        <is>
          <t>PitchBook Research</t>
        </is>
      </c>
      <c r="DZ154" s="276" t="n">
        <v>43518.0</v>
      </c>
      <c r="EA154" s="277" t="n">
        <v>820.0</v>
      </c>
      <c r="EB154" s="278" t="n">
        <v>41932.0</v>
      </c>
      <c r="EC154" s="279" t="inlineStr">
        <is>
          <t>PE Growth/Expansion</t>
        </is>
      </c>
      <c r="ED154" s="548">
        <f>HYPERLINK("https://my.pitchbook.com?c=66328-57", "View company online")</f>
      </c>
    </row>
    <row r="155">
      <c r="A155" s="13" t="inlineStr">
        <is>
          <t>10242-73</t>
        </is>
      </c>
      <c r="B155" s="14" t="inlineStr">
        <is>
          <t>New Look Retailers</t>
        </is>
      </c>
      <c r="C155" s="15" t="inlineStr">
        <is>
          <t/>
        </is>
      </c>
      <c r="D155" s="16" t="inlineStr">
        <is>
          <t>New Look</t>
        </is>
      </c>
      <c r="E155" s="17" t="inlineStr">
        <is>
          <t>10242-73</t>
        </is>
      </c>
      <c r="F155" s="18" t="inlineStr">
        <is>
          <t>Operator of fashion retail stores. The company offers men's &amp; women's wear though an online retail channel and retail stores.</t>
        </is>
      </c>
      <c r="G155" s="19" t="inlineStr">
        <is>
          <t>Consumer Products and Services (B2C)</t>
        </is>
      </c>
      <c r="H155" s="20" t="inlineStr">
        <is>
          <t>Retail</t>
        </is>
      </c>
      <c r="I155" s="21" t="inlineStr">
        <is>
          <t>Specialty Retail</t>
        </is>
      </c>
      <c r="J155" s="22" t="inlineStr">
        <is>
          <t>Accessories, Clothing, Specialty Retail*</t>
        </is>
      </c>
      <c r="K155" s="23" t="inlineStr">
        <is>
          <t/>
        </is>
      </c>
      <c r="L155" s="24" t="inlineStr">
        <is>
          <t>fashion retailer, men's clothing, women's clothing</t>
        </is>
      </c>
      <c r="M155" s="25" t="inlineStr">
        <is>
          <t>Private Equity-Backed</t>
        </is>
      </c>
      <c r="N155" s="26" t="n">
        <v>2616.59</v>
      </c>
      <c r="O155" s="27" t="inlineStr">
        <is>
          <t>Generating Revenue</t>
        </is>
      </c>
      <c r="P155" s="28" t="inlineStr">
        <is>
          <t>Privately Held (backing)</t>
        </is>
      </c>
      <c r="Q155" s="29" t="inlineStr">
        <is>
          <t>Debt Financed, Private Equity, Publicly Listed</t>
        </is>
      </c>
      <c r="R155" s="30" t="inlineStr">
        <is>
          <t>www.newlook.com</t>
        </is>
      </c>
      <c r="S155" s="31" t="n">
        <v>15894.0</v>
      </c>
      <c r="T155" s="32" t="inlineStr">
        <is>
          <t>2000: 7121, 2001: 8907, 2002: 9554, 2003: 9920, 2004: 11069, 2005: 11376, 2006: 12252, 2007: 14077, 2008: 16104, 2009: 17363, 2010: 18713, 2011: 20081, 2012: 18718, 2013: 17548, 2014: 16543, 2015: 15894</t>
        </is>
      </c>
      <c r="U155" s="33" t="inlineStr">
        <is>
          <t/>
        </is>
      </c>
      <c r="V155" s="34" t="inlineStr">
        <is>
          <t/>
        </is>
      </c>
      <c r="W155" s="35" t="n">
        <v>1982.0</v>
      </c>
      <c r="X155" s="36" t="inlineStr">
        <is>
          <t/>
        </is>
      </c>
      <c r="Y155" s="37" t="inlineStr">
        <is>
          <t/>
        </is>
      </c>
      <c r="Z155" s="38" t="inlineStr">
        <is>
          <t/>
        </is>
      </c>
      <c r="AA155" s="39" t="n">
        <v>1624.13</v>
      </c>
      <c r="AB155" s="40" t="n">
        <v>681.66</v>
      </c>
      <c r="AC155" s="41" t="inlineStr">
        <is>
          <t/>
        </is>
      </c>
      <c r="AD155" s="42" t="inlineStr">
        <is>
          <t/>
        </is>
      </c>
      <c r="AE155" s="43" t="n">
        <v>-294.11</v>
      </c>
      <c r="AF155" s="44" t="inlineStr">
        <is>
          <t>FY 2018</t>
        </is>
      </c>
      <c r="AG155" s="45" t="n">
        <v>-337.5</v>
      </c>
      <c r="AH155" s="46" t="inlineStr">
        <is>
          <t/>
        </is>
      </c>
      <c r="AI155" s="47" t="n">
        <v>73.96</v>
      </c>
      <c r="AJ155" s="48" t="inlineStr">
        <is>
          <t>92433-43P</t>
        </is>
      </c>
      <c r="AK155" s="49" t="inlineStr">
        <is>
          <t>Richard Collyer</t>
        </is>
      </c>
      <c r="AL155" s="50" t="inlineStr">
        <is>
          <t>Chief Financial Officer</t>
        </is>
      </c>
      <c r="AM155" s="51" t="inlineStr">
        <is>
          <t>richard.collyer@newlookgroup.com</t>
        </is>
      </c>
      <c r="AN155" s="52" t="inlineStr">
        <is>
          <t>+44 (0)34 4499 6690</t>
        </is>
      </c>
      <c r="AO155" s="53" t="inlineStr">
        <is>
          <t>Dorset, United Kingdom</t>
        </is>
      </c>
      <c r="AP155" s="54" t="inlineStr">
        <is>
          <t>Mercery Road</t>
        </is>
      </c>
      <c r="AQ155" s="55" t="inlineStr">
        <is>
          <t>Weymouth</t>
        </is>
      </c>
      <c r="AR155" s="56" t="inlineStr">
        <is>
          <t>Dorset</t>
        </is>
      </c>
      <c r="AS155" s="57" t="inlineStr">
        <is>
          <t>England</t>
        </is>
      </c>
      <c r="AT155" s="58" t="inlineStr">
        <is>
          <t>DT3 5HJ</t>
        </is>
      </c>
      <c r="AU155" s="59" t="inlineStr">
        <is>
          <t>United Kingdom</t>
        </is>
      </c>
      <c r="AV155" s="60" t="inlineStr">
        <is>
          <t>+44 (0)34 4499 6690</t>
        </is>
      </c>
      <c r="AW155" s="61" t="inlineStr">
        <is>
          <t/>
        </is>
      </c>
      <c r="AX155" s="62" t="inlineStr">
        <is>
          <t/>
        </is>
      </c>
      <c r="AY155" s="63" t="inlineStr">
        <is>
          <t>Europe</t>
        </is>
      </c>
      <c r="AZ155" s="64" t="inlineStr">
        <is>
          <t>Western Europe</t>
        </is>
      </c>
      <c r="BA155" s="65" t="inlineStr">
        <is>
          <t>The company was in talks to be acquired by Apollo Global Management and other undisclosed investors through an LBO on January 13, 2018. Subsequently the deal was cancelled. Previously, the company was acquired by Brait Private Equity and its management through a $2.99 billion LBO on June 26, 2015. The investor taking a 90% stake in the company and remaining will be taken over by the management of the company.</t>
        </is>
      </c>
      <c r="BB155" s="66" t="inlineStr">
        <is>
          <t>Brait</t>
        </is>
      </c>
      <c r="BC155" s="67" t="n">
        <v>1.0</v>
      </c>
      <c r="BD155" s="68" t="inlineStr">
        <is>
          <t/>
        </is>
      </c>
      <c r="BE155" s="69" t="inlineStr">
        <is>
          <t>Aberdeen Private Equity, Advent International, Apax Partners, Permira, Sole Realisation Company</t>
        </is>
      </c>
      <c r="BF155" s="70" t="inlineStr">
        <is>
          <t>BC Partners, The Blackstone Group, TPG Capital, Warburg Pincus</t>
        </is>
      </c>
      <c r="BG155" s="71" t="inlineStr">
        <is>
          <t>Brait(www.brait.com)</t>
        </is>
      </c>
      <c r="BH155" s="72" t="inlineStr">
        <is>
          <t>Aberdeen Private Equity(www.aberdeenprivateequity.com), Advent International(www.adventinternational.com), Apax Partners(www.apax.com), Permira(www.permira.com), Sole Realisation Company(www.svgcapital.com)</t>
        </is>
      </c>
      <c r="BI155" s="73" t="inlineStr">
        <is>
          <t>BC Partners(www.bcpartners.com), The Blackstone Group(www.blackstone.com), TPG Capital(www.tpg.com), Warburg Pincus(www.warburgpincus.com)</t>
        </is>
      </c>
      <c r="BJ155" s="74" t="inlineStr">
        <is>
          <t>Deutsche Bank(Debt Financing), Green Park(Advisor: General), Headland(Advisor: Communications)</t>
        </is>
      </c>
      <c r="BK155" s="75" t="inlineStr">
        <is>
          <t>Altium Capital(Advisor: General), Cazenove Capital Management(Advisor: General), Citigroup(Legal Advisor), Clifford Chance(Legal Advisor), Credit Suisse(Advisor: General), Deutsche Bank(Advisor: General), DLA Cliffe Dekker Hofmeyr(Legal Advisor), Freshfields Bruckhaus Deringer(Legal Advisor), Fried, Frank, Harris, Shriver &amp; Jacobson(Legal Advisor), HSBC Alternative Fund Services(Debt Financing), Hypovereinsbank(Debt Financing), J.P. Morgan(Underwriter), Jamieson Corporate Finance(Advisor: General), KPMG(Advisor: General), Linklaters(Legal Advisor), M Partners(Advisor: General), Macfarlanes(Legal Advisor), Mizuho Bank(Debt Financing), Nomura International(Advisor: General), PwC(Auditor), Rand Merchant Bank(Advisor: General), Royal Bank of Scotland(Debt Financing), Simmons &amp; Simmons(Legal Advisor), Sphere Partners(Advisor: General), The Goldman Sachs Group(Advisor: General), UBS(Advisor: General)</t>
        </is>
      </c>
      <c r="BL155" s="76" t="n">
        <v>35965.0</v>
      </c>
      <c r="BM155" s="77" t="n">
        <v>143.51</v>
      </c>
      <c r="BN155" s="78" t="inlineStr">
        <is>
          <t>Actual</t>
        </is>
      </c>
      <c r="BO155" s="79" t="inlineStr">
        <is>
          <t/>
        </is>
      </c>
      <c r="BP155" s="80" t="inlineStr">
        <is>
          <t/>
        </is>
      </c>
      <c r="BQ155" s="81" t="inlineStr">
        <is>
          <t>IPO</t>
        </is>
      </c>
      <c r="BR155" s="82" t="inlineStr">
        <is>
          <t/>
        </is>
      </c>
      <c r="BS155" s="83" t="inlineStr">
        <is>
          <t/>
        </is>
      </c>
      <c r="BT155" s="84" t="inlineStr">
        <is>
          <t>Public Investment</t>
        </is>
      </c>
      <c r="BU155" s="85" t="inlineStr">
        <is>
          <t/>
        </is>
      </c>
      <c r="BV155" s="86" t="inlineStr">
        <is>
          <t/>
        </is>
      </c>
      <c r="BW155" s="87" t="inlineStr">
        <is>
          <t/>
        </is>
      </c>
      <c r="BX155" s="88" t="inlineStr">
        <is>
          <t>Completed</t>
        </is>
      </c>
      <c r="BY155" s="89" t="inlineStr">
        <is>
          <t/>
        </is>
      </c>
      <c r="BZ155" s="90" t="inlineStr">
        <is>
          <t/>
        </is>
      </c>
      <c r="CA155" s="91" t="inlineStr">
        <is>
          <t/>
        </is>
      </c>
      <c r="CB155" s="92" t="inlineStr">
        <is>
          <t/>
        </is>
      </c>
      <c r="CC155" s="93" t="inlineStr">
        <is>
          <t/>
        </is>
      </c>
      <c r="CD155" s="94" t="inlineStr">
        <is>
          <t>Buyout/LBO</t>
        </is>
      </c>
      <c r="CE155" s="95" t="inlineStr">
        <is>
          <t>Secondary Buyout</t>
        </is>
      </c>
      <c r="CF155" s="96" t="inlineStr">
        <is>
          <t/>
        </is>
      </c>
      <c r="CG155" s="97" t="inlineStr">
        <is>
          <t>Private Equity</t>
        </is>
      </c>
      <c r="CH155" s="98" t="inlineStr">
        <is>
          <t/>
        </is>
      </c>
      <c r="CI155" s="99" t="inlineStr">
        <is>
          <t/>
        </is>
      </c>
      <c r="CJ155" s="100" t="inlineStr">
        <is>
          <t/>
        </is>
      </c>
      <c r="CK155" s="101" t="inlineStr">
        <is>
          <t>Failed/Cancelled</t>
        </is>
      </c>
      <c r="CL155" s="102" t="n">
        <v>38496.0</v>
      </c>
      <c r="CM155" s="103" t="n">
        <v>1392.32</v>
      </c>
      <c r="CN155" s="104" t="n">
        <v>-0.08</v>
      </c>
      <c r="CO155" s="105" t="n">
        <v>12.0</v>
      </c>
      <c r="CP155" s="106" t="n">
        <v>-0.24</v>
      </c>
      <c r="CQ155" s="107" t="n">
        <v>-148.98</v>
      </c>
      <c r="CR155" s="108" t="n">
        <v>-1.3</v>
      </c>
      <c r="CS155" s="109" t="n">
        <v>5.0</v>
      </c>
      <c r="CT155" s="110" t="n">
        <v>1.14</v>
      </c>
      <c r="CU155" s="111" t="n">
        <v>99.0</v>
      </c>
      <c r="CV155" s="112" t="n">
        <v>-3.12</v>
      </c>
      <c r="CW155" s="113" t="n">
        <v>15.0</v>
      </c>
      <c r="CX155" s="114" t="n">
        <v>0.52</v>
      </c>
      <c r="CY155" s="115" t="n">
        <v>94.0</v>
      </c>
      <c r="CZ155" s="116" t="n">
        <v>1.14</v>
      </c>
      <c r="DA155" s="117" t="n">
        <v>99.0</v>
      </c>
      <c r="DB155" s="118" t="n">
        <v>143.12</v>
      </c>
      <c r="DC155" s="119" t="n">
        <v>100.0</v>
      </c>
      <c r="DD155" s="120" t="n">
        <v>32.61</v>
      </c>
      <c r="DE155" s="121" t="n">
        <v>29.51</v>
      </c>
      <c r="DF155" s="122" t="n">
        <v>285.93</v>
      </c>
      <c r="DG155" s="123" t="n">
        <v>100.0</v>
      </c>
      <c r="DH155" s="124" t="n">
        <v>0.32</v>
      </c>
      <c r="DI155" s="125" t="n">
        <v>30.0</v>
      </c>
      <c r="DJ155" s="126" t="n">
        <v>46.68</v>
      </c>
      <c r="DK155" s="127" t="n">
        <v>95.0</v>
      </c>
      <c r="DL155" s="128" t="n">
        <v>525.18</v>
      </c>
      <c r="DM155" s="129" t="n">
        <v>100.0</v>
      </c>
      <c r="DN155" s="130" t="n">
        <v>0.32</v>
      </c>
      <c r="DO155" s="131" t="n">
        <v>31.0</v>
      </c>
      <c r="DP155" s="132" t="n">
        <v>33443.0</v>
      </c>
      <c r="DQ155" s="133" t="n">
        <v>-1466.0</v>
      </c>
      <c r="DR155" s="134" t="n">
        <v>-4.2</v>
      </c>
      <c r="DS155" s="135" t="n">
        <v>17817.0</v>
      </c>
      <c r="DT155" s="136" t="n">
        <v>78.0</v>
      </c>
      <c r="DU155" s="137" t="n">
        <v>0.44</v>
      </c>
      <c r="DV155" s="138" t="n">
        <v>116.0</v>
      </c>
      <c r="DW155" s="139" t="n">
        <v>0.0</v>
      </c>
      <c r="DX155" s="140" t="n">
        <v>0.0</v>
      </c>
      <c r="DY155" s="141" t="inlineStr">
        <is>
          <t>PitchBook Research</t>
        </is>
      </c>
      <c r="DZ155" s="142" t="n">
        <v>43507.0</v>
      </c>
      <c r="EA155" s="143" t="n">
        <v>2994.72</v>
      </c>
      <c r="EB155" s="144" t="n">
        <v>42180.0</v>
      </c>
      <c r="EC155" s="145" t="inlineStr">
        <is>
          <t>Buyout/LBO</t>
        </is>
      </c>
      <c r="ED155" s="547">
        <f>HYPERLINK("https://my.pitchbook.com?c=10242-73", "View company online")</f>
      </c>
    </row>
    <row r="156">
      <c r="A156" s="147" t="inlineStr">
        <is>
          <t>59326-93</t>
        </is>
      </c>
      <c r="B156" s="148" t="inlineStr">
        <is>
          <t>Salvatore Ferragamo (MIL: SFER)</t>
        </is>
      </c>
      <c r="C156" s="149" t="inlineStr">
        <is>
          <t>Salvatore Ferragamo Italia</t>
        </is>
      </c>
      <c r="D156" s="150" t="inlineStr">
        <is>
          <t>Ferragamo</t>
        </is>
      </c>
      <c r="E156" s="151" t="inlineStr">
        <is>
          <t>59326-93</t>
        </is>
      </c>
      <c r="F156" s="152" t="inlineStr">
        <is>
          <t>Founded in 1927, Salvatore Ferragamo is an Italian monobrand company mainly known for its footwear and accessories. The company generates around 42% of revenue in the footwear category, 37% in leather goods, 7% in apparel, 7% in accessories, and 6% in fragrances. It is present globally with a network of 402 directly operated stores and 281 shops in shops. It was one of the pioneers in establishing a presence in Asia, where it generates 37% of sales, and other emerging markets (6% of sales in Central and South America). Ferragamo generates 25% of revenue in Europe, 24% in the U.S., and 8% in Japan. We estimate that Salvatore Ferragamo commands around 4%-5% market share in a EUR 17.6 billion luxury footwear industry.</t>
        </is>
      </c>
      <c r="G156" s="153" t="inlineStr">
        <is>
          <t>Consumer Products and Services (B2C)</t>
        </is>
      </c>
      <c r="H156" s="154" t="inlineStr">
        <is>
          <t>Apparel and Accessories</t>
        </is>
      </c>
      <c r="I156" s="155" t="inlineStr">
        <is>
          <t>Accessories</t>
        </is>
      </c>
      <c r="J156" s="156" t="inlineStr">
        <is>
          <t>Accessories*, Clothing, Footwear</t>
        </is>
      </c>
      <c r="K156" s="157" t="inlineStr">
        <is>
          <t>Manufacturing</t>
        </is>
      </c>
      <c r="L156" s="158" t="inlineStr">
        <is>
          <t>apparel and accessories, clothing line, dresses maker</t>
        </is>
      </c>
      <c r="M156" s="159" t="inlineStr">
        <is>
          <t>Corporate Backed or Acquired</t>
        </is>
      </c>
      <c r="N156" s="160" t="n">
        <v>495.43</v>
      </c>
      <c r="O156" s="161" t="inlineStr">
        <is>
          <t>Profitable</t>
        </is>
      </c>
      <c r="P156" s="162" t="inlineStr">
        <is>
          <t>Publicly Held</t>
        </is>
      </c>
      <c r="Q156" s="163" t="inlineStr">
        <is>
          <t>M&amp;A, Publicly Listed</t>
        </is>
      </c>
      <c r="R156" s="164" t="inlineStr">
        <is>
          <t/>
        </is>
      </c>
      <c r="S156" s="165" t="n">
        <v>4106.0</v>
      </c>
      <c r="T156" s="166" t="inlineStr">
        <is>
          <t>2008: 2756, 2009: 2743, 2010: 2745, 2011: 3040, 2012: 3322, 2013: 3764, 2014: 3900, 2015: 4033, 2016: 4104, 2017: 4183, 2018: 4152</t>
        </is>
      </c>
      <c r="U156" s="167" t="inlineStr">
        <is>
          <t>MIL</t>
        </is>
      </c>
      <c r="V156" s="168" t="inlineStr">
        <is>
          <t>SFER</t>
        </is>
      </c>
      <c r="W156" s="169" t="n">
        <v>1927.0</v>
      </c>
      <c r="X156" s="170" t="inlineStr">
        <is>
          <t/>
        </is>
      </c>
      <c r="Y156" s="171" t="inlineStr">
        <is>
          <t/>
        </is>
      </c>
      <c r="Z156" s="172" t="inlineStr">
        <is>
          <t>News (New) </t>
        </is>
      </c>
      <c r="AA156" s="173" t="n">
        <v>1618.43</v>
      </c>
      <c r="AB156" s="174" t="n">
        <v>1036.89</v>
      </c>
      <c r="AC156" s="175" t="n">
        <v>119.45</v>
      </c>
      <c r="AD156" s="176" t="n">
        <v>3961.12</v>
      </c>
      <c r="AE156" s="177" t="n">
        <v>267.09</v>
      </c>
      <c r="AF156" s="178" t="inlineStr">
        <is>
          <t>TTM 3Q2018</t>
        </is>
      </c>
      <c r="AG156" s="179" t="n">
        <v>193.64</v>
      </c>
      <c r="AH156" s="180" t="n">
        <v>3559.33</v>
      </c>
      <c r="AI156" s="181" t="n">
        <v>-165.89</v>
      </c>
      <c r="AJ156" s="182" t="inlineStr">
        <is>
          <t>196017-94P</t>
        </is>
      </c>
      <c r="AK156" s="183" t="inlineStr">
        <is>
          <t>Micaela Lemmi</t>
        </is>
      </c>
      <c r="AL156" s="184" t="inlineStr">
        <is>
          <t>Chief Executive Officer</t>
        </is>
      </c>
      <c r="AM156" s="185" t="inlineStr">
        <is>
          <t/>
        </is>
      </c>
      <c r="AN156" s="186" t="inlineStr">
        <is>
          <t>+39 02 1752 0048 0</t>
        </is>
      </c>
      <c r="AO156" s="187" t="inlineStr">
        <is>
          <t>Florence, Italy</t>
        </is>
      </c>
      <c r="AP156" s="188" t="inlineStr">
        <is>
          <t>Via dei Tornabuoni 2</t>
        </is>
      </c>
      <c r="AQ156" s="189" t="inlineStr">
        <is>
          <t/>
        </is>
      </c>
      <c r="AR156" s="190" t="inlineStr">
        <is>
          <t>Florence</t>
        </is>
      </c>
      <c r="AS156" s="191" t="inlineStr">
        <is>
          <t/>
        </is>
      </c>
      <c r="AT156" s="192" t="inlineStr">
        <is>
          <t>50123</t>
        </is>
      </c>
      <c r="AU156" s="193" t="inlineStr">
        <is>
          <t>Italy</t>
        </is>
      </c>
      <c r="AV156" s="194" t="inlineStr">
        <is>
          <t>+39 02 1752 0048 0</t>
        </is>
      </c>
      <c r="AW156" s="195" t="inlineStr">
        <is>
          <t/>
        </is>
      </c>
      <c r="AX156" s="196" t="inlineStr">
        <is>
          <t/>
        </is>
      </c>
      <c r="AY156" s="197" t="inlineStr">
        <is>
          <t>Europe</t>
        </is>
      </c>
      <c r="AZ156" s="198" t="inlineStr">
        <is>
          <t>Southern Europe</t>
        </is>
      </c>
      <c r="BA156" s="199" t="inlineStr">
        <is>
          <t>Peter Woo sold a 2% stake in the company to Ferragamo Finanziaria for an undisclosed amount on July 11, 2011.</t>
        </is>
      </c>
      <c r="BB156" s="200" t="inlineStr">
        <is>
          <t>Ferragamo Finanziaria</t>
        </is>
      </c>
      <c r="BC156" s="201" t="n">
        <v>1.0</v>
      </c>
      <c r="BD156" s="202" t="inlineStr">
        <is>
          <t/>
        </is>
      </c>
      <c r="BE156" s="203" t="inlineStr">
        <is>
          <t>Individual Investor, Majestic Honour</t>
        </is>
      </c>
      <c r="BF156" s="204" t="inlineStr">
        <is>
          <t/>
        </is>
      </c>
      <c r="BG156" s="205" t="inlineStr">
        <is>
          <t>Ferragamo Finanziaria(group.ferragamo.com)</t>
        </is>
      </c>
      <c r="BH156" s="206" t="inlineStr">
        <is>
          <t/>
        </is>
      </c>
      <c r="BI156" s="207" t="inlineStr">
        <is>
          <t/>
        </is>
      </c>
      <c r="BJ156" s="208" t="inlineStr">
        <is>
          <t>Creeds Collective(Consulting), Washington Search Partners(Consulting)</t>
        </is>
      </c>
      <c r="BK156" s="209" t="inlineStr">
        <is>
          <t>Banca IMI(Underwriter), Caretti &amp; Associati(Advisor: General), EY(Accounting), Gianni, Origoni, Grippo &amp; Partners(Legal Advisor), J.P. Morgan Securities(Underwriter), Latham &amp; Watkins(Legal Advisor), Mediobanca(Underwriter)</t>
        </is>
      </c>
      <c r="BL156" s="210" t="n">
        <v>40603.0</v>
      </c>
      <c r="BM156" s="211" t="inlineStr">
        <is>
          <t/>
        </is>
      </c>
      <c r="BN156" s="212" t="inlineStr">
        <is>
          <t/>
        </is>
      </c>
      <c r="BO156" s="213" t="inlineStr">
        <is>
          <t/>
        </is>
      </c>
      <c r="BP156" s="214" t="inlineStr">
        <is>
          <t/>
        </is>
      </c>
      <c r="BQ156" s="215" t="inlineStr">
        <is>
          <t>Corporate</t>
        </is>
      </c>
      <c r="BR156" s="216" t="inlineStr">
        <is>
          <t>Corporate</t>
        </is>
      </c>
      <c r="BS156" s="217" t="inlineStr">
        <is>
          <t/>
        </is>
      </c>
      <c r="BT156" s="218" t="inlineStr">
        <is>
          <t>Corporate</t>
        </is>
      </c>
      <c r="BU156" s="219" t="inlineStr">
        <is>
          <t/>
        </is>
      </c>
      <c r="BV156" s="220" t="inlineStr">
        <is>
          <t/>
        </is>
      </c>
      <c r="BW156" s="221" t="inlineStr">
        <is>
          <t/>
        </is>
      </c>
      <c r="BX156" s="222" t="inlineStr">
        <is>
          <t>Completed</t>
        </is>
      </c>
      <c r="BY156" s="223" t="n">
        <v>40735.0</v>
      </c>
      <c r="BZ156" s="224" t="inlineStr">
        <is>
          <t/>
        </is>
      </c>
      <c r="CA156" s="225" t="inlineStr">
        <is>
          <t/>
        </is>
      </c>
      <c r="CB156" s="226" t="inlineStr">
        <is>
          <t/>
        </is>
      </c>
      <c r="CC156" s="227" t="inlineStr">
        <is>
          <t/>
        </is>
      </c>
      <c r="CD156" s="228" t="inlineStr">
        <is>
          <t>Secondary Transaction - Private</t>
        </is>
      </c>
      <c r="CE156" s="229" t="inlineStr">
        <is>
          <t/>
        </is>
      </c>
      <c r="CF156" s="230" t="inlineStr">
        <is>
          <t/>
        </is>
      </c>
      <c r="CG156" s="231" t="inlineStr">
        <is>
          <t>Corporate</t>
        </is>
      </c>
      <c r="CH156" s="232" t="inlineStr">
        <is>
          <t/>
        </is>
      </c>
      <c r="CI156" s="233" t="inlineStr">
        <is>
          <t/>
        </is>
      </c>
      <c r="CJ156" s="234" t="inlineStr">
        <is>
          <t/>
        </is>
      </c>
      <c r="CK156" s="235" t="inlineStr">
        <is>
          <t>Completed</t>
        </is>
      </c>
      <c r="CL156" s="236" t="inlineStr">
        <is>
          <t/>
        </is>
      </c>
      <c r="CM156" s="237" t="inlineStr">
        <is>
          <t/>
        </is>
      </c>
      <c r="CN156" s="238" t="n">
        <v>1.08</v>
      </c>
      <c r="CO156" s="239" t="n">
        <v>98.0</v>
      </c>
      <c r="CP156" s="240" t="n">
        <v>0.25</v>
      </c>
      <c r="CQ156" s="241" t="n">
        <v>30.9</v>
      </c>
      <c r="CR156" s="242" t="n">
        <v>3.28</v>
      </c>
      <c r="CS156" s="243" t="n">
        <v>100.0</v>
      </c>
      <c r="CT156" s="244" t="n">
        <v>0.04</v>
      </c>
      <c r="CU156" s="245" t="n">
        <v>62.0</v>
      </c>
      <c r="CV156" s="246" t="n">
        <v>4.81</v>
      </c>
      <c r="CW156" s="247" t="n">
        <v>97.0</v>
      </c>
      <c r="CX156" s="248" t="n">
        <v>1.74</v>
      </c>
      <c r="CY156" s="249" t="n">
        <v>99.0</v>
      </c>
      <c r="CZ156" s="250" t="n">
        <v>-0.01</v>
      </c>
      <c r="DA156" s="251" t="n">
        <v>27.0</v>
      </c>
      <c r="DB156" s="252" t="n">
        <v>668.48</v>
      </c>
      <c r="DC156" s="253" t="n">
        <v>100.0</v>
      </c>
      <c r="DD156" s="254" t="n">
        <v>21.36</v>
      </c>
      <c r="DE156" s="255" t="n">
        <v>3.3</v>
      </c>
      <c r="DF156" s="256" t="n">
        <v>293.93</v>
      </c>
      <c r="DG156" s="257" t="n">
        <v>100.0</v>
      </c>
      <c r="DH156" s="258" t="n">
        <v>1696.29</v>
      </c>
      <c r="DI156" s="259" t="n">
        <v>100.0</v>
      </c>
      <c r="DJ156" s="260" t="n">
        <v>137.75</v>
      </c>
      <c r="DK156" s="261" t="n">
        <v>98.0</v>
      </c>
      <c r="DL156" s="262" t="n">
        <v>450.12</v>
      </c>
      <c r="DM156" s="263" t="n">
        <v>100.0</v>
      </c>
      <c r="DN156" s="264" t="n">
        <v>1373.91</v>
      </c>
      <c r="DO156" s="265" t="n">
        <v>100.0</v>
      </c>
      <c r="DP156" s="266" t="n">
        <v>98039.0</v>
      </c>
      <c r="DQ156" s="267" t="n">
        <v>1574.0</v>
      </c>
      <c r="DR156" s="268" t="n">
        <v>1.63</v>
      </c>
      <c r="DS156" s="269" t="n">
        <v>15189.0</v>
      </c>
      <c r="DT156" s="270" t="n">
        <v>100.0</v>
      </c>
      <c r="DU156" s="271" t="n">
        <v>0.66</v>
      </c>
      <c r="DV156" s="272" t="n">
        <v>493259.0</v>
      </c>
      <c r="DW156" s="273" t="n">
        <v>-172.0</v>
      </c>
      <c r="DX156" s="274" t="n">
        <v>-0.03</v>
      </c>
      <c r="DY156" s="275" t="inlineStr">
        <is>
          <t>PitchBook Research</t>
        </is>
      </c>
      <c r="DZ156" s="276" t="n">
        <v>43545.0</v>
      </c>
      <c r="EA156" s="277" t="n">
        <v>2179.91</v>
      </c>
      <c r="EB156" s="278" t="n">
        <v>40723.0</v>
      </c>
      <c r="EC156" s="279" t="inlineStr">
        <is>
          <t>IPO</t>
        </is>
      </c>
      <c r="ED156" s="548">
        <f>HYPERLINK("https://my.pitchbook.com?c=59326-93", "View company online")</f>
      </c>
    </row>
    <row r="157">
      <c r="A157" s="13" t="inlineStr">
        <is>
          <t>165796-84</t>
        </is>
      </c>
      <c r="B157" s="14" t="inlineStr">
        <is>
          <t>Gansu Gangtai Holding Group Company (SHG: 600687)</t>
        </is>
      </c>
      <c r="C157" s="15" t="inlineStr">
        <is>
          <t/>
        </is>
      </c>
      <c r="D157" s="16" t="inlineStr">
        <is>
          <t>Gangtai</t>
        </is>
      </c>
      <c r="E157" s="17" t="inlineStr">
        <is>
          <t>165796-84</t>
        </is>
      </c>
      <c r="F157" s="18" t="inlineStr">
        <is>
          <t>Gansu Gangtai Holding (Group) Co Ltd is a China-based company engaged in the provision of gold, gold artwork, and gold jewelry. It is also engaged in the provision of collections of precious metals and diamond products, and entertainment production and marketing business. The company mainly conducts its businesses in domestic markets.</t>
        </is>
      </c>
      <c r="G157" s="19" t="inlineStr">
        <is>
          <t>Consumer Products and Services (B2C)</t>
        </is>
      </c>
      <c r="H157" s="20" t="inlineStr">
        <is>
          <t>Apparel and Accessories</t>
        </is>
      </c>
      <c r="I157" s="21" t="inlineStr">
        <is>
          <t>Accessories</t>
        </is>
      </c>
      <c r="J157" s="22" t="inlineStr">
        <is>
          <t>Accessories*, Coal Mining, Iron and Steel Mining</t>
        </is>
      </c>
      <c r="K157" s="23" t="inlineStr">
        <is>
          <t>Manufacturing</t>
        </is>
      </c>
      <c r="L157" s="24" t="inlineStr">
        <is>
          <t>copper trading, gold jewelry, jewelry product, steel trading</t>
        </is>
      </c>
      <c r="M157" s="25" t="inlineStr">
        <is>
          <t>Corporation</t>
        </is>
      </c>
      <c r="N157" s="26" t="inlineStr">
        <is>
          <t/>
        </is>
      </c>
      <c r="O157" s="27" t="inlineStr">
        <is>
          <t>Profitable</t>
        </is>
      </c>
      <c r="P157" s="28" t="inlineStr">
        <is>
          <t>Publicly Held</t>
        </is>
      </c>
      <c r="Q157" s="29" t="inlineStr">
        <is>
          <t>Publicly Listed</t>
        </is>
      </c>
      <c r="R157" s="30" t="inlineStr">
        <is>
          <t>www.gangtaikonggu.com.cn</t>
        </is>
      </c>
      <c r="S157" s="31" t="n">
        <v>1251.0</v>
      </c>
      <c r="T157" s="32" t="inlineStr">
        <is>
          <t>2000: 229, 2001: 141, 2002: 357, 2003: 263, 2004: 123, 2005: 119, 2006: 137, 2007: 143, 2008: 124, 2009: 55, 2010: 52, 2011: 57, 2012: 78, 2013: 296, 2014: 330, 2015: 1190, 2016: 1412, 2017: 1251</t>
        </is>
      </c>
      <c r="U157" s="33" t="inlineStr">
        <is>
          <t>SHG</t>
        </is>
      </c>
      <c r="V157" s="34" t="inlineStr">
        <is>
          <t>600687</t>
        </is>
      </c>
      <c r="W157" s="35" t="n">
        <v>1989.0</v>
      </c>
      <c r="X157" s="36" t="inlineStr">
        <is>
          <t/>
        </is>
      </c>
      <c r="Y157" s="37" t="inlineStr">
        <is>
          <t/>
        </is>
      </c>
      <c r="Z157" s="38" t="inlineStr">
        <is>
          <t/>
        </is>
      </c>
      <c r="AA157" s="39" t="n">
        <v>1606.75</v>
      </c>
      <c r="AB157" s="40" t="n">
        <v>184.13</v>
      </c>
      <c r="AC157" s="41" t="n">
        <v>37.33</v>
      </c>
      <c r="AD157" s="42" t="n">
        <v>1369.9</v>
      </c>
      <c r="AE157" s="43" t="n">
        <v>105.95</v>
      </c>
      <c r="AF157" s="44" t="inlineStr">
        <is>
          <t>TTM 3Q2018</t>
        </is>
      </c>
      <c r="AG157" s="45" t="n">
        <v>101.08</v>
      </c>
      <c r="AH157" s="46" t="n">
        <v>1104.29</v>
      </c>
      <c r="AI157" s="47" t="n">
        <v>484.07</v>
      </c>
      <c r="AJ157" s="48" t="inlineStr">
        <is>
          <t>167136-76P</t>
        </is>
      </c>
      <c r="AK157" s="49" t="inlineStr">
        <is>
          <t>Zhou Feng</t>
        </is>
      </c>
      <c r="AL157" s="50" t="inlineStr">
        <is>
          <t>Vice Chairman</t>
        </is>
      </c>
      <c r="AM157" s="51" t="inlineStr">
        <is>
          <t>zhou.feng@gangtaikonggu.com.cn</t>
        </is>
      </c>
      <c r="AN157" s="52" t="inlineStr">
        <is>
          <t>+86 (0)21 6886 5858</t>
        </is>
      </c>
      <c r="AO157" s="53" t="inlineStr">
        <is>
          <t>Shanghai, China</t>
        </is>
      </c>
      <c r="AP157" s="54" t="inlineStr">
        <is>
          <t>32 / F, Huaneng Joint Building</t>
        </is>
      </c>
      <c r="AQ157" s="55" t="inlineStr">
        <is>
          <t>No. 958 Lujiazui Ring Road, Pudong New Area</t>
        </is>
      </c>
      <c r="AR157" s="56" t="inlineStr">
        <is>
          <t>Shanghai</t>
        </is>
      </c>
      <c r="AS157" s="57" t="inlineStr">
        <is>
          <t>Shanghai</t>
        </is>
      </c>
      <c r="AT157" s="58" t="inlineStr">
        <is>
          <t>200120</t>
        </is>
      </c>
      <c r="AU157" s="59" t="inlineStr">
        <is>
          <t>China</t>
        </is>
      </c>
      <c r="AV157" s="60" t="inlineStr">
        <is>
          <t>+86 (0)21 6886 5858</t>
        </is>
      </c>
      <c r="AW157" s="61" t="inlineStr">
        <is>
          <t>+86 (0)21 6886 6511</t>
        </is>
      </c>
      <c r="AX157" s="62" t="inlineStr">
        <is>
          <t>info@gangtaikonggu.com.cn</t>
        </is>
      </c>
      <c r="AY157" s="63" t="inlineStr">
        <is>
          <t>Asia</t>
        </is>
      </c>
      <c r="AZ157" s="64" t="inlineStr">
        <is>
          <t>East Asia</t>
        </is>
      </c>
      <c r="BA157" s="65" t="inlineStr">
        <is>
          <t/>
        </is>
      </c>
      <c r="BB157" s="66" t="inlineStr">
        <is>
          <t/>
        </is>
      </c>
      <c r="BC157" s="67" t="inlineStr">
        <is>
          <t/>
        </is>
      </c>
      <c r="BD157" s="68" t="inlineStr">
        <is>
          <t/>
        </is>
      </c>
      <c r="BE157" s="69" t="inlineStr">
        <is>
          <t/>
        </is>
      </c>
      <c r="BF157" s="70" t="inlineStr">
        <is>
          <t/>
        </is>
      </c>
      <c r="BG157" s="71" t="inlineStr">
        <is>
          <t/>
        </is>
      </c>
      <c r="BH157" s="72" t="inlineStr">
        <is>
          <t/>
        </is>
      </c>
      <c r="BI157" s="73" t="inlineStr">
        <is>
          <t/>
        </is>
      </c>
      <c r="BJ157" s="74" t="inlineStr">
        <is>
          <t/>
        </is>
      </c>
      <c r="BK157" s="75" t="inlineStr">
        <is>
          <t/>
        </is>
      </c>
      <c r="BL157" s="76" t="inlineStr">
        <is>
          <t/>
        </is>
      </c>
      <c r="BM157" s="77" t="inlineStr">
        <is>
          <t/>
        </is>
      </c>
      <c r="BN157" s="78" t="inlineStr">
        <is>
          <t/>
        </is>
      </c>
      <c r="BO157" s="79" t="inlineStr">
        <is>
          <t/>
        </is>
      </c>
      <c r="BP157" s="80" t="inlineStr">
        <is>
          <t/>
        </is>
      </c>
      <c r="BQ157" s="81" t="inlineStr">
        <is>
          <t/>
        </is>
      </c>
      <c r="BR157" s="82" t="inlineStr">
        <is>
          <t/>
        </is>
      </c>
      <c r="BS157" s="83" t="inlineStr">
        <is>
          <t/>
        </is>
      </c>
      <c r="BT157" s="84" t="inlineStr">
        <is>
          <t/>
        </is>
      </c>
      <c r="BU157" s="85" t="inlineStr">
        <is>
          <t/>
        </is>
      </c>
      <c r="BV157" s="86" t="inlineStr">
        <is>
          <t/>
        </is>
      </c>
      <c r="BW157" s="87" t="inlineStr">
        <is>
          <t/>
        </is>
      </c>
      <c r="BX157" s="88" t="inlineStr">
        <is>
          <t/>
        </is>
      </c>
      <c r="BY157" s="89" t="inlineStr">
        <is>
          <t/>
        </is>
      </c>
      <c r="BZ157" s="90" t="inlineStr">
        <is>
          <t/>
        </is>
      </c>
      <c r="CA157" s="91" t="inlineStr">
        <is>
          <t/>
        </is>
      </c>
      <c r="CB157" s="92" t="inlineStr">
        <is>
          <t/>
        </is>
      </c>
      <c r="CC157" s="93" t="inlineStr">
        <is>
          <t/>
        </is>
      </c>
      <c r="CD157" s="94" t="inlineStr">
        <is>
          <t/>
        </is>
      </c>
      <c r="CE157" s="95" t="inlineStr">
        <is>
          <t/>
        </is>
      </c>
      <c r="CF157" s="96" t="inlineStr">
        <is>
          <t/>
        </is>
      </c>
      <c r="CG157" s="97" t="inlineStr">
        <is>
          <t/>
        </is>
      </c>
      <c r="CH157" s="98" t="inlineStr">
        <is>
          <t/>
        </is>
      </c>
      <c r="CI157" s="99" t="inlineStr">
        <is>
          <t/>
        </is>
      </c>
      <c r="CJ157" s="100" t="inlineStr">
        <is>
          <t/>
        </is>
      </c>
      <c r="CK157" s="101" t="inlineStr">
        <is>
          <t/>
        </is>
      </c>
      <c r="CL157" s="102" t="inlineStr">
        <is>
          <t/>
        </is>
      </c>
      <c r="CM157" s="103" t="inlineStr">
        <is>
          <t/>
        </is>
      </c>
      <c r="CN157" s="104" t="n">
        <v>2.0</v>
      </c>
      <c r="CO157" s="105" t="n">
        <v>99.0</v>
      </c>
      <c r="CP157" s="106" t="n">
        <v>0.21</v>
      </c>
      <c r="CQ157" s="107" t="n">
        <v>11.89</v>
      </c>
      <c r="CR157" s="108" t="n">
        <v>2.0</v>
      </c>
      <c r="CS157" s="109" t="n">
        <v>99.0</v>
      </c>
      <c r="CT157" s="110" t="inlineStr">
        <is>
          <t/>
        </is>
      </c>
      <c r="CU157" s="111" t="inlineStr">
        <is>
          <t/>
        </is>
      </c>
      <c r="CV157" s="112" t="inlineStr">
        <is>
          <t/>
        </is>
      </c>
      <c r="CW157" s="113" t="inlineStr">
        <is>
          <t/>
        </is>
      </c>
      <c r="CX157" s="114" t="n">
        <v>2.0</v>
      </c>
      <c r="CY157" s="115" t="n">
        <v>99.0</v>
      </c>
      <c r="CZ157" s="116" t="inlineStr">
        <is>
          <t/>
        </is>
      </c>
      <c r="DA157" s="117" t="inlineStr">
        <is>
          <t/>
        </is>
      </c>
      <c r="DB157" s="118" t="n">
        <v>5.35</v>
      </c>
      <c r="DC157" s="119" t="n">
        <v>84.0</v>
      </c>
      <c r="DD157" s="120" t="n">
        <v>1.42</v>
      </c>
      <c r="DE157" s="121" t="n">
        <v>36.09</v>
      </c>
      <c r="DF157" s="122" t="n">
        <v>5.35</v>
      </c>
      <c r="DG157" s="123" t="n">
        <v>84.0</v>
      </c>
      <c r="DH157" s="124" t="inlineStr">
        <is>
          <t/>
        </is>
      </c>
      <c r="DI157" s="125" t="inlineStr">
        <is>
          <t/>
        </is>
      </c>
      <c r="DJ157" s="126" t="inlineStr">
        <is>
          <t/>
        </is>
      </c>
      <c r="DK157" s="127" t="inlineStr">
        <is>
          <t/>
        </is>
      </c>
      <c r="DL157" s="128" t="n">
        <v>5.35</v>
      </c>
      <c r="DM157" s="129" t="n">
        <v>83.0</v>
      </c>
      <c r="DN157" s="130" t="inlineStr">
        <is>
          <t/>
        </is>
      </c>
      <c r="DO157" s="131" t="inlineStr">
        <is>
          <t/>
        </is>
      </c>
      <c r="DP157" s="132" t="inlineStr">
        <is>
          <t/>
        </is>
      </c>
      <c r="DQ157" s="133" t="inlineStr">
        <is>
          <t/>
        </is>
      </c>
      <c r="DR157" s="134" t="inlineStr">
        <is>
          <t/>
        </is>
      </c>
      <c r="DS157" s="135" t="n">
        <v>179.0</v>
      </c>
      <c r="DT157" s="136" t="n">
        <v>3.0</v>
      </c>
      <c r="DU157" s="137" t="n">
        <v>1.7</v>
      </c>
      <c r="DV157" s="138" t="inlineStr">
        <is>
          <t/>
        </is>
      </c>
      <c r="DW157" s="139" t="inlineStr">
        <is>
          <t/>
        </is>
      </c>
      <c r="DX157" s="140" t="inlineStr">
        <is>
          <t/>
        </is>
      </c>
      <c r="DY157" s="141" t="inlineStr">
        <is>
          <t>PitchBook Research</t>
        </is>
      </c>
      <c r="DZ157" s="142" t="n">
        <v>43491.0</v>
      </c>
      <c r="EA157" s="143" t="inlineStr">
        <is>
          <t/>
        </is>
      </c>
      <c r="EB157" s="144" t="inlineStr">
        <is>
          <t/>
        </is>
      </c>
      <c r="EC157" s="145" t="inlineStr">
        <is>
          <t/>
        </is>
      </c>
      <c r="ED157" s="547">
        <f>HYPERLINK("https://my.pitchbook.com?c=165796-84", "View company online")</f>
      </c>
    </row>
    <row r="158">
      <c r="A158" s="147" t="inlineStr">
        <is>
          <t>60686-74</t>
        </is>
      </c>
      <c r="B158" s="148" t="inlineStr">
        <is>
          <t>FF Group (ATH: FFGRP)</t>
        </is>
      </c>
      <c r="C158" s="149" t="inlineStr">
        <is>
          <t>Folli Follie</t>
        </is>
      </c>
      <c r="D158" s="150" t="inlineStr">
        <is>
          <t/>
        </is>
      </c>
      <c r="E158" s="151" t="inlineStr">
        <is>
          <t>60686-74</t>
        </is>
      </c>
      <c r="F158" s="152" t="inlineStr">
        <is>
          <t>Folli Follie Commercial Manufacturing And Technical SA, formerly Folli Follie has three main operating segments. The Jewelry, Watches, and Accessories segment, which constitutes most of the company's sales, manufactures and distributes jewelry, watches, and accessories such as bags, belts, sunglasses, and small leather goods under the Folli Follie brand name. The Department stores segment operates Attica department stores and Factory Outlet discount stores in Greece. The Retail/wholesale segment wholesales and retails branded clothing, footwear, and other items. Most of the company's sales come from Asia, with the remainder primarily coming from Greece and other parts of Europe.</t>
        </is>
      </c>
      <c r="G158" s="153" t="inlineStr">
        <is>
          <t>Consumer Products and Services (B2C)</t>
        </is>
      </c>
      <c r="H158" s="154" t="inlineStr">
        <is>
          <t>Apparel and Accessories</t>
        </is>
      </c>
      <c r="I158" s="155" t="inlineStr">
        <is>
          <t>Accessories</t>
        </is>
      </c>
      <c r="J158" s="156" t="inlineStr">
        <is>
          <t>Accessories*, Clothing, Footwear, Luxury Goods, Other Apparel</t>
        </is>
      </c>
      <c r="K158" s="157" t="inlineStr">
        <is>
          <t>Manufacturing</t>
        </is>
      </c>
      <c r="L158" s="158" t="inlineStr">
        <is>
          <t>apparel and footwear</t>
        </is>
      </c>
      <c r="M158" s="159" t="inlineStr">
        <is>
          <t>Corporate Backed or Acquired</t>
        </is>
      </c>
      <c r="N158" s="160" t="inlineStr">
        <is>
          <t/>
        </is>
      </c>
      <c r="O158" s="161" t="inlineStr">
        <is>
          <t>Profitable</t>
        </is>
      </c>
      <c r="P158" s="162" t="inlineStr">
        <is>
          <t>Publicly Held</t>
        </is>
      </c>
      <c r="Q158" s="163" t="inlineStr">
        <is>
          <t>M&amp;A, Publicly Listed</t>
        </is>
      </c>
      <c r="R158" s="164" t="inlineStr">
        <is>
          <t>www.ffgroup.com</t>
        </is>
      </c>
      <c r="S158" s="165" t="n">
        <v>5079.0</v>
      </c>
      <c r="T158" s="166" t="inlineStr">
        <is>
          <t>2006: 3297, 2008: 5913, 2009: 5611, 2010: 5969, 2011: 6319, 2012: 6632, 2013: 5893, 2014: 4949, 2015: 5162, 2016: 5062, 2017: 5079</t>
        </is>
      </c>
      <c r="U158" s="167" t="inlineStr">
        <is>
          <t>ATH</t>
        </is>
      </c>
      <c r="V158" s="168" t="inlineStr">
        <is>
          <t>FFGRP</t>
        </is>
      </c>
      <c r="W158" s="169" t="n">
        <v>1982.0</v>
      </c>
      <c r="X158" s="170" t="inlineStr">
        <is>
          <t/>
        </is>
      </c>
      <c r="Y158" s="171" t="inlineStr">
        <is>
          <t/>
        </is>
      </c>
      <c r="Z158" s="172" t="inlineStr">
        <is>
          <t/>
        </is>
      </c>
      <c r="AA158" s="173" t="n">
        <v>1600.61</v>
      </c>
      <c r="AB158" s="174" t="n">
        <v>714.74</v>
      </c>
      <c r="AC158" s="175" t="n">
        <v>239.1</v>
      </c>
      <c r="AD158" s="176" t="n">
        <v>1394.62</v>
      </c>
      <c r="AE158" s="177" t="n">
        <v>329.61</v>
      </c>
      <c r="AF158" s="178" t="inlineStr">
        <is>
          <t>FY 2017</t>
        </is>
      </c>
      <c r="AG158" s="179" t="n">
        <v>290.93</v>
      </c>
      <c r="AH158" s="180" t="inlineStr">
        <is>
          <t/>
        </is>
      </c>
      <c r="AI158" s="181" t="n">
        <v>176.14</v>
      </c>
      <c r="AJ158" s="182" t="inlineStr">
        <is>
          <t>59882-50P</t>
        </is>
      </c>
      <c r="AK158" s="183" t="inlineStr">
        <is>
          <t>George Koutsolioutsos</t>
        </is>
      </c>
      <c r="AL158" s="184" t="inlineStr">
        <is>
          <t>Managing Director &amp; Executive member</t>
        </is>
      </c>
      <c r="AM158" s="185" t="inlineStr">
        <is>
          <t>george.koutsolioutsos@ffgroup.com</t>
        </is>
      </c>
      <c r="AN158" s="186" t="inlineStr">
        <is>
          <t>+30 210 624 1000</t>
        </is>
      </c>
      <c r="AO158" s="187" t="inlineStr">
        <is>
          <t>Athens, Greece</t>
        </is>
      </c>
      <c r="AP158" s="188" t="inlineStr">
        <is>
          <t>23rd km Athens – Lamia Highway</t>
        </is>
      </c>
      <c r="AQ158" s="189" t="inlineStr">
        <is>
          <t>Agios Stefanos, Attica</t>
        </is>
      </c>
      <c r="AR158" s="190" t="inlineStr">
        <is>
          <t>Athens</t>
        </is>
      </c>
      <c r="AS158" s="191" t="inlineStr">
        <is>
          <t/>
        </is>
      </c>
      <c r="AT158" s="192" t="inlineStr">
        <is>
          <t>145 65</t>
        </is>
      </c>
      <c r="AU158" s="193" t="inlineStr">
        <is>
          <t>Greece</t>
        </is>
      </c>
      <c r="AV158" s="194" t="inlineStr">
        <is>
          <t>+30 210 624 1000</t>
        </is>
      </c>
      <c r="AW158" s="195" t="inlineStr">
        <is>
          <t>+30 210 624 1100</t>
        </is>
      </c>
      <c r="AX158" s="196" t="inlineStr">
        <is>
          <t/>
        </is>
      </c>
      <c r="AY158" s="197" t="inlineStr">
        <is>
          <t>Europe</t>
        </is>
      </c>
      <c r="AZ158" s="198" t="inlineStr">
        <is>
          <t>Southern Europe</t>
        </is>
      </c>
      <c r="BA158" s="199" t="inlineStr">
        <is>
          <t>The company (ATHENS: FFGRP) received approximately $85 million of development capital from Fosun International on May 5, 2011.</t>
        </is>
      </c>
      <c r="BB158" s="200" t="inlineStr">
        <is>
          <t>Fosun International</t>
        </is>
      </c>
      <c r="BC158" s="201" t="n">
        <v>1.0</v>
      </c>
      <c r="BD158" s="202" t="inlineStr">
        <is>
          <t/>
        </is>
      </c>
      <c r="BE158" s="203" t="inlineStr">
        <is>
          <t/>
        </is>
      </c>
      <c r="BF158" s="204" t="inlineStr">
        <is>
          <t/>
        </is>
      </c>
      <c r="BG158" s="205" t="inlineStr">
        <is>
          <t>Fosun International(www.fosun.com)</t>
        </is>
      </c>
      <c r="BH158" s="206" t="inlineStr">
        <is>
          <t/>
        </is>
      </c>
      <c r="BI158" s="207" t="inlineStr">
        <is>
          <t/>
        </is>
      </c>
      <c r="BJ158" s="208" t="inlineStr">
        <is>
          <t/>
        </is>
      </c>
      <c r="BK158" s="209" t="inlineStr">
        <is>
          <t/>
        </is>
      </c>
      <c r="BL158" s="210" t="n">
        <v>40668.0</v>
      </c>
      <c r="BM158" s="211" t="n">
        <v>121.87</v>
      </c>
      <c r="BN158" s="212" t="inlineStr">
        <is>
          <t>Actual</t>
        </is>
      </c>
      <c r="BO158" s="213" t="n">
        <v>1282.89</v>
      </c>
      <c r="BP158" s="214" t="inlineStr">
        <is>
          <t>Estimated</t>
        </is>
      </c>
      <c r="BQ158" s="215" t="inlineStr">
        <is>
          <t>Corporate</t>
        </is>
      </c>
      <c r="BR158" s="216" t="inlineStr">
        <is>
          <t>Corporate</t>
        </is>
      </c>
      <c r="BS158" s="217" t="inlineStr">
        <is>
          <t/>
        </is>
      </c>
      <c r="BT158" s="218" t="inlineStr">
        <is>
          <t>Corporate</t>
        </is>
      </c>
      <c r="BU158" s="219" t="inlineStr">
        <is>
          <t/>
        </is>
      </c>
      <c r="BV158" s="220" t="inlineStr">
        <is>
          <t/>
        </is>
      </c>
      <c r="BW158" s="221" t="inlineStr">
        <is>
          <t/>
        </is>
      </c>
      <c r="BX158" s="222" t="inlineStr">
        <is>
          <t>Completed</t>
        </is>
      </c>
      <c r="BY158" s="223" t="n">
        <v>40668.0</v>
      </c>
      <c r="BZ158" s="224" t="n">
        <v>121.87</v>
      </c>
      <c r="CA158" s="225" t="inlineStr">
        <is>
          <t>Actual</t>
        </is>
      </c>
      <c r="CB158" s="226" t="n">
        <v>1282.89</v>
      </c>
      <c r="CC158" s="227" t="inlineStr">
        <is>
          <t>Estimated</t>
        </is>
      </c>
      <c r="CD158" s="228" t="inlineStr">
        <is>
          <t>Corporate</t>
        </is>
      </c>
      <c r="CE158" s="229" t="inlineStr">
        <is>
          <t>Corporate</t>
        </is>
      </c>
      <c r="CF158" s="230" t="inlineStr">
        <is>
          <t/>
        </is>
      </c>
      <c r="CG158" s="231" t="inlineStr">
        <is>
          <t>Corporate</t>
        </is>
      </c>
      <c r="CH158" s="232" t="inlineStr">
        <is>
          <t/>
        </is>
      </c>
      <c r="CI158" s="233" t="inlineStr">
        <is>
          <t/>
        </is>
      </c>
      <c r="CJ158" s="234" t="inlineStr">
        <is>
          <t/>
        </is>
      </c>
      <c r="CK158" s="235" t="inlineStr">
        <is>
          <t>Completed</t>
        </is>
      </c>
      <c r="CL158" s="236" t="inlineStr">
        <is>
          <t/>
        </is>
      </c>
      <c r="CM158" s="237" t="inlineStr">
        <is>
          <t/>
        </is>
      </c>
      <c r="CN158" s="238" t="n">
        <v>0.01</v>
      </c>
      <c r="CO158" s="239" t="n">
        <v>79.0</v>
      </c>
      <c r="CP158" s="240" t="n">
        <v>0.08</v>
      </c>
      <c r="CQ158" s="241" t="n">
        <v>113.19</v>
      </c>
      <c r="CR158" s="242" t="n">
        <v>0.06</v>
      </c>
      <c r="CS158" s="243" t="n">
        <v>86.0</v>
      </c>
      <c r="CT158" s="244" t="n">
        <v>-0.04</v>
      </c>
      <c r="CU158" s="245" t="n">
        <v>17.0</v>
      </c>
      <c r="CV158" s="246" t="inlineStr">
        <is>
          <t/>
        </is>
      </c>
      <c r="CW158" s="247" t="inlineStr">
        <is>
          <t/>
        </is>
      </c>
      <c r="CX158" s="248" t="n">
        <v>0.06</v>
      </c>
      <c r="CY158" s="249" t="n">
        <v>85.0</v>
      </c>
      <c r="CZ158" s="250" t="n">
        <v>-0.04</v>
      </c>
      <c r="DA158" s="251" t="n">
        <v>21.0</v>
      </c>
      <c r="DB158" s="252" t="n">
        <v>4.41</v>
      </c>
      <c r="DC158" s="253" t="n">
        <v>81.0</v>
      </c>
      <c r="DD158" s="254" t="n">
        <v>0.78</v>
      </c>
      <c r="DE158" s="255" t="n">
        <v>21.53</v>
      </c>
      <c r="DF158" s="256" t="n">
        <v>6.35</v>
      </c>
      <c r="DG158" s="257" t="n">
        <v>86.0</v>
      </c>
      <c r="DH158" s="258" t="n">
        <v>2.47</v>
      </c>
      <c r="DI158" s="259" t="n">
        <v>67.0</v>
      </c>
      <c r="DJ158" s="260" t="inlineStr">
        <is>
          <t/>
        </is>
      </c>
      <c r="DK158" s="261" t="inlineStr">
        <is>
          <t/>
        </is>
      </c>
      <c r="DL158" s="262" t="n">
        <v>6.35</v>
      </c>
      <c r="DM158" s="263" t="n">
        <v>85.0</v>
      </c>
      <c r="DN158" s="264" t="n">
        <v>2.47</v>
      </c>
      <c r="DO158" s="265" t="n">
        <v>68.0</v>
      </c>
      <c r="DP158" s="266" t="inlineStr">
        <is>
          <t/>
        </is>
      </c>
      <c r="DQ158" s="267" t="inlineStr">
        <is>
          <t/>
        </is>
      </c>
      <c r="DR158" s="268" t="inlineStr">
        <is>
          <t/>
        </is>
      </c>
      <c r="DS158" s="269" t="n">
        <v>216.0</v>
      </c>
      <c r="DT158" s="270" t="n">
        <v>0.0</v>
      </c>
      <c r="DU158" s="271" t="n">
        <v>0.0</v>
      </c>
      <c r="DV158" s="272" t="n">
        <v>888.0</v>
      </c>
      <c r="DW158" s="273" t="n">
        <v>-1.0</v>
      </c>
      <c r="DX158" s="274" t="n">
        <v>-0.11</v>
      </c>
      <c r="DY158" s="275" t="inlineStr">
        <is>
          <t>PitchBook Research</t>
        </is>
      </c>
      <c r="DZ158" s="276" t="n">
        <v>43492.0</v>
      </c>
      <c r="EA158" s="277" t="n">
        <v>1282.89</v>
      </c>
      <c r="EB158" s="278" t="n">
        <v>40668.0</v>
      </c>
      <c r="EC158" s="279" t="inlineStr">
        <is>
          <t>Corporate</t>
        </is>
      </c>
      <c r="ED158" s="548">
        <f>HYPERLINK("https://my.pitchbook.com?c=60686-74", "View company online")</f>
      </c>
    </row>
    <row r="159">
      <c r="A159" s="13" t="inlineStr">
        <is>
          <t>223339-78</t>
        </is>
      </c>
      <c r="B159" s="14" t="inlineStr">
        <is>
          <t>L.L. Bean</t>
        </is>
      </c>
      <c r="C159" s="15" t="inlineStr">
        <is>
          <t/>
        </is>
      </c>
      <c r="D159" s="16" t="inlineStr">
        <is>
          <t/>
        </is>
      </c>
      <c r="E159" s="17" t="inlineStr">
        <is>
          <t>223339-78</t>
        </is>
      </c>
      <c r="F159" s="18" t="inlineStr">
        <is>
          <t>Owner and operator of a retail company based in Freeport, Maine. The company offers a variety of products including travel shoes, apparel, outdoor gears, trekking bags and related accessories for hiking, trekking and adventurous tours, enabling customers to choose from a wide range of durable, long-lasting clothing and travel accessories.</t>
        </is>
      </c>
      <c r="G159" s="19" t="inlineStr">
        <is>
          <t>Consumer Products and Services (B2C)</t>
        </is>
      </c>
      <c r="H159" s="20" t="inlineStr">
        <is>
          <t>Apparel and Accessories</t>
        </is>
      </c>
      <c r="I159" s="21" t="inlineStr">
        <is>
          <t>Clothing</t>
        </is>
      </c>
      <c r="J159" s="22" t="inlineStr">
        <is>
          <t>Clothing*, Footwear, Internet Retail</t>
        </is>
      </c>
      <c r="K159" s="23" t="inlineStr">
        <is>
          <t>E-Commerce, TMT</t>
        </is>
      </c>
      <c r="L159" s="24" t="inlineStr">
        <is>
          <t>apparel and clothing, clothes, ecommerce, hiking accessories, retail company, retail stores</t>
        </is>
      </c>
      <c r="M159" s="25" t="inlineStr">
        <is>
          <t>Private Debt Financed</t>
        </is>
      </c>
      <c r="N159" s="26" t="inlineStr">
        <is>
          <t/>
        </is>
      </c>
      <c r="O159" s="27" t="inlineStr">
        <is>
          <t>Generating Revenue</t>
        </is>
      </c>
      <c r="P159" s="28" t="inlineStr">
        <is>
          <t>Privately Held (backing)</t>
        </is>
      </c>
      <c r="Q159" s="29" t="inlineStr">
        <is>
          <t>Debt Financed</t>
        </is>
      </c>
      <c r="R159" s="30" t="inlineStr">
        <is>
          <t>www.llbean.com</t>
        </is>
      </c>
      <c r="S159" s="31" t="n">
        <v>6000.0</v>
      </c>
      <c r="T159" s="32" t="inlineStr">
        <is>
          <t>2013: 9000, 2018: 6000</t>
        </is>
      </c>
      <c r="U159" s="33" t="inlineStr">
        <is>
          <t/>
        </is>
      </c>
      <c r="V159" s="34" t="inlineStr">
        <is>
          <t/>
        </is>
      </c>
      <c r="W159" s="35" t="n">
        <v>1912.0</v>
      </c>
      <c r="X159" s="36" t="inlineStr">
        <is>
          <t/>
        </is>
      </c>
      <c r="Y159" s="37" t="inlineStr">
        <is>
          <t/>
        </is>
      </c>
      <c r="Z159" s="38" t="inlineStr">
        <is>
          <t/>
        </is>
      </c>
      <c r="AA159" s="39" t="n">
        <v>1600.0</v>
      </c>
      <c r="AB159" s="40" t="inlineStr">
        <is>
          <t/>
        </is>
      </c>
      <c r="AC159" s="41" t="inlineStr">
        <is>
          <t/>
        </is>
      </c>
      <c r="AD159" s="42" t="inlineStr">
        <is>
          <t/>
        </is>
      </c>
      <c r="AE159" s="43" t="inlineStr">
        <is>
          <t/>
        </is>
      </c>
      <c r="AF159" s="44" t="inlineStr">
        <is>
          <t>FY 2018</t>
        </is>
      </c>
      <c r="AG159" s="45" t="inlineStr">
        <is>
          <t/>
        </is>
      </c>
      <c r="AH159" s="46" t="inlineStr">
        <is>
          <t/>
        </is>
      </c>
      <c r="AI159" s="47" t="inlineStr">
        <is>
          <t/>
        </is>
      </c>
      <c r="AJ159" s="48" t="inlineStr">
        <is>
          <t>177834-16P</t>
        </is>
      </c>
      <c r="AK159" s="49" t="inlineStr">
        <is>
          <t>Leon Bean</t>
        </is>
      </c>
      <c r="AL159" s="50" t="inlineStr">
        <is>
          <t>Founder</t>
        </is>
      </c>
      <c r="AM159" s="51" t="inlineStr">
        <is>
          <t/>
        </is>
      </c>
      <c r="AN159" s="52" t="inlineStr">
        <is>
          <t>+1 (800) 341-4341</t>
        </is>
      </c>
      <c r="AO159" s="53" t="inlineStr">
        <is>
          <t>Freeport, ME</t>
        </is>
      </c>
      <c r="AP159" s="54" t="inlineStr">
        <is>
          <t>L.L.Bean</t>
        </is>
      </c>
      <c r="AQ159" s="55" t="inlineStr">
        <is>
          <t>Department CFM</t>
        </is>
      </c>
      <c r="AR159" s="56" t="inlineStr">
        <is>
          <t>Freeport</t>
        </is>
      </c>
      <c r="AS159" s="57" t="inlineStr">
        <is>
          <t>Maine</t>
        </is>
      </c>
      <c r="AT159" s="58" t="inlineStr">
        <is>
          <t>04033</t>
        </is>
      </c>
      <c r="AU159" s="59" t="inlineStr">
        <is>
          <t>United States</t>
        </is>
      </c>
      <c r="AV159" s="60" t="inlineStr">
        <is>
          <t>+1 (800) 341-4341</t>
        </is>
      </c>
      <c r="AW159" s="61" t="inlineStr">
        <is>
          <t>+1 (207) 552-3080</t>
        </is>
      </c>
      <c r="AX159" s="62" t="inlineStr">
        <is>
          <t>preferences@llbean.com</t>
        </is>
      </c>
      <c r="AY159" s="63" t="inlineStr">
        <is>
          <t>Americas</t>
        </is>
      </c>
      <c r="AZ159" s="64" t="inlineStr">
        <is>
          <t>North America</t>
        </is>
      </c>
      <c r="BA159" s="65" t="inlineStr">
        <is>
          <t>The company received an undisclosed amount of debt financing in the form of a loan from undisclosed lenders. League Park Advisors advised the company in the deal.</t>
        </is>
      </c>
      <c r="BB159" s="66" t="inlineStr">
        <is>
          <t/>
        </is>
      </c>
      <c r="BC159" s="67" t="inlineStr">
        <is>
          <t/>
        </is>
      </c>
      <c r="BD159" s="68" t="inlineStr">
        <is>
          <t/>
        </is>
      </c>
      <c r="BE159" s="69" t="inlineStr">
        <is>
          <t/>
        </is>
      </c>
      <c r="BF159" s="70" t="inlineStr">
        <is>
          <t/>
        </is>
      </c>
      <c r="BG159" s="71" t="inlineStr">
        <is>
          <t/>
        </is>
      </c>
      <c r="BH159" s="72" t="inlineStr">
        <is>
          <t/>
        </is>
      </c>
      <c r="BI159" s="73" t="inlineStr">
        <is>
          <t/>
        </is>
      </c>
      <c r="BJ159" s="74" t="inlineStr">
        <is>
          <t/>
        </is>
      </c>
      <c r="BK159" s="75" t="inlineStr">
        <is>
          <t>League Park Advisors(Advisor: General)</t>
        </is>
      </c>
      <c r="BL159" s="76" t="inlineStr">
        <is>
          <t/>
        </is>
      </c>
      <c r="BM159" s="77" t="inlineStr">
        <is>
          <t/>
        </is>
      </c>
      <c r="BN159" s="78" t="inlineStr">
        <is>
          <t/>
        </is>
      </c>
      <c r="BO159" s="79" t="inlineStr">
        <is>
          <t/>
        </is>
      </c>
      <c r="BP159" s="80" t="inlineStr">
        <is>
          <t/>
        </is>
      </c>
      <c r="BQ159" s="81" t="inlineStr">
        <is>
          <t>Debt - General</t>
        </is>
      </c>
      <c r="BR159" s="82" t="inlineStr">
        <is>
          <t/>
        </is>
      </c>
      <c r="BS159" s="83" t="inlineStr">
        <is>
          <t/>
        </is>
      </c>
      <c r="BT159" s="84" t="inlineStr">
        <is>
          <t>Debt</t>
        </is>
      </c>
      <c r="BU159" s="85" t="inlineStr">
        <is>
          <t>Loan</t>
        </is>
      </c>
      <c r="BV159" s="86" t="inlineStr">
        <is>
          <t/>
        </is>
      </c>
      <c r="BW159" s="87" t="inlineStr">
        <is>
          <t/>
        </is>
      </c>
      <c r="BX159" s="88" t="inlineStr">
        <is>
          <t>Completed</t>
        </is>
      </c>
      <c r="BY159" s="89" t="inlineStr">
        <is>
          <t/>
        </is>
      </c>
      <c r="BZ159" s="90" t="inlineStr">
        <is>
          <t/>
        </is>
      </c>
      <c r="CA159" s="91" t="inlineStr">
        <is>
          <t/>
        </is>
      </c>
      <c r="CB159" s="92" t="inlineStr">
        <is>
          <t/>
        </is>
      </c>
      <c r="CC159" s="93" t="inlineStr">
        <is>
          <t/>
        </is>
      </c>
      <c r="CD159" s="94" t="inlineStr">
        <is>
          <t>Debt - General</t>
        </is>
      </c>
      <c r="CE159" s="95" t="inlineStr">
        <is>
          <t/>
        </is>
      </c>
      <c r="CF159" s="96" t="inlineStr">
        <is>
          <t/>
        </is>
      </c>
      <c r="CG159" s="97" t="inlineStr">
        <is>
          <t>Debt</t>
        </is>
      </c>
      <c r="CH159" s="98" t="inlineStr">
        <is>
          <t>Loan</t>
        </is>
      </c>
      <c r="CI159" s="99" t="inlineStr">
        <is>
          <t/>
        </is>
      </c>
      <c r="CJ159" s="100" t="inlineStr">
        <is>
          <t/>
        </is>
      </c>
      <c r="CK159" s="101" t="inlineStr">
        <is>
          <t>Completed</t>
        </is>
      </c>
      <c r="CL159" s="102" t="inlineStr">
        <is>
          <t/>
        </is>
      </c>
      <c r="CM159" s="103" t="inlineStr">
        <is>
          <t/>
        </is>
      </c>
      <c r="CN159" s="104" t="inlineStr">
        <is>
          <t/>
        </is>
      </c>
      <c r="CO159" s="105" t="inlineStr">
        <is>
          <t/>
        </is>
      </c>
      <c r="CP159" s="106" t="inlineStr">
        <is>
          <t/>
        </is>
      </c>
      <c r="CQ159" s="107" t="inlineStr">
        <is>
          <t/>
        </is>
      </c>
      <c r="CR159" s="108" t="inlineStr">
        <is>
          <t/>
        </is>
      </c>
      <c r="CS159" s="109" t="inlineStr">
        <is>
          <t/>
        </is>
      </c>
      <c r="CT159" s="110" t="inlineStr">
        <is>
          <t/>
        </is>
      </c>
      <c r="CU159" s="111" t="inlineStr">
        <is>
          <t/>
        </is>
      </c>
      <c r="CV159" s="112" t="inlineStr">
        <is>
          <t/>
        </is>
      </c>
      <c r="CW159" s="113" t="inlineStr">
        <is>
          <t/>
        </is>
      </c>
      <c r="CX159" s="114" t="inlineStr">
        <is>
          <t/>
        </is>
      </c>
      <c r="CY159" s="115" t="inlineStr">
        <is>
          <t/>
        </is>
      </c>
      <c r="CZ159" s="116" t="inlineStr">
        <is>
          <t/>
        </is>
      </c>
      <c r="DA159" s="117" t="inlineStr">
        <is>
          <t/>
        </is>
      </c>
      <c r="DB159" s="118" t="inlineStr">
        <is>
          <t/>
        </is>
      </c>
      <c r="DC159" s="119" t="inlineStr">
        <is>
          <t/>
        </is>
      </c>
      <c r="DD159" s="120" t="inlineStr">
        <is>
          <t/>
        </is>
      </c>
      <c r="DE159" s="121" t="inlineStr">
        <is>
          <t/>
        </is>
      </c>
      <c r="DF159" s="122" t="inlineStr">
        <is>
          <t/>
        </is>
      </c>
      <c r="DG159" s="123" t="inlineStr">
        <is>
          <t/>
        </is>
      </c>
      <c r="DH159" s="124" t="inlineStr">
        <is>
          <t/>
        </is>
      </c>
      <c r="DI159" s="125" t="inlineStr">
        <is>
          <t/>
        </is>
      </c>
      <c r="DJ159" s="126" t="inlineStr">
        <is>
          <t/>
        </is>
      </c>
      <c r="DK159" s="127" t="inlineStr">
        <is>
          <t/>
        </is>
      </c>
      <c r="DL159" s="128" t="inlineStr">
        <is>
          <t/>
        </is>
      </c>
      <c r="DM159" s="129" t="inlineStr">
        <is>
          <t/>
        </is>
      </c>
      <c r="DN159" s="130" t="inlineStr">
        <is>
          <t/>
        </is>
      </c>
      <c r="DO159" s="131" t="inlineStr">
        <is>
          <t/>
        </is>
      </c>
      <c r="DP159" s="132" t="inlineStr">
        <is>
          <t/>
        </is>
      </c>
      <c r="DQ159" s="133" t="inlineStr">
        <is>
          <t/>
        </is>
      </c>
      <c r="DR159" s="134" t="inlineStr">
        <is>
          <t/>
        </is>
      </c>
      <c r="DS159" s="135" t="inlineStr">
        <is>
          <t/>
        </is>
      </c>
      <c r="DT159" s="136" t="inlineStr">
        <is>
          <t/>
        </is>
      </c>
      <c r="DU159" s="137" t="inlineStr">
        <is>
          <t/>
        </is>
      </c>
      <c r="DV159" s="138" t="inlineStr">
        <is>
          <t/>
        </is>
      </c>
      <c r="DW159" s="139" t="inlineStr">
        <is>
          <t/>
        </is>
      </c>
      <c r="DX159" s="140" t="inlineStr">
        <is>
          <t/>
        </is>
      </c>
      <c r="DY159" s="141" t="inlineStr">
        <is>
          <t>PitchBook Research</t>
        </is>
      </c>
      <c r="DZ159" s="142" t="n">
        <v>43493.0</v>
      </c>
      <c r="EA159" s="143" t="inlineStr">
        <is>
          <t/>
        </is>
      </c>
      <c r="EB159" s="144" t="inlineStr">
        <is>
          <t/>
        </is>
      </c>
      <c r="EC159" s="145" t="inlineStr">
        <is>
          <t/>
        </is>
      </c>
      <c r="ED159" s="547">
        <f>HYPERLINK("https://my.pitchbook.com?c=223339-78", "View company online")</f>
      </c>
    </row>
    <row r="160">
      <c r="A160" s="147" t="inlineStr">
        <is>
          <t>42790-96</t>
        </is>
      </c>
      <c r="B160" s="148" t="inlineStr">
        <is>
          <t>Li Ning (HKG: 02331)</t>
        </is>
      </c>
      <c r="C160" s="149" t="inlineStr">
        <is>
          <t/>
        </is>
      </c>
      <c r="D160" s="150" t="inlineStr">
        <is>
          <t/>
        </is>
      </c>
      <c r="E160" s="151" t="inlineStr">
        <is>
          <t>42790-96</t>
        </is>
      </c>
      <c r="F160" s="152" t="inlineStr">
        <is>
          <t>Li Ning Co Ltd designs, manufactures, and markets athletic footwear and apparel through a network of 6809 stores (with over 75% of stores located in second- and third-tier cities) in China. Besides its reputable sportswear brand Li Ning, the company's brand portfolio also includes Z-Do, AIGLE, Double Happiness, Lotto and Kason. Most of its sales are generated from mainland China, and its core brand Li Ning represented about 92% of sales in 2008.</t>
        </is>
      </c>
      <c r="G160" s="153" t="inlineStr">
        <is>
          <t>Consumer Products and Services (B2C)</t>
        </is>
      </c>
      <c r="H160" s="154" t="inlineStr">
        <is>
          <t>Retail</t>
        </is>
      </c>
      <c r="I160" s="155" t="inlineStr">
        <is>
          <t>Distributors/Wholesale (B2C)</t>
        </is>
      </c>
      <c r="J160" s="156" t="inlineStr">
        <is>
          <t>Accessories, Clothing, Distributors/Wholesale (B2C)*, Footwear</t>
        </is>
      </c>
      <c r="K160" s="157" t="inlineStr">
        <is>
          <t>Manufacturing</t>
        </is>
      </c>
      <c r="L160" s="158" t="inlineStr">
        <is>
          <t>footwear provider, port branding company, sports accessories, sports apparel, sportswear branding, sportswear provider</t>
        </is>
      </c>
      <c r="M160" s="159" t="inlineStr">
        <is>
          <t>Corporation</t>
        </is>
      </c>
      <c r="N160" s="160" t="n">
        <v>725.63</v>
      </c>
      <c r="O160" s="161" t="inlineStr">
        <is>
          <t>Profitable</t>
        </is>
      </c>
      <c r="P160" s="162" t="inlineStr">
        <is>
          <t>Publicly Held</t>
        </is>
      </c>
      <c r="Q160" s="163" t="inlineStr">
        <is>
          <t>Debt Financed, Private Equity, Publicly Listed</t>
        </is>
      </c>
      <c r="R160" s="164" t="inlineStr">
        <is>
          <t>www.lining.com</t>
        </is>
      </c>
      <c r="S160" s="165" t="n">
        <v>2412.0</v>
      </c>
      <c r="T160" s="166" t="inlineStr">
        <is>
          <t>2007: 2904, 2008: 4001, 2009: 4432, 2010: 4373, 2011: 4180, 2012: 3732, 2013: 3592, 2014: 3834, 2015: 3036, 2016: 2890, 2017: 2182, 2018: 2412</t>
        </is>
      </c>
      <c r="U160" s="167" t="inlineStr">
        <is>
          <t>HKG</t>
        </is>
      </c>
      <c r="V160" s="168" t="inlineStr">
        <is>
          <t>02331</t>
        </is>
      </c>
      <c r="W160" s="169" t="n">
        <v>1990.0</v>
      </c>
      <c r="X160" s="170" t="inlineStr">
        <is>
          <t/>
        </is>
      </c>
      <c r="Y160" s="171" t="inlineStr">
        <is>
          <t>News (New) </t>
        </is>
      </c>
      <c r="Z160" s="172" t="inlineStr">
        <is>
          <t>News (New) , Competitor (New) Under Armour</t>
        </is>
      </c>
      <c r="AA160" s="173" t="n">
        <v>1588.88</v>
      </c>
      <c r="AB160" s="174" t="n">
        <v>763.8</v>
      </c>
      <c r="AC160" s="175" t="n">
        <v>108.12</v>
      </c>
      <c r="AD160" s="176" t="n">
        <v>1890.0</v>
      </c>
      <c r="AE160" s="177" t="n">
        <v>126.93</v>
      </c>
      <c r="AF160" s="178" t="inlineStr">
        <is>
          <t>FY 2018</t>
        </is>
      </c>
      <c r="AG160" s="179" t="n">
        <v>126.93</v>
      </c>
      <c r="AH160" s="180" t="n">
        <v>3547.37</v>
      </c>
      <c r="AI160" s="181" t="n">
        <v>-531.66</v>
      </c>
      <c r="AJ160" s="182" t="inlineStr">
        <is>
          <t>56364-31P</t>
        </is>
      </c>
      <c r="AK160" s="183" t="inlineStr">
        <is>
          <t>Terence Tsang</t>
        </is>
      </c>
      <c r="AL160" s="184" t="inlineStr">
        <is>
          <t>Group Chief Financial Officer</t>
        </is>
      </c>
      <c r="AM160" s="185" t="inlineStr">
        <is>
          <t>terence.tsang@li-ning.com.cn</t>
        </is>
      </c>
      <c r="AN160" s="186" t="inlineStr">
        <is>
          <t>+86 (0)10 8080 0808</t>
        </is>
      </c>
      <c r="AO160" s="187" t="inlineStr">
        <is>
          <t>Beijing, China</t>
        </is>
      </c>
      <c r="AP160" s="188" t="inlineStr">
        <is>
          <t>No. 8 Xing Guang 5th Street</t>
        </is>
      </c>
      <c r="AQ160" s="189" t="inlineStr">
        <is>
          <t>Opto-Mechatronics Industrial Park, Zhongguancun Science &amp; Technology Area, Tongzhou District</t>
        </is>
      </c>
      <c r="AR160" s="190" t="inlineStr">
        <is>
          <t>Beijing</t>
        </is>
      </c>
      <c r="AS160" s="191" t="inlineStr">
        <is>
          <t/>
        </is>
      </c>
      <c r="AT160" s="192" t="inlineStr">
        <is>
          <t>101111</t>
        </is>
      </c>
      <c r="AU160" s="193" t="inlineStr">
        <is>
          <t>China</t>
        </is>
      </c>
      <c r="AV160" s="194" t="inlineStr">
        <is>
          <t>+86 (0)10 8080 0808</t>
        </is>
      </c>
      <c r="AW160" s="195" t="inlineStr">
        <is>
          <t>+86 (0)10 8080 0000</t>
        </is>
      </c>
      <c r="AX160" s="196" t="inlineStr">
        <is>
          <t/>
        </is>
      </c>
      <c r="AY160" s="197" t="inlineStr">
        <is>
          <t>Asia</t>
        </is>
      </c>
      <c r="AZ160" s="198" t="inlineStr">
        <is>
          <t>East Asia</t>
        </is>
      </c>
      <c r="BA160" s="199" t="inlineStr">
        <is>
          <t>The company (HK: 2331) was in talks to receive HKD 1.69 billion of development capital from undisclosed investors, through a private placement on December 17, 2014. Subsequently the deal was cancelled. Previously, the company (SEHK:2331) received $238.3 million of debt financing from undisclosed lenders on April 19, 2013. Milestone Capital also participated.</t>
        </is>
      </c>
      <c r="BB160" s="200" t="inlineStr">
        <is>
          <t>CDH Investments, GIC Private, Milestone Capital, TPG Capital, Viva China</t>
        </is>
      </c>
      <c r="BC160" s="201" t="n">
        <v>5.0</v>
      </c>
      <c r="BD160" s="202" t="inlineStr">
        <is>
          <t/>
        </is>
      </c>
      <c r="BE160" s="203" t="inlineStr">
        <is>
          <t/>
        </is>
      </c>
      <c r="BF160" s="204" t="inlineStr">
        <is>
          <t/>
        </is>
      </c>
      <c r="BG160" s="205" t="inlineStr">
        <is>
          <t>CDH Investments(www.cdhfund.com), GIC Private(www.gic.com.sg), Milestone Capital(www.mcmchina.com), TPG Capital(www.tpg.com), Viva China(www.vivachina.hk)</t>
        </is>
      </c>
      <c r="BH160" s="206" t="inlineStr">
        <is>
          <t/>
        </is>
      </c>
      <c r="BI160" s="207" t="inlineStr">
        <is>
          <t/>
        </is>
      </c>
      <c r="BJ160" s="208" t="inlineStr">
        <is>
          <t>ATFIS(Advisor: General), Hejun Group(Consulting), Somerley(Advisor: General), Troutman Sanders(Legal Advisor)</t>
        </is>
      </c>
      <c r="BK160" s="209" t="inlineStr">
        <is>
          <t>Deutsche Bank (Corporate &amp; Investment Bank)(Underwriter)</t>
        </is>
      </c>
      <c r="BL160" s="210" t="n">
        <v>37645.0</v>
      </c>
      <c r="BM160" s="211" t="inlineStr">
        <is>
          <t/>
        </is>
      </c>
      <c r="BN160" s="212" t="inlineStr">
        <is>
          <t/>
        </is>
      </c>
      <c r="BO160" s="213" t="inlineStr">
        <is>
          <t/>
        </is>
      </c>
      <c r="BP160" s="214" t="inlineStr">
        <is>
          <t/>
        </is>
      </c>
      <c r="BQ160" s="215" t="inlineStr">
        <is>
          <t>PE Growth/Expansion</t>
        </is>
      </c>
      <c r="BR160" s="216" t="inlineStr">
        <is>
          <t/>
        </is>
      </c>
      <c r="BS160" s="217" t="inlineStr">
        <is>
          <t/>
        </is>
      </c>
      <c r="BT160" s="218" t="inlineStr">
        <is>
          <t>Private Equity</t>
        </is>
      </c>
      <c r="BU160" s="219" t="inlineStr">
        <is>
          <t/>
        </is>
      </c>
      <c r="BV160" s="220" t="inlineStr">
        <is>
          <t/>
        </is>
      </c>
      <c r="BW160" s="221" t="inlineStr">
        <is>
          <t/>
        </is>
      </c>
      <c r="BX160" s="222" t="inlineStr">
        <is>
          <t>Completed</t>
        </is>
      </c>
      <c r="BY160" s="223" t="n">
        <v>41990.0</v>
      </c>
      <c r="BZ160" s="224" t="n">
        <v>217.93</v>
      </c>
      <c r="CA160" s="225" t="inlineStr">
        <is>
          <t>Actual</t>
        </is>
      </c>
      <c r="CB160" s="226" t="inlineStr">
        <is>
          <t/>
        </is>
      </c>
      <c r="CC160" s="227" t="inlineStr">
        <is>
          <t/>
        </is>
      </c>
      <c r="CD160" s="228" t="inlineStr">
        <is>
          <t>PIPE</t>
        </is>
      </c>
      <c r="CE160" s="229" t="inlineStr">
        <is>
          <t/>
        </is>
      </c>
      <c r="CF160" s="230" t="inlineStr">
        <is>
          <t/>
        </is>
      </c>
      <c r="CG160" s="231" t="inlineStr">
        <is>
          <t>Private Equity</t>
        </is>
      </c>
      <c r="CH160" s="232" t="inlineStr">
        <is>
          <t/>
        </is>
      </c>
      <c r="CI160" s="233" t="inlineStr">
        <is>
          <t/>
        </is>
      </c>
      <c r="CJ160" s="234" t="inlineStr">
        <is>
          <t/>
        </is>
      </c>
      <c r="CK160" s="235" t="inlineStr">
        <is>
          <t>Failed/Cancelled</t>
        </is>
      </c>
      <c r="CL160" s="236" t="inlineStr">
        <is>
          <t/>
        </is>
      </c>
      <c r="CM160" s="237" t="inlineStr">
        <is>
          <t/>
        </is>
      </c>
      <c r="CN160" s="238" t="n">
        <v>1.67</v>
      </c>
      <c r="CO160" s="239" t="n">
        <v>99.0</v>
      </c>
      <c r="CP160" s="240" t="n">
        <v>0.0</v>
      </c>
      <c r="CQ160" s="241" t="n">
        <v>-0.25</v>
      </c>
      <c r="CR160" s="242" t="n">
        <v>1.67</v>
      </c>
      <c r="CS160" s="243" t="n">
        <v>98.0</v>
      </c>
      <c r="CT160" s="244" t="inlineStr">
        <is>
          <t/>
        </is>
      </c>
      <c r="CU160" s="245" t="inlineStr">
        <is>
          <t/>
        </is>
      </c>
      <c r="CV160" s="246" t="n">
        <v>3.05</v>
      </c>
      <c r="CW160" s="247" t="n">
        <v>94.0</v>
      </c>
      <c r="CX160" s="248" t="n">
        <v>0.3</v>
      </c>
      <c r="CY160" s="249" t="n">
        <v>91.0</v>
      </c>
      <c r="CZ160" s="250" t="inlineStr">
        <is>
          <t/>
        </is>
      </c>
      <c r="DA160" s="251" t="inlineStr">
        <is>
          <t/>
        </is>
      </c>
      <c r="DB160" s="252" t="n">
        <v>75.63</v>
      </c>
      <c r="DC160" s="253" t="n">
        <v>99.0</v>
      </c>
      <c r="DD160" s="254" t="n">
        <v>18.14</v>
      </c>
      <c r="DE160" s="255" t="n">
        <v>31.55</v>
      </c>
      <c r="DF160" s="256" t="n">
        <v>75.63</v>
      </c>
      <c r="DG160" s="257" t="n">
        <v>99.0</v>
      </c>
      <c r="DH160" s="258" t="inlineStr">
        <is>
          <t/>
        </is>
      </c>
      <c r="DI160" s="259" t="inlineStr">
        <is>
          <t/>
        </is>
      </c>
      <c r="DJ160" s="260" t="n">
        <v>3.5</v>
      </c>
      <c r="DK160" s="261" t="n">
        <v>74.0</v>
      </c>
      <c r="DL160" s="262" t="n">
        <v>147.76</v>
      </c>
      <c r="DM160" s="263" t="n">
        <v>100.0</v>
      </c>
      <c r="DN160" s="264" t="inlineStr">
        <is>
          <t/>
        </is>
      </c>
      <c r="DO160" s="265" t="inlineStr">
        <is>
          <t/>
        </is>
      </c>
      <c r="DP160" s="266" t="n">
        <v>2509.0</v>
      </c>
      <c r="DQ160" s="267" t="n">
        <v>-91.0</v>
      </c>
      <c r="DR160" s="268" t="n">
        <v>-3.5</v>
      </c>
      <c r="DS160" s="269" t="n">
        <v>5021.0</v>
      </c>
      <c r="DT160" s="270" t="n">
        <v>11.0</v>
      </c>
      <c r="DU160" s="271" t="n">
        <v>0.22</v>
      </c>
      <c r="DV160" s="272" t="inlineStr">
        <is>
          <t/>
        </is>
      </c>
      <c r="DW160" s="273" t="inlineStr">
        <is>
          <t/>
        </is>
      </c>
      <c r="DX160" s="274" t="inlineStr">
        <is>
          <t/>
        </is>
      </c>
      <c r="DY160" s="275" t="inlineStr">
        <is>
          <t>PitchBook Research</t>
        </is>
      </c>
      <c r="DZ160" s="276" t="n">
        <v>43492.0</v>
      </c>
      <c r="EA160" s="277" t="n">
        <v>700.0</v>
      </c>
      <c r="EB160" s="278" t="n">
        <v>41298.0</v>
      </c>
      <c r="EC160" s="279" t="inlineStr">
        <is>
          <t>PIPE</t>
        </is>
      </c>
      <c r="ED160" s="548">
        <f>HYPERLINK("https://my.pitchbook.com?c=42790-96", "View company online")</f>
      </c>
    </row>
    <row r="161">
      <c r="A161" s="13" t="inlineStr">
        <is>
          <t>49871-17</t>
        </is>
      </c>
      <c r="B161" s="14" t="inlineStr">
        <is>
          <t>Ansell (ASX: ANN)</t>
        </is>
      </c>
      <c r="C161" s="15" t="inlineStr">
        <is>
          <t>Pacific Dunlop, Dunlop Australia, Dunlop Pneumatic Tyre Company of Australasia, Dunlop Rubber Company of Australasia, Dunlop Perdriau, Dunlop Olympic</t>
        </is>
      </c>
      <c r="D161" s="16" t="inlineStr">
        <is>
          <t/>
        </is>
      </c>
      <c r="E161" s="17" t="inlineStr">
        <is>
          <t>49871-17</t>
        </is>
      </c>
      <c r="F161" s="18" t="inlineStr">
        <is>
          <t>Ansell is a global provider of health and safety protection solutions, employing more than 10,000 staff in the Americas, Europe, and Asia. The firm designs, develops, manufactures, and markets a range of surgical, medical examination, industrial, and household gloves, along with protective clothing and condoms. Ansell is a global leader in several product categories. In 2002, having progressively divested its nonglove businesses, the listed Pacific Dunlop changed its name to Ansell Limited.</t>
        </is>
      </c>
      <c r="G161" s="19" t="inlineStr">
        <is>
          <t>Consumer Products and Services (B2C)</t>
        </is>
      </c>
      <c r="H161" s="20" t="inlineStr">
        <is>
          <t>Apparel and Accessories</t>
        </is>
      </c>
      <c r="I161" s="21" t="inlineStr">
        <is>
          <t>Other Apparel</t>
        </is>
      </c>
      <c r="J161" s="22" t="inlineStr">
        <is>
          <t>Other Apparel*</t>
        </is>
      </c>
      <c r="K161" s="23" t="inlineStr">
        <is>
          <t>Manufacturing</t>
        </is>
      </c>
      <c r="L161" s="24" t="inlineStr">
        <is>
          <t>home healthcare, life science, medical product, wellness product</t>
        </is>
      </c>
      <c r="M161" s="25" t="inlineStr">
        <is>
          <t>Corporation</t>
        </is>
      </c>
      <c r="N161" s="26" t="inlineStr">
        <is>
          <t/>
        </is>
      </c>
      <c r="O161" s="27" t="inlineStr">
        <is>
          <t>Profitable</t>
        </is>
      </c>
      <c r="P161" s="28" t="inlineStr">
        <is>
          <t>Publicly Held</t>
        </is>
      </c>
      <c r="Q161" s="29" t="inlineStr">
        <is>
          <t>Private Equity, Publicly Listed</t>
        </is>
      </c>
      <c r="R161" s="30" t="inlineStr">
        <is>
          <t>www.ansell.com</t>
        </is>
      </c>
      <c r="S161" s="31" t="n">
        <v>12482.0</v>
      </c>
      <c r="T161" s="32" t="inlineStr">
        <is>
          <t>1989: 44753, 1990: 41013, 1991: 40504, 1992: 48252, 1993: 47071, 1994: 49449, 1995: 48234, 1996: 34872, 1997: 38148, 1998: 31869, 1999: 38438, 2000: 20142, 2001: 23482, 2002: 12160, 2003: 12013, 2004: 11530, 2005: 11059, 2007: 11594, 2008: 11230, 2009: 10265, 2010: 10376, 2011: 10207, 2012: 10486, 2013: 12596, 2015: 14500, 2016: 15890, 2017: 15483, 2018: 12482</t>
        </is>
      </c>
      <c r="U161" s="33" t="inlineStr">
        <is>
          <t>ASX</t>
        </is>
      </c>
      <c r="V161" s="34" t="inlineStr">
        <is>
          <t>ANN</t>
        </is>
      </c>
      <c r="W161" s="35" t="n">
        <v>1899.0</v>
      </c>
      <c r="X161" s="36" t="inlineStr">
        <is>
          <t/>
        </is>
      </c>
      <c r="Y161" s="37" t="inlineStr">
        <is>
          <t/>
        </is>
      </c>
      <c r="Z161" s="38" t="inlineStr">
        <is>
          <t/>
        </is>
      </c>
      <c r="AA161" s="39" t="n">
        <v>1580.6</v>
      </c>
      <c r="AB161" s="40" t="n">
        <v>618.8</v>
      </c>
      <c r="AC161" s="41" t="n">
        <v>121.11</v>
      </c>
      <c r="AD161" s="42" t="n">
        <v>2199.78</v>
      </c>
      <c r="AE161" s="43" t="n">
        <v>202.81</v>
      </c>
      <c r="AF161" s="44" t="inlineStr">
        <is>
          <t>TTM 2Q2019</t>
        </is>
      </c>
      <c r="AG161" s="45" t="n">
        <v>162.61</v>
      </c>
      <c r="AH161" s="46" t="n">
        <v>2363.49</v>
      </c>
      <c r="AI161" s="47" t="n">
        <v>128.44</v>
      </c>
      <c r="AJ161" s="48" t="inlineStr">
        <is>
          <t>89930-26P</t>
        </is>
      </c>
      <c r="AK161" s="49" t="inlineStr">
        <is>
          <t>Neil Salmon</t>
        </is>
      </c>
      <c r="AL161" s="50" t="inlineStr">
        <is>
          <t>Chief Financial Officer</t>
        </is>
      </c>
      <c r="AM161" s="51" t="inlineStr">
        <is>
          <t>nsalmon@ansell.com</t>
        </is>
      </c>
      <c r="AN161" s="52" t="inlineStr">
        <is>
          <t>+61 (0)3 9270 7270</t>
        </is>
      </c>
      <c r="AO161" s="53" t="inlineStr">
        <is>
          <t>Richmond, Australia</t>
        </is>
      </c>
      <c r="AP161" s="54" t="inlineStr">
        <is>
          <t>678 Victoria Street</t>
        </is>
      </c>
      <c r="AQ161" s="55" t="inlineStr">
        <is>
          <t>Level 3</t>
        </is>
      </c>
      <c r="AR161" s="56" t="inlineStr">
        <is>
          <t>Richmond</t>
        </is>
      </c>
      <c r="AS161" s="57" t="inlineStr">
        <is>
          <t>Victoria</t>
        </is>
      </c>
      <c r="AT161" s="58" t="inlineStr">
        <is>
          <t>3121</t>
        </is>
      </c>
      <c r="AU161" s="59" t="inlineStr">
        <is>
          <t>Australia</t>
        </is>
      </c>
      <c r="AV161" s="60" t="inlineStr">
        <is>
          <t>+61 (0)3 9270 7270</t>
        </is>
      </c>
      <c r="AW161" s="61" t="inlineStr">
        <is>
          <t>+61 (0)3 9270 7300</t>
        </is>
      </c>
      <c r="AX161" s="62" t="inlineStr">
        <is>
          <t>info@ansell.com</t>
        </is>
      </c>
      <c r="AY161" s="63" t="inlineStr">
        <is>
          <t>Oceania</t>
        </is>
      </c>
      <c r="AZ161" s="64" t="inlineStr">
        <is>
          <t>Oceania</t>
        </is>
      </c>
      <c r="BA161" s="65" t="inlineStr">
        <is>
          <t>Fidelity Management &amp; Research, Goldman Sachs Asset Management, Investors Mutual, Investment and Yarra Funds Management acquired a 26.7% stake in the company (ASX: ANN) on May 1, 2017 through a private placement.</t>
        </is>
      </c>
      <c r="BB161" s="66" t="inlineStr">
        <is>
          <t>Fidelity Management &amp; Research, Goldman Sachs Asset Management, Investors Mutual, Yarra Funds Management</t>
        </is>
      </c>
      <c r="BC161" s="67" t="n">
        <v>4.0</v>
      </c>
      <c r="BD161" s="68" t="inlineStr">
        <is>
          <t/>
        </is>
      </c>
      <c r="BE161" s="69" t="inlineStr">
        <is>
          <t/>
        </is>
      </c>
      <c r="BF161" s="70" t="inlineStr">
        <is>
          <t/>
        </is>
      </c>
      <c r="BG161" s="71" t="inlineStr">
        <is>
          <t>Goldman Sachs Asset Management(www.gsam.com), Investors Mutual(www.iml.com.au), Yarra Funds Management(www.yarracm.com)</t>
        </is>
      </c>
      <c r="BH161" s="72" t="inlineStr">
        <is>
          <t/>
        </is>
      </c>
      <c r="BI161" s="73" t="inlineStr">
        <is>
          <t/>
        </is>
      </c>
      <c r="BJ161" s="74" t="inlineStr">
        <is>
          <t/>
        </is>
      </c>
      <c r="BK161" s="75" t="inlineStr">
        <is>
          <t/>
        </is>
      </c>
      <c r="BL161" s="76" t="n">
        <v>-1.0</v>
      </c>
      <c r="BM161" s="77" t="n">
        <v>0.13</v>
      </c>
      <c r="BN161" s="78" t="inlineStr">
        <is>
          <t>Actual</t>
        </is>
      </c>
      <c r="BO161" s="79" t="inlineStr">
        <is>
          <t/>
        </is>
      </c>
      <c r="BP161" s="80" t="inlineStr">
        <is>
          <t/>
        </is>
      </c>
      <c r="BQ161" s="81" t="inlineStr">
        <is>
          <t>IPO</t>
        </is>
      </c>
      <c r="BR161" s="82" t="inlineStr">
        <is>
          <t/>
        </is>
      </c>
      <c r="BS161" s="83" t="inlineStr">
        <is>
          <t/>
        </is>
      </c>
      <c r="BT161" s="84" t="inlineStr">
        <is>
          <t>Public Investment</t>
        </is>
      </c>
      <c r="BU161" s="85" t="inlineStr">
        <is>
          <t/>
        </is>
      </c>
      <c r="BV161" s="86" t="inlineStr">
        <is>
          <t/>
        </is>
      </c>
      <c r="BW161" s="87" t="inlineStr">
        <is>
          <t/>
        </is>
      </c>
      <c r="BX161" s="88" t="inlineStr">
        <is>
          <t>Completed</t>
        </is>
      </c>
      <c r="BY161" s="89" t="n">
        <v>42870.0</v>
      </c>
      <c r="BZ161" s="90" t="inlineStr">
        <is>
          <t/>
        </is>
      </c>
      <c r="CA161" s="91" t="inlineStr">
        <is>
          <t/>
        </is>
      </c>
      <c r="CB161" s="92" t="inlineStr">
        <is>
          <t/>
        </is>
      </c>
      <c r="CC161" s="93" t="inlineStr">
        <is>
          <t/>
        </is>
      </c>
      <c r="CD161" s="94" t="inlineStr">
        <is>
          <t>PIPE</t>
        </is>
      </c>
      <c r="CE161" s="95" t="inlineStr">
        <is>
          <t/>
        </is>
      </c>
      <c r="CF161" s="96" t="inlineStr">
        <is>
          <t/>
        </is>
      </c>
      <c r="CG161" s="97" t="inlineStr">
        <is>
          <t>Private Equity</t>
        </is>
      </c>
      <c r="CH161" s="98" t="inlineStr">
        <is>
          <t/>
        </is>
      </c>
      <c r="CI161" s="99" t="inlineStr">
        <is>
          <t/>
        </is>
      </c>
      <c r="CJ161" s="100" t="inlineStr">
        <is>
          <t/>
        </is>
      </c>
      <c r="CK161" s="101" t="inlineStr">
        <is>
          <t>Completed</t>
        </is>
      </c>
      <c r="CL161" s="102" t="inlineStr">
        <is>
          <t/>
        </is>
      </c>
      <c r="CM161" s="103" t="inlineStr">
        <is>
          <t/>
        </is>
      </c>
      <c r="CN161" s="104" t="n">
        <v>-1.43</v>
      </c>
      <c r="CO161" s="105" t="n">
        <v>3.0</v>
      </c>
      <c r="CP161" s="106" t="n">
        <v>-0.07</v>
      </c>
      <c r="CQ161" s="107" t="n">
        <v>-5.17</v>
      </c>
      <c r="CR161" s="108" t="n">
        <v>-3.03</v>
      </c>
      <c r="CS161" s="109" t="n">
        <v>2.0</v>
      </c>
      <c r="CT161" s="110" t="n">
        <v>0.17</v>
      </c>
      <c r="CU161" s="111" t="n">
        <v>81.0</v>
      </c>
      <c r="CV161" s="112" t="n">
        <v>-6.14</v>
      </c>
      <c r="CW161" s="113" t="n">
        <v>6.0</v>
      </c>
      <c r="CX161" s="114" t="n">
        <v>0.08</v>
      </c>
      <c r="CY161" s="115" t="n">
        <v>86.0</v>
      </c>
      <c r="CZ161" s="116" t="n">
        <v>-0.01</v>
      </c>
      <c r="DA161" s="117" t="n">
        <v>27.0</v>
      </c>
      <c r="DB161" s="118" t="n">
        <v>21.37</v>
      </c>
      <c r="DC161" s="119" t="n">
        <v>95.0</v>
      </c>
      <c r="DD161" s="120" t="n">
        <v>3.92</v>
      </c>
      <c r="DE161" s="121" t="n">
        <v>22.48</v>
      </c>
      <c r="DF161" s="122" t="n">
        <v>37.15</v>
      </c>
      <c r="DG161" s="123" t="n">
        <v>98.0</v>
      </c>
      <c r="DH161" s="124" t="n">
        <v>5.59</v>
      </c>
      <c r="DI161" s="125" t="n">
        <v>79.0</v>
      </c>
      <c r="DJ161" s="126" t="n">
        <v>5.71</v>
      </c>
      <c r="DK161" s="127" t="n">
        <v>80.0</v>
      </c>
      <c r="DL161" s="128" t="n">
        <v>68.59</v>
      </c>
      <c r="DM161" s="129" t="n">
        <v>99.0</v>
      </c>
      <c r="DN161" s="130" t="n">
        <v>6.48</v>
      </c>
      <c r="DO161" s="131" t="n">
        <v>83.0</v>
      </c>
      <c r="DP161" s="132" t="n">
        <v>4111.0</v>
      </c>
      <c r="DQ161" s="133" t="n">
        <v>-351.0</v>
      </c>
      <c r="DR161" s="134" t="n">
        <v>-7.87</v>
      </c>
      <c r="DS161" s="135" t="n">
        <v>2353.0</v>
      </c>
      <c r="DT161" s="136" t="n">
        <v>-8.0</v>
      </c>
      <c r="DU161" s="137" t="n">
        <v>-0.34</v>
      </c>
      <c r="DV161" s="138" t="n">
        <v>2325.0</v>
      </c>
      <c r="DW161" s="139" t="n">
        <v>0.0</v>
      </c>
      <c r="DX161" s="140" t="n">
        <v>0.0</v>
      </c>
      <c r="DY161" s="141" t="inlineStr">
        <is>
          <t>PitchBook Research</t>
        </is>
      </c>
      <c r="DZ161" s="142" t="n">
        <v>43528.0</v>
      </c>
      <c r="EA161" s="143" t="inlineStr">
        <is>
          <t/>
        </is>
      </c>
      <c r="EB161" s="144" t="inlineStr">
        <is>
          <t/>
        </is>
      </c>
      <c r="EC161" s="145" t="inlineStr">
        <is>
          <t/>
        </is>
      </c>
      <c r="ED161" s="547">
        <f>HYPERLINK("https://my.pitchbook.com?c=49871-17", "View company online")</f>
      </c>
    </row>
    <row r="162">
      <c r="A162" s="147" t="inlineStr">
        <is>
          <t>106898-95</t>
        </is>
      </c>
      <c r="B162" s="148" t="inlineStr">
        <is>
          <t>Belluna Company (TKS: 9997)</t>
        </is>
      </c>
      <c r="C162" s="149" t="inlineStr">
        <is>
          <t/>
        </is>
      </c>
      <c r="D162" s="150" t="inlineStr">
        <is>
          <t/>
        </is>
      </c>
      <c r="E162" s="151" t="inlineStr">
        <is>
          <t>106898-95</t>
        </is>
      </c>
      <c r="F162" s="152" t="inlineStr">
        <is>
          <t>Belluna Co Ltd is primarily a mail-order retailer that sells a wide range of products, including apparel, home furnishings, food, wine, cosmetics, health food, and nursing supplies through catalogs and e-commerce sites. More than 80% of the company's sales come from its mail-order business. Remaining revenue comes from its apparel retail stores; its solution business, which offers outsourced services for Belluna's corporate clients; its finance business, which offers financing services that target mail-order customers; and its property business, which leases office and commercial space and engages in property development. Nearly all the company's sales are in Japan.</t>
        </is>
      </c>
      <c r="G162" s="153" t="inlineStr">
        <is>
          <t>Business Products and Services (B2B)</t>
        </is>
      </c>
      <c r="H162" s="154" t="inlineStr">
        <is>
          <t>Commercial Services</t>
        </is>
      </c>
      <c r="I162" s="155" t="inlineStr">
        <is>
          <t>Other Commercial Services</t>
        </is>
      </c>
      <c r="J162" s="156" t="inlineStr">
        <is>
          <t>Clothing, Other Commercial Services*</t>
        </is>
      </c>
      <c r="K162" s="157" t="inlineStr">
        <is>
          <t/>
        </is>
      </c>
      <c r="L162" s="158" t="inlineStr">
        <is>
          <t/>
        </is>
      </c>
      <c r="M162" s="159" t="inlineStr">
        <is>
          <t>Corporation</t>
        </is>
      </c>
      <c r="N162" s="160" t="inlineStr">
        <is>
          <t/>
        </is>
      </c>
      <c r="O162" s="161" t="inlineStr">
        <is>
          <t>Profitable</t>
        </is>
      </c>
      <c r="P162" s="162" t="inlineStr">
        <is>
          <t>Publicly Held</t>
        </is>
      </c>
      <c r="Q162" s="163" t="inlineStr">
        <is>
          <t>Publicly Listed</t>
        </is>
      </c>
      <c r="R162" s="164" t="inlineStr">
        <is>
          <t>www.belluna.co.jp</t>
        </is>
      </c>
      <c r="S162" s="165" t="n">
        <v>3194.0</v>
      </c>
      <c r="T162" s="166" t="inlineStr">
        <is>
          <t>2006: 1027, 2007: 1102, 2009: 1064, 2010: 992, 2011: 969, 2012: 1020, 2013: 1139, 2014: 1212, 2015: 1430, 2016: 1377, 2017: 1708, 2018: 4013</t>
        </is>
      </c>
      <c r="U162" s="167" t="inlineStr">
        <is>
          <t>TKS</t>
        </is>
      </c>
      <c r="V162" s="168" t="inlineStr">
        <is>
          <t>9997</t>
        </is>
      </c>
      <c r="W162" s="169" t="inlineStr">
        <is>
          <t/>
        </is>
      </c>
      <c r="X162" s="170" t="inlineStr">
        <is>
          <t/>
        </is>
      </c>
      <c r="Y162" s="171" t="inlineStr">
        <is>
          <t/>
        </is>
      </c>
      <c r="Z162" s="172" t="inlineStr">
        <is>
          <t/>
        </is>
      </c>
      <c r="AA162" s="173" t="n">
        <v>1568.46</v>
      </c>
      <c r="AB162" s="174" t="n">
        <v>880.17</v>
      </c>
      <c r="AC162" s="175" t="n">
        <v>77.18</v>
      </c>
      <c r="AD162" s="176" t="n">
        <v>1341.36</v>
      </c>
      <c r="AE162" s="177" t="n">
        <v>118.12</v>
      </c>
      <c r="AF162" s="178" t="inlineStr">
        <is>
          <t>TTM 3Q2019</t>
        </is>
      </c>
      <c r="AG162" s="179" t="n">
        <v>118.12</v>
      </c>
      <c r="AH162" s="180" t="n">
        <v>809.36</v>
      </c>
      <c r="AI162" s="181" t="n">
        <v>422.05</v>
      </c>
      <c r="AJ162" s="182" t="inlineStr">
        <is>
          <t/>
        </is>
      </c>
      <c r="AK162" s="183" t="inlineStr">
        <is>
          <t/>
        </is>
      </c>
      <c r="AL162" s="184" t="inlineStr">
        <is>
          <t/>
        </is>
      </c>
      <c r="AM162" s="185" t="inlineStr">
        <is>
          <t/>
        </is>
      </c>
      <c r="AN162" s="186" t="inlineStr">
        <is>
          <t/>
        </is>
      </c>
      <c r="AO162" s="187" t="inlineStr">
        <is>
          <t>Saitama, Japan</t>
        </is>
      </c>
      <c r="AP162" s="188" t="inlineStr">
        <is>
          <t/>
        </is>
      </c>
      <c r="AQ162" s="189" t="inlineStr">
        <is>
          <t/>
        </is>
      </c>
      <c r="AR162" s="190" t="inlineStr">
        <is>
          <t>Saitama</t>
        </is>
      </c>
      <c r="AS162" s="191" t="inlineStr">
        <is>
          <t/>
        </is>
      </c>
      <c r="AT162" s="192" t="inlineStr">
        <is>
          <t/>
        </is>
      </c>
      <c r="AU162" s="193" t="inlineStr">
        <is>
          <t>Japan</t>
        </is>
      </c>
      <c r="AV162" s="194" t="inlineStr">
        <is>
          <t/>
        </is>
      </c>
      <c r="AW162" s="195" t="inlineStr">
        <is>
          <t/>
        </is>
      </c>
      <c r="AX162" s="196" t="inlineStr">
        <is>
          <t/>
        </is>
      </c>
      <c r="AY162" s="197" t="inlineStr">
        <is>
          <t>Asia</t>
        </is>
      </c>
      <c r="AZ162" s="198" t="inlineStr">
        <is>
          <t>East Asia</t>
        </is>
      </c>
      <c r="BA162" s="199" t="inlineStr">
        <is>
          <t/>
        </is>
      </c>
      <c r="BB162" s="200" t="inlineStr">
        <is>
          <t/>
        </is>
      </c>
      <c r="BC162" s="201" t="inlineStr">
        <is>
          <t/>
        </is>
      </c>
      <c r="BD162" s="202" t="inlineStr">
        <is>
          <t/>
        </is>
      </c>
      <c r="BE162" s="203" t="inlineStr">
        <is>
          <t/>
        </is>
      </c>
      <c r="BF162" s="204" t="inlineStr">
        <is>
          <t/>
        </is>
      </c>
      <c r="BG162" s="205" t="inlineStr">
        <is>
          <t/>
        </is>
      </c>
      <c r="BH162" s="206" t="inlineStr">
        <is>
          <t/>
        </is>
      </c>
      <c r="BI162" s="207" t="inlineStr">
        <is>
          <t/>
        </is>
      </c>
      <c r="BJ162" s="208" t="inlineStr">
        <is>
          <t/>
        </is>
      </c>
      <c r="BK162" s="209" t="inlineStr">
        <is>
          <t/>
        </is>
      </c>
      <c r="BL162" s="210" t="inlineStr">
        <is>
          <t/>
        </is>
      </c>
      <c r="BM162" s="211" t="inlineStr">
        <is>
          <t/>
        </is>
      </c>
      <c r="BN162" s="212" t="inlineStr">
        <is>
          <t/>
        </is>
      </c>
      <c r="BO162" s="213" t="inlineStr">
        <is>
          <t/>
        </is>
      </c>
      <c r="BP162" s="214" t="inlineStr">
        <is>
          <t/>
        </is>
      </c>
      <c r="BQ162" s="215" t="inlineStr">
        <is>
          <t/>
        </is>
      </c>
      <c r="BR162" s="216" t="inlineStr">
        <is>
          <t/>
        </is>
      </c>
      <c r="BS162" s="217" t="inlineStr">
        <is>
          <t/>
        </is>
      </c>
      <c r="BT162" s="218" t="inlineStr">
        <is>
          <t/>
        </is>
      </c>
      <c r="BU162" s="219" t="inlineStr">
        <is>
          <t/>
        </is>
      </c>
      <c r="BV162" s="220" t="inlineStr">
        <is>
          <t/>
        </is>
      </c>
      <c r="BW162" s="221" t="inlineStr">
        <is>
          <t/>
        </is>
      </c>
      <c r="BX162" s="222" t="inlineStr">
        <is>
          <t/>
        </is>
      </c>
      <c r="BY162" s="223" t="inlineStr">
        <is>
          <t/>
        </is>
      </c>
      <c r="BZ162" s="224" t="inlineStr">
        <is>
          <t/>
        </is>
      </c>
      <c r="CA162" s="225" t="inlineStr">
        <is>
          <t/>
        </is>
      </c>
      <c r="CB162" s="226" t="inlineStr">
        <is>
          <t/>
        </is>
      </c>
      <c r="CC162" s="227" t="inlineStr">
        <is>
          <t/>
        </is>
      </c>
      <c r="CD162" s="228" t="inlineStr">
        <is>
          <t/>
        </is>
      </c>
      <c r="CE162" s="229" t="inlineStr">
        <is>
          <t/>
        </is>
      </c>
      <c r="CF162" s="230" t="inlineStr">
        <is>
          <t/>
        </is>
      </c>
      <c r="CG162" s="231" t="inlineStr">
        <is>
          <t/>
        </is>
      </c>
      <c r="CH162" s="232" t="inlineStr">
        <is>
          <t/>
        </is>
      </c>
      <c r="CI162" s="233" t="inlineStr">
        <is>
          <t/>
        </is>
      </c>
      <c r="CJ162" s="234" t="inlineStr">
        <is>
          <t/>
        </is>
      </c>
      <c r="CK162" s="235" t="inlineStr">
        <is>
          <t/>
        </is>
      </c>
      <c r="CL162" s="236" t="inlineStr">
        <is>
          <t/>
        </is>
      </c>
      <c r="CM162" s="237" t="inlineStr">
        <is>
          <t/>
        </is>
      </c>
      <c r="CN162" s="238" t="n">
        <v>0.97</v>
      </c>
      <c r="CO162" s="239" t="n">
        <v>97.0</v>
      </c>
      <c r="CP162" s="240" t="n">
        <v>0.06</v>
      </c>
      <c r="CQ162" s="241" t="n">
        <v>6.79</v>
      </c>
      <c r="CR162" s="242" t="n">
        <v>0.12</v>
      </c>
      <c r="CS162" s="243" t="n">
        <v>87.0</v>
      </c>
      <c r="CT162" s="244" t="inlineStr">
        <is>
          <t/>
        </is>
      </c>
      <c r="CU162" s="245" t="inlineStr">
        <is>
          <t/>
        </is>
      </c>
      <c r="CV162" s="246" t="inlineStr">
        <is>
          <t/>
        </is>
      </c>
      <c r="CW162" s="247" t="inlineStr">
        <is>
          <t/>
        </is>
      </c>
      <c r="CX162" s="248" t="n">
        <v>0.12</v>
      </c>
      <c r="CY162" s="249" t="n">
        <v>87.0</v>
      </c>
      <c r="CZ162" s="250" t="inlineStr">
        <is>
          <t/>
        </is>
      </c>
      <c r="DA162" s="251" t="inlineStr">
        <is>
          <t/>
        </is>
      </c>
      <c r="DB162" s="252" t="n">
        <v>13.4</v>
      </c>
      <c r="DC162" s="253" t="n">
        <v>92.0</v>
      </c>
      <c r="DD162" s="254" t="n">
        <v>1.85</v>
      </c>
      <c r="DE162" s="255" t="n">
        <v>16.03</v>
      </c>
      <c r="DF162" s="256" t="n">
        <v>14.97</v>
      </c>
      <c r="DG162" s="257" t="n">
        <v>92.0</v>
      </c>
      <c r="DH162" s="258" t="inlineStr">
        <is>
          <t/>
        </is>
      </c>
      <c r="DI162" s="259" t="inlineStr">
        <is>
          <t/>
        </is>
      </c>
      <c r="DJ162" s="260" t="inlineStr">
        <is>
          <t/>
        </is>
      </c>
      <c r="DK162" s="261" t="inlineStr">
        <is>
          <t/>
        </is>
      </c>
      <c r="DL162" s="262" t="n">
        <v>14.97</v>
      </c>
      <c r="DM162" s="263" t="n">
        <v>91.0</v>
      </c>
      <c r="DN162" s="264" t="inlineStr">
        <is>
          <t/>
        </is>
      </c>
      <c r="DO162" s="265" t="inlineStr">
        <is>
          <t/>
        </is>
      </c>
      <c r="DP162" s="266" t="inlineStr">
        <is>
          <t/>
        </is>
      </c>
      <c r="DQ162" s="267" t="inlineStr">
        <is>
          <t/>
        </is>
      </c>
      <c r="DR162" s="268" t="inlineStr">
        <is>
          <t/>
        </is>
      </c>
      <c r="DS162" s="269" t="n">
        <v>509.0</v>
      </c>
      <c r="DT162" s="270" t="n">
        <v>2.0</v>
      </c>
      <c r="DU162" s="271" t="n">
        <v>0.39</v>
      </c>
      <c r="DV162" s="272" t="inlineStr">
        <is>
          <t/>
        </is>
      </c>
      <c r="DW162" s="273" t="inlineStr">
        <is>
          <t/>
        </is>
      </c>
      <c r="DX162" s="274" t="inlineStr">
        <is>
          <t/>
        </is>
      </c>
      <c r="DY162" s="275" t="inlineStr">
        <is>
          <t>PitchBook Research</t>
        </is>
      </c>
      <c r="DZ162" s="276" t="n">
        <v>43491.0</v>
      </c>
      <c r="EA162" s="277" t="inlineStr">
        <is>
          <t/>
        </is>
      </c>
      <c r="EB162" s="278" t="inlineStr">
        <is>
          <t/>
        </is>
      </c>
      <c r="EC162" s="279" t="inlineStr">
        <is>
          <t/>
        </is>
      </c>
      <c r="ED162" s="548">
        <f>HYPERLINK("https://my.pitchbook.com?c=106898-95", "View company online")</f>
      </c>
    </row>
    <row r="163">
      <c r="A163" s="13" t="inlineStr">
        <is>
          <t>55554-85</t>
        </is>
      </c>
      <c r="B163" s="14" t="inlineStr">
        <is>
          <t>VANCL</t>
        </is>
      </c>
      <c r="C163" s="15" t="inlineStr">
        <is>
          <t/>
        </is>
      </c>
      <c r="D163" s="16" t="inlineStr">
        <is>
          <t/>
        </is>
      </c>
      <c r="E163" s="17" t="inlineStr">
        <is>
          <t>55554-85</t>
        </is>
      </c>
      <c r="F163" s="18" t="inlineStr">
        <is>
          <t>Provider of an online retail platform designed to sell low price, modern style clothing in China. The company's platform offers men's shirts, women's and children's clothing, shoes and other modern accessories.</t>
        </is>
      </c>
      <c r="G163" s="19" t="inlineStr">
        <is>
          <t>Consumer Products and Services (B2C)</t>
        </is>
      </c>
      <c r="H163" s="20" t="inlineStr">
        <is>
          <t>Apparel and Accessories</t>
        </is>
      </c>
      <c r="I163" s="21" t="inlineStr">
        <is>
          <t>Accessories</t>
        </is>
      </c>
      <c r="J163" s="22" t="inlineStr">
        <is>
          <t>Accessories*, Clothing, Internet Retail</t>
        </is>
      </c>
      <c r="K163" s="23" t="inlineStr">
        <is>
          <t>E-Commerce, Mobile, TMT</t>
        </is>
      </c>
      <c r="L163" s="24" t="inlineStr">
        <is>
          <t>fashion cloth, retail shopping</t>
        </is>
      </c>
      <c r="M163" s="25" t="inlineStr">
        <is>
          <t>Venture Capital-Backed</t>
        </is>
      </c>
      <c r="N163" s="26" t="n">
        <v>512.0</v>
      </c>
      <c r="O163" s="27" t="inlineStr">
        <is>
          <t>Generating Revenue</t>
        </is>
      </c>
      <c r="P163" s="28" t="inlineStr">
        <is>
          <t>Privately Held (backing)</t>
        </is>
      </c>
      <c r="Q163" s="29" t="inlineStr">
        <is>
          <t>Venture Capital</t>
        </is>
      </c>
      <c r="R163" s="30" t="inlineStr">
        <is>
          <t>www.vancl.com</t>
        </is>
      </c>
      <c r="S163" s="31" t="n">
        <v>501.0</v>
      </c>
      <c r="T163" s="32" t="inlineStr">
        <is>
          <t>2014: 501, 2016: 501</t>
        </is>
      </c>
      <c r="U163" s="33" t="inlineStr">
        <is>
          <t/>
        </is>
      </c>
      <c r="V163" s="34" t="inlineStr">
        <is>
          <t/>
        </is>
      </c>
      <c r="W163" s="35" t="n">
        <v>2007.0</v>
      </c>
      <c r="X163" s="36" t="inlineStr">
        <is>
          <t/>
        </is>
      </c>
      <c r="Y163" s="37" t="inlineStr">
        <is>
          <t/>
        </is>
      </c>
      <c r="Z163" s="38" t="inlineStr">
        <is>
          <t/>
        </is>
      </c>
      <c r="AA163" s="39" t="n">
        <v>1546.11</v>
      </c>
      <c r="AB163" s="40" t="inlineStr">
        <is>
          <t/>
        </is>
      </c>
      <c r="AC163" s="41" t="inlineStr">
        <is>
          <t/>
        </is>
      </c>
      <c r="AD163" s="42" t="inlineStr">
        <is>
          <t/>
        </is>
      </c>
      <c r="AE163" s="43" t="inlineStr">
        <is>
          <t/>
        </is>
      </c>
      <c r="AF163" s="44" t="inlineStr">
        <is>
          <t>FY 2011</t>
        </is>
      </c>
      <c r="AG163" s="45" t="inlineStr">
        <is>
          <t/>
        </is>
      </c>
      <c r="AH163" s="46" t="inlineStr">
        <is>
          <t/>
        </is>
      </c>
      <c r="AI163" s="47" t="inlineStr">
        <is>
          <t/>
        </is>
      </c>
      <c r="AJ163" s="48" t="inlineStr">
        <is>
          <t>49688-83P</t>
        </is>
      </c>
      <c r="AK163" s="49" t="inlineStr">
        <is>
          <t>Nian Chen</t>
        </is>
      </c>
      <c r="AL163" s="50" t="inlineStr">
        <is>
          <t>Founder</t>
        </is>
      </c>
      <c r="AM163" s="51" t="inlineStr">
        <is>
          <t>n-chen@vancl.cn</t>
        </is>
      </c>
      <c r="AN163" s="52" t="inlineStr">
        <is>
          <t>+86 (0)10 8360 7650</t>
        </is>
      </c>
      <c r="AO163" s="53" t="inlineStr">
        <is>
          <t>Beijing, China</t>
        </is>
      </c>
      <c r="AP163" s="54" t="inlineStr">
        <is>
          <t>Ronghua Road, 8th Floor</t>
        </is>
      </c>
      <c r="AQ163" s="55" t="inlineStr">
        <is>
          <t>Li Bao Plaza, Block 9, 9th Floor</t>
        </is>
      </c>
      <c r="AR163" s="56" t="inlineStr">
        <is>
          <t>Beijing</t>
        </is>
      </c>
      <c r="AS163" s="57" t="inlineStr">
        <is>
          <t/>
        </is>
      </c>
      <c r="AT163" s="58" t="inlineStr">
        <is>
          <t>100062</t>
        </is>
      </c>
      <c r="AU163" s="59" t="inlineStr">
        <is>
          <t>China</t>
        </is>
      </c>
      <c r="AV163" s="60" t="inlineStr">
        <is>
          <t>+86 (0)10 8360 7650</t>
        </is>
      </c>
      <c r="AW163" s="61" t="inlineStr">
        <is>
          <t>+86 (0)10 8360 7699</t>
        </is>
      </c>
      <c r="AX163" s="62" t="inlineStr">
        <is>
          <t/>
        </is>
      </c>
      <c r="AY163" s="63" t="inlineStr">
        <is>
          <t>Asia</t>
        </is>
      </c>
      <c r="AZ163" s="64" t="inlineStr">
        <is>
          <t>East Asia</t>
        </is>
      </c>
      <c r="BA163" s="65" t="inlineStr">
        <is>
          <t>The company raised an undisclosed amount of venture funding from Qiming Venture Partners on February 1, 2018. Previously, the company raised $100 million of venture funding in a deal led by Jun Lei on February 10, 2014. Temasek Holdings, IDG Capital Partners, CITIC PE, Ceyuan Ventures and SAIF Partners also participated.</t>
        </is>
      </c>
      <c r="BB163" s="66" t="inlineStr">
        <is>
          <t>Accel, Asian Tiger Capital Partners, Ceyuan Ventures, CITIC Private Equity Funds Management, Hotung Venture Capital, IDG Capital, Individual Investor, Lei Jun, NewMargin Ventures, Qiming Venture Partners, SAIF Partners, Softbank China &amp; India Holdings, Temasek Holdings, Tiger Global Management</t>
        </is>
      </c>
      <c r="BC163" s="67" t="n">
        <v>14.0</v>
      </c>
      <c r="BD163" s="68" t="inlineStr">
        <is>
          <t/>
        </is>
      </c>
      <c r="BE163" s="69" t="inlineStr">
        <is>
          <t/>
        </is>
      </c>
      <c r="BF163" s="70" t="inlineStr">
        <is>
          <t/>
        </is>
      </c>
      <c r="BG163" s="71" t="inlineStr">
        <is>
          <t>Accel(www.accel.com), Ceyuan Ventures(www.ceyuan.com), CITIC Private Equity Funds Management(www.citicpe.com), Hotung Venture Capital(www.hotung.com.tw), IDG Capital(en.idgcapital.com), NewMargin Ventures(www.newmargin.com), Qiming Venture Partners(www.qimingvc.com), SAIF Partners(www.sbaif.com), Softbank China &amp; India Holdings(www.softbankci.com), Temasek Holdings(www.temasek.com.sg), Tiger Global Management(www.tigerglobal.com)</t>
        </is>
      </c>
      <c r="BH163" s="72" t="inlineStr">
        <is>
          <t/>
        </is>
      </c>
      <c r="BI163" s="73" t="inlineStr">
        <is>
          <t/>
        </is>
      </c>
      <c r="BJ163" s="74" t="inlineStr">
        <is>
          <t/>
        </is>
      </c>
      <c r="BK163" s="75" t="inlineStr">
        <is>
          <t>Paul Hastings(Legal Advisor)</t>
        </is>
      </c>
      <c r="BL163" s="76" t="n">
        <v>39356.0</v>
      </c>
      <c r="BM163" s="77" t="n">
        <v>2.0</v>
      </c>
      <c r="BN163" s="78" t="inlineStr">
        <is>
          <t>Estimated</t>
        </is>
      </c>
      <c r="BO163" s="79" t="inlineStr">
        <is>
          <t/>
        </is>
      </c>
      <c r="BP163" s="80" t="inlineStr">
        <is>
          <t/>
        </is>
      </c>
      <c r="BQ163" s="81" t="inlineStr">
        <is>
          <t>Early Stage VC</t>
        </is>
      </c>
      <c r="BR163" s="82" t="inlineStr">
        <is>
          <t>Series A</t>
        </is>
      </c>
      <c r="BS163" s="83" t="inlineStr">
        <is>
          <t/>
        </is>
      </c>
      <c r="BT163" s="84" t="inlineStr">
        <is>
          <t>Venture Capital</t>
        </is>
      </c>
      <c r="BU163" s="85" t="inlineStr">
        <is>
          <t/>
        </is>
      </c>
      <c r="BV163" s="86" t="inlineStr">
        <is>
          <t/>
        </is>
      </c>
      <c r="BW163" s="87" t="inlineStr">
        <is>
          <t/>
        </is>
      </c>
      <c r="BX163" s="88" t="inlineStr">
        <is>
          <t>Completed</t>
        </is>
      </c>
      <c r="BY163" s="89" t="n">
        <v>43132.0</v>
      </c>
      <c r="BZ163" s="90" t="inlineStr">
        <is>
          <t/>
        </is>
      </c>
      <c r="CA163" s="91" t="inlineStr">
        <is>
          <t/>
        </is>
      </c>
      <c r="CB163" s="92" t="inlineStr">
        <is>
          <t/>
        </is>
      </c>
      <c r="CC163" s="93" t="inlineStr">
        <is>
          <t/>
        </is>
      </c>
      <c r="CD163" s="94" t="inlineStr">
        <is>
          <t>Later Stage VC</t>
        </is>
      </c>
      <c r="CE163" s="95" t="inlineStr">
        <is>
          <t/>
        </is>
      </c>
      <c r="CF163" s="96" t="inlineStr">
        <is>
          <t/>
        </is>
      </c>
      <c r="CG163" s="97" t="inlineStr">
        <is>
          <t>Venture Capital</t>
        </is>
      </c>
      <c r="CH163" s="98" t="inlineStr">
        <is>
          <t/>
        </is>
      </c>
      <c r="CI163" s="99" t="inlineStr">
        <is>
          <t/>
        </is>
      </c>
      <c r="CJ163" s="100" t="inlineStr">
        <is>
          <t/>
        </is>
      </c>
      <c r="CK163" s="101" t="inlineStr">
        <is>
          <t>Completed</t>
        </is>
      </c>
      <c r="CL163" s="102" t="inlineStr">
        <is>
          <t/>
        </is>
      </c>
      <c r="CM163" s="103" t="inlineStr">
        <is>
          <t/>
        </is>
      </c>
      <c r="CN163" s="104" t="n">
        <v>-0.46</v>
      </c>
      <c r="CO163" s="105" t="n">
        <v>7.0</v>
      </c>
      <c r="CP163" s="106" t="n">
        <v>0.0</v>
      </c>
      <c r="CQ163" s="107" t="n">
        <v>-0.17</v>
      </c>
      <c r="CR163" s="108" t="n">
        <v>-0.85</v>
      </c>
      <c r="CS163" s="109" t="n">
        <v>7.0</v>
      </c>
      <c r="CT163" s="110" t="n">
        <v>-0.07</v>
      </c>
      <c r="CU163" s="111" t="n">
        <v>11.0</v>
      </c>
      <c r="CV163" s="112" t="n">
        <v>-1.69</v>
      </c>
      <c r="CW163" s="113" t="n">
        <v>22.0</v>
      </c>
      <c r="CX163" s="114" t="n">
        <v>0.0</v>
      </c>
      <c r="CY163" s="115" t="n">
        <v>11.0</v>
      </c>
      <c r="CZ163" s="116" t="n">
        <v>-0.11</v>
      </c>
      <c r="DA163" s="117" t="n">
        <v>8.0</v>
      </c>
      <c r="DB163" s="118" t="n">
        <v>6.07</v>
      </c>
      <c r="DC163" s="119" t="n">
        <v>85.0</v>
      </c>
      <c r="DD163" s="120" t="n">
        <v>0.11</v>
      </c>
      <c r="DE163" s="121" t="n">
        <v>1.83</v>
      </c>
      <c r="DF163" s="122" t="n">
        <v>2.32</v>
      </c>
      <c r="DG163" s="123" t="n">
        <v>70.0</v>
      </c>
      <c r="DH163" s="124" t="n">
        <v>9.82</v>
      </c>
      <c r="DI163" s="125" t="n">
        <v>86.0</v>
      </c>
      <c r="DJ163" s="126" t="n">
        <v>2.93</v>
      </c>
      <c r="DK163" s="127" t="n">
        <v>71.0</v>
      </c>
      <c r="DL163" s="128" t="n">
        <v>1.71</v>
      </c>
      <c r="DM163" s="129" t="n">
        <v>63.0</v>
      </c>
      <c r="DN163" s="130" t="n">
        <v>11.02</v>
      </c>
      <c r="DO163" s="131" t="n">
        <v>88.0</v>
      </c>
      <c r="DP163" s="132" t="n">
        <v>2113.0</v>
      </c>
      <c r="DQ163" s="133" t="n">
        <v>-198.0</v>
      </c>
      <c r="DR163" s="134" t="n">
        <v>-8.57</v>
      </c>
      <c r="DS163" s="135" t="n">
        <v>58.0</v>
      </c>
      <c r="DT163" s="136" t="n">
        <v>0.0</v>
      </c>
      <c r="DU163" s="137" t="n">
        <v>0.0</v>
      </c>
      <c r="DV163" s="138" t="n">
        <v>3959.0</v>
      </c>
      <c r="DW163" s="139" t="n">
        <v>-4.0</v>
      </c>
      <c r="DX163" s="140" t="n">
        <v>-0.1</v>
      </c>
      <c r="DY163" s="141" t="inlineStr">
        <is>
          <t>PitchBook Research</t>
        </is>
      </c>
      <c r="DZ163" s="142" t="n">
        <v>43474.0</v>
      </c>
      <c r="EA163" s="143" t="n">
        <v>400.0</v>
      </c>
      <c r="EB163" s="144" t="n">
        <v>41974.0</v>
      </c>
      <c r="EC163" s="145" t="inlineStr">
        <is>
          <t>Later Stage VC</t>
        </is>
      </c>
      <c r="ED163" s="547">
        <f>HYPERLINK("https://my.pitchbook.com?c=55554-85", "View company online")</f>
      </c>
    </row>
    <row r="164">
      <c r="A164" s="147" t="inlineStr">
        <is>
          <t>57887-65</t>
        </is>
      </c>
      <c r="B164" s="148" t="inlineStr">
        <is>
          <t>LF (Korea) (KRX: 093050)</t>
        </is>
      </c>
      <c r="C164" s="149" t="inlineStr">
        <is>
          <t>LG Fashion</t>
        </is>
      </c>
      <c r="D164" s="150" t="inlineStr">
        <is>
          <t/>
        </is>
      </c>
      <c r="E164" s="151" t="inlineStr">
        <is>
          <t>57887-65</t>
        </is>
      </c>
      <c r="F164" s="152" t="inlineStr">
        <is>
          <t>LF Corp is engaged in the apparel manufacturing industry in Korea. Its business involves the manufacture and marketing of all types of apparel under brand names such as Lafuma, Daks, Hazzy's, Joseph, Vince, Allegri, TNGT, Jillstuart and MOGG. Its suite of products includes women's wear, sportswear and outdoors, accessories and lifestyle items.</t>
        </is>
      </c>
      <c r="G164" s="153" t="inlineStr">
        <is>
          <t>Consumer Products and Services (B2C)</t>
        </is>
      </c>
      <c r="H164" s="154" t="inlineStr">
        <is>
          <t>Apparel and Accessories</t>
        </is>
      </c>
      <c r="I164" s="155" t="inlineStr">
        <is>
          <t>Clothing</t>
        </is>
      </c>
      <c r="J164" s="156" t="inlineStr">
        <is>
          <t>Clothing*, Luxury Goods</t>
        </is>
      </c>
      <c r="K164" s="157" t="inlineStr">
        <is>
          <t>Manufacturing</t>
        </is>
      </c>
      <c r="L164" s="158" t="inlineStr">
        <is>
          <t>designer apparel, fashion apparel, luxury clothing, men's apparel, sports clothing, women's apparel</t>
        </is>
      </c>
      <c r="M164" s="159" t="inlineStr">
        <is>
          <t>Corporation</t>
        </is>
      </c>
      <c r="N164" s="160" t="inlineStr">
        <is>
          <t/>
        </is>
      </c>
      <c r="O164" s="161" t="inlineStr">
        <is>
          <t>Profitable</t>
        </is>
      </c>
      <c r="P164" s="162" t="inlineStr">
        <is>
          <t>Publicly Held</t>
        </is>
      </c>
      <c r="Q164" s="163" t="inlineStr">
        <is>
          <t>Publicly Listed</t>
        </is>
      </c>
      <c r="R164" s="164" t="inlineStr">
        <is>
          <t>www.lfcorp.com</t>
        </is>
      </c>
      <c r="S164" s="165" t="n">
        <v>1019.0</v>
      </c>
      <c r="T164" s="166" t="inlineStr">
        <is>
          <t>2007: 551, 2008: 583, 2009: 684, 2010: 743, 2011: 865, 2012: 922, 2013: 996, 2014: 955, 2015: 993, 2016: 970, 2017: 1029, 2018: 1019</t>
        </is>
      </c>
      <c r="U164" s="167" t="inlineStr">
        <is>
          <t>KRX</t>
        </is>
      </c>
      <c r="V164" s="168" t="inlineStr">
        <is>
          <t>093050</t>
        </is>
      </c>
      <c r="W164" s="169" t="n">
        <v>1954.0</v>
      </c>
      <c r="X164" s="170" t="inlineStr">
        <is>
          <t/>
        </is>
      </c>
      <c r="Y164" s="171" t="inlineStr">
        <is>
          <t/>
        </is>
      </c>
      <c r="Z164" s="172" t="inlineStr">
        <is>
          <t/>
        </is>
      </c>
      <c r="AA164" s="173" t="n">
        <v>1552.78</v>
      </c>
      <c r="AB164" s="174" t="n">
        <v>857.81</v>
      </c>
      <c r="AC164" s="175" t="n">
        <v>75.71</v>
      </c>
      <c r="AD164" s="176" t="n">
        <v>486.63</v>
      </c>
      <c r="AE164" s="177" t="n">
        <v>146.24</v>
      </c>
      <c r="AF164" s="178" t="inlineStr">
        <is>
          <t>FY 2018</t>
        </is>
      </c>
      <c r="AG164" s="179" t="n">
        <v>106.29</v>
      </c>
      <c r="AH164" s="180" t="n">
        <v>627.46</v>
      </c>
      <c r="AI164" s="181" t="n">
        <v>-172.18</v>
      </c>
      <c r="AJ164" s="182" t="inlineStr">
        <is>
          <t>51514-84P</t>
        </is>
      </c>
      <c r="AK164" s="183" t="inlineStr">
        <is>
          <t>Bon-Keul Koo</t>
        </is>
      </c>
      <c r="AL164" s="184" t="inlineStr">
        <is>
          <t>President &amp; Chief Executive Officer</t>
        </is>
      </c>
      <c r="AM164" s="185" t="inlineStr">
        <is>
          <t>bonoo@lfcorp.com</t>
        </is>
      </c>
      <c r="AN164" s="186" t="inlineStr">
        <is>
          <t>+82 (0)21 544 5114</t>
        </is>
      </c>
      <c r="AO164" s="187" t="inlineStr">
        <is>
          <t>Seoul, South Korea</t>
        </is>
      </c>
      <c r="AP164" s="188" t="inlineStr">
        <is>
          <t>LF, 870, Eonju-ro</t>
        </is>
      </c>
      <c r="AQ164" s="189" t="inlineStr">
        <is>
          <t>Gangnam-gu</t>
        </is>
      </c>
      <c r="AR164" s="190" t="inlineStr">
        <is>
          <t>Seoul</t>
        </is>
      </c>
      <c r="AS164" s="191" t="inlineStr">
        <is>
          <t/>
        </is>
      </c>
      <c r="AT164" s="192" t="inlineStr">
        <is>
          <t>06017</t>
        </is>
      </c>
      <c r="AU164" s="193" t="inlineStr">
        <is>
          <t>South Korea</t>
        </is>
      </c>
      <c r="AV164" s="194" t="inlineStr">
        <is>
          <t>+82 (0)21 544 5114</t>
        </is>
      </c>
      <c r="AW164" s="195" t="inlineStr">
        <is>
          <t>+82 (0)23 444 6672</t>
        </is>
      </c>
      <c r="AX164" s="196" t="inlineStr">
        <is>
          <t/>
        </is>
      </c>
      <c r="AY164" s="197" t="inlineStr">
        <is>
          <t>Asia</t>
        </is>
      </c>
      <c r="AZ164" s="198" t="inlineStr">
        <is>
          <t>East Asia</t>
        </is>
      </c>
      <c r="BA164" s="199" t="inlineStr">
        <is>
          <t>The company is a publicly traded company (093050 Korea SE). The company is not PE backed and is not tracked by PitchBook.</t>
        </is>
      </c>
      <c r="BB164" s="200" t="inlineStr">
        <is>
          <t/>
        </is>
      </c>
      <c r="BC164" s="201" t="inlineStr">
        <is>
          <t/>
        </is>
      </c>
      <c r="BD164" s="202" t="inlineStr">
        <is>
          <t/>
        </is>
      </c>
      <c r="BE164" s="203" t="inlineStr">
        <is>
          <t/>
        </is>
      </c>
      <c r="BF164" s="204" t="inlineStr">
        <is>
          <t/>
        </is>
      </c>
      <c r="BG164" s="205" t="inlineStr">
        <is>
          <t/>
        </is>
      </c>
      <c r="BH164" s="206" t="inlineStr">
        <is>
          <t/>
        </is>
      </c>
      <c r="BI164" s="207" t="inlineStr">
        <is>
          <t/>
        </is>
      </c>
      <c r="BJ164" s="208" t="inlineStr">
        <is>
          <t/>
        </is>
      </c>
      <c r="BK164" s="209" t="inlineStr">
        <is>
          <t/>
        </is>
      </c>
      <c r="BL164" s="210" t="inlineStr">
        <is>
          <t/>
        </is>
      </c>
      <c r="BM164" s="211" t="inlineStr">
        <is>
          <t/>
        </is>
      </c>
      <c r="BN164" s="212" t="inlineStr">
        <is>
          <t/>
        </is>
      </c>
      <c r="BO164" s="213" t="inlineStr">
        <is>
          <t/>
        </is>
      </c>
      <c r="BP164" s="214" t="inlineStr">
        <is>
          <t/>
        </is>
      </c>
      <c r="BQ164" s="215" t="inlineStr">
        <is>
          <t/>
        </is>
      </c>
      <c r="BR164" s="216" t="inlineStr">
        <is>
          <t/>
        </is>
      </c>
      <c r="BS164" s="217" t="inlineStr">
        <is>
          <t/>
        </is>
      </c>
      <c r="BT164" s="218" t="inlineStr">
        <is>
          <t/>
        </is>
      </c>
      <c r="BU164" s="219" t="inlineStr">
        <is>
          <t/>
        </is>
      </c>
      <c r="BV164" s="220" t="inlineStr">
        <is>
          <t/>
        </is>
      </c>
      <c r="BW164" s="221" t="inlineStr">
        <is>
          <t/>
        </is>
      </c>
      <c r="BX164" s="222" t="inlineStr">
        <is>
          <t/>
        </is>
      </c>
      <c r="BY164" s="223" t="inlineStr">
        <is>
          <t/>
        </is>
      </c>
      <c r="BZ164" s="224" t="inlineStr">
        <is>
          <t/>
        </is>
      </c>
      <c r="CA164" s="225" t="inlineStr">
        <is>
          <t/>
        </is>
      </c>
      <c r="CB164" s="226" t="inlineStr">
        <is>
          <t/>
        </is>
      </c>
      <c r="CC164" s="227" t="inlineStr">
        <is>
          <t/>
        </is>
      </c>
      <c r="CD164" s="228" t="inlineStr">
        <is>
          <t/>
        </is>
      </c>
      <c r="CE164" s="229" t="inlineStr">
        <is>
          <t/>
        </is>
      </c>
      <c r="CF164" s="230" t="inlineStr">
        <is>
          <t/>
        </is>
      </c>
      <c r="CG164" s="231" t="inlineStr">
        <is>
          <t/>
        </is>
      </c>
      <c r="CH164" s="232" t="inlineStr">
        <is>
          <t/>
        </is>
      </c>
      <c r="CI164" s="233" t="inlineStr">
        <is>
          <t/>
        </is>
      </c>
      <c r="CJ164" s="234" t="inlineStr">
        <is>
          <t/>
        </is>
      </c>
      <c r="CK164" s="235" t="inlineStr">
        <is>
          <t/>
        </is>
      </c>
      <c r="CL164" s="236" t="inlineStr">
        <is>
          <t/>
        </is>
      </c>
      <c r="CM164" s="237" t="inlineStr">
        <is>
          <t/>
        </is>
      </c>
      <c r="CN164" s="238" t="n">
        <v>-0.08</v>
      </c>
      <c r="CO164" s="239" t="n">
        <v>12.0</v>
      </c>
      <c r="CP164" s="240" t="n">
        <v>0.09</v>
      </c>
      <c r="CQ164" s="241" t="n">
        <v>52.1</v>
      </c>
      <c r="CR164" s="242" t="n">
        <v>-0.08</v>
      </c>
      <c r="CS164" s="243" t="n">
        <v>13.0</v>
      </c>
      <c r="CT164" s="244" t="inlineStr">
        <is>
          <t/>
        </is>
      </c>
      <c r="CU164" s="245" t="inlineStr">
        <is>
          <t/>
        </is>
      </c>
      <c r="CV164" s="246" t="inlineStr">
        <is>
          <t/>
        </is>
      </c>
      <c r="CW164" s="247" t="inlineStr">
        <is>
          <t/>
        </is>
      </c>
      <c r="CX164" s="248" t="n">
        <v>-0.08</v>
      </c>
      <c r="CY164" s="249" t="n">
        <v>11.0</v>
      </c>
      <c r="CZ164" s="250" t="inlineStr">
        <is>
          <t/>
        </is>
      </c>
      <c r="DA164" s="251" t="inlineStr">
        <is>
          <t/>
        </is>
      </c>
      <c r="DB164" s="252" t="n">
        <v>4.35</v>
      </c>
      <c r="DC164" s="253" t="n">
        <v>81.0</v>
      </c>
      <c r="DD164" s="254" t="n">
        <v>1.06</v>
      </c>
      <c r="DE164" s="255" t="n">
        <v>32.35</v>
      </c>
      <c r="DF164" s="256" t="n">
        <v>4.35</v>
      </c>
      <c r="DG164" s="257" t="n">
        <v>81.0</v>
      </c>
      <c r="DH164" s="258" t="inlineStr">
        <is>
          <t/>
        </is>
      </c>
      <c r="DI164" s="259" t="inlineStr">
        <is>
          <t/>
        </is>
      </c>
      <c r="DJ164" s="260" t="inlineStr">
        <is>
          <t/>
        </is>
      </c>
      <c r="DK164" s="261" t="inlineStr">
        <is>
          <t/>
        </is>
      </c>
      <c r="DL164" s="262" t="n">
        <v>4.35</v>
      </c>
      <c r="DM164" s="263" t="n">
        <v>80.0</v>
      </c>
      <c r="DN164" s="264" t="inlineStr">
        <is>
          <t/>
        </is>
      </c>
      <c r="DO164" s="265" t="inlineStr">
        <is>
          <t/>
        </is>
      </c>
      <c r="DP164" s="266" t="inlineStr">
        <is>
          <t/>
        </is>
      </c>
      <c r="DQ164" s="267" t="inlineStr">
        <is>
          <t/>
        </is>
      </c>
      <c r="DR164" s="268" t="inlineStr">
        <is>
          <t/>
        </is>
      </c>
      <c r="DS164" s="269" t="n">
        <v>148.0</v>
      </c>
      <c r="DT164" s="270" t="n">
        <v>1.0</v>
      </c>
      <c r="DU164" s="271" t="n">
        <v>0.68</v>
      </c>
      <c r="DV164" s="272" t="inlineStr">
        <is>
          <t/>
        </is>
      </c>
      <c r="DW164" s="273" t="inlineStr">
        <is>
          <t/>
        </is>
      </c>
      <c r="DX164" s="274" t="inlineStr">
        <is>
          <t/>
        </is>
      </c>
      <c r="DY164" s="275" t="inlineStr">
        <is>
          <t>PitchBook Research</t>
        </is>
      </c>
      <c r="DZ164" s="276" t="n">
        <v>43491.0</v>
      </c>
      <c r="EA164" s="277" t="inlineStr">
        <is>
          <t/>
        </is>
      </c>
      <c r="EB164" s="278" t="inlineStr">
        <is>
          <t/>
        </is>
      </c>
      <c r="EC164" s="279" t="inlineStr">
        <is>
          <t/>
        </is>
      </c>
      <c r="ED164" s="548">
        <f>HYPERLINK("https://my.pitchbook.com?c=57887-65", "View company online")</f>
      </c>
    </row>
    <row r="165">
      <c r="A165" s="13" t="inlineStr">
        <is>
          <t>10041-22</t>
        </is>
      </c>
      <c r="B165" s="14" t="inlineStr">
        <is>
          <t>National Vision (NAS: EYE)</t>
        </is>
      </c>
      <c r="C165" s="15" t="inlineStr">
        <is>
          <t>Vista Eyecare, National Vision Associates</t>
        </is>
      </c>
      <c r="D165" s="16" t="inlineStr">
        <is>
          <t>NVI</t>
        </is>
      </c>
      <c r="E165" s="17" t="inlineStr">
        <is>
          <t>10041-22</t>
        </is>
      </c>
      <c r="F165" s="18" t="inlineStr">
        <is>
          <t>National Vision Holdings Inc is an optical retailer in the U.S. Its product portfolio includes eyeglasses and sunglasses, contact lenses, accessories and other products. The operating segments of the company are Owned and Host segment, and Legacy segment. It derives a majority of the revenue from the Owned and Host segment which includes its two owned brands, America's Best and Eyeglass World, and its Vista Optical locations in Fred Meyer stores. In Owned and Host segment, the company also offers low-cost vision care products and services to American military service members by operating Vista Optical locations on military bases across the country. The Legacy segment of the entity consists of the strategic relationship with Walmart to operate Vision Centers in select Walmart stores.</t>
        </is>
      </c>
      <c r="G165" s="19" t="inlineStr">
        <is>
          <t>Consumer Products and Services (B2C)</t>
        </is>
      </c>
      <c r="H165" s="20" t="inlineStr">
        <is>
          <t>Retail</t>
        </is>
      </c>
      <c r="I165" s="21" t="inlineStr">
        <is>
          <t>Specialty Retail</t>
        </is>
      </c>
      <c r="J165" s="22" t="inlineStr">
        <is>
          <t>Accessories, Specialty Retail*, Therapeutic Devices</t>
        </is>
      </c>
      <c r="K165" s="23" t="inlineStr">
        <is>
          <t/>
        </is>
      </c>
      <c r="L165" s="24" t="inlineStr">
        <is>
          <t>eye frames, eyewear items, optical lenses, optical retail stores, sun glass, sunglasses</t>
        </is>
      </c>
      <c r="M165" s="25" t="inlineStr">
        <is>
          <t>Formerly PE-Backed</t>
        </is>
      </c>
      <c r="N165" s="26" t="n">
        <v>12.55</v>
      </c>
      <c r="O165" s="27" t="inlineStr">
        <is>
          <t>Profitable</t>
        </is>
      </c>
      <c r="P165" s="28" t="inlineStr">
        <is>
          <t>Publicly Held</t>
        </is>
      </c>
      <c r="Q165" s="29" t="inlineStr">
        <is>
          <t>Debt Financed, Private Equity, Publicly Listed, Venture Capital</t>
        </is>
      </c>
      <c r="R165" s="30" t="inlineStr">
        <is>
          <t>www.nationalvision.com</t>
        </is>
      </c>
      <c r="S165" s="31" t="n">
        <v>10668.0</v>
      </c>
      <c r="T165" s="32" t="inlineStr">
        <is>
          <t>2009: 4400, 2011: 6000, 2014: 7000, 2015: 7000, 2017: 10902, 2018: 10668</t>
        </is>
      </c>
      <c r="U165" s="33" t="inlineStr">
        <is>
          <t>NAS</t>
        </is>
      </c>
      <c r="V165" s="34" t="inlineStr">
        <is>
          <t>EYE</t>
        </is>
      </c>
      <c r="W165" s="35" t="n">
        <v>1990.0</v>
      </c>
      <c r="X165" s="36" t="inlineStr">
        <is>
          <t/>
        </is>
      </c>
      <c r="Y165" s="37" t="inlineStr">
        <is>
          <t/>
        </is>
      </c>
      <c r="Z165" s="38" t="inlineStr">
        <is>
          <t>News (New) </t>
        </is>
      </c>
      <c r="AA165" s="39" t="n">
        <v>1536.85</v>
      </c>
      <c r="AB165" s="40" t="n">
        <v>823.28</v>
      </c>
      <c r="AC165" s="41" t="n">
        <v>23.65</v>
      </c>
      <c r="AD165" s="42" t="n">
        <v>2699.63</v>
      </c>
      <c r="AE165" s="43" t="n">
        <v>116.49</v>
      </c>
      <c r="AF165" s="44" t="inlineStr">
        <is>
          <t>FY 2018</t>
        </is>
      </c>
      <c r="AG165" s="45" t="n">
        <v>42.15</v>
      </c>
      <c r="AH165" s="46" t="n">
        <v>2273.52</v>
      </c>
      <c r="AI165" s="47" t="n">
        <v>560.98</v>
      </c>
      <c r="AJ165" s="48" t="inlineStr">
        <is>
          <t>91251-10P</t>
        </is>
      </c>
      <c r="AK165" s="49" t="inlineStr">
        <is>
          <t>Patrick Moore</t>
        </is>
      </c>
      <c r="AL165" s="50" t="inlineStr">
        <is>
          <t>Chief Financial Officer</t>
        </is>
      </c>
      <c r="AM165" s="51" t="inlineStr">
        <is>
          <t>patrick.moore@nationalvision.com</t>
        </is>
      </c>
      <c r="AN165" s="52" t="inlineStr">
        <is>
          <t>+1 (770) 822-3600</t>
        </is>
      </c>
      <c r="AO165" s="53" t="inlineStr">
        <is>
          <t>Duluth, GA</t>
        </is>
      </c>
      <c r="AP165" s="54" t="inlineStr">
        <is>
          <t>2435 Commerce Avenue</t>
        </is>
      </c>
      <c r="AQ165" s="55" t="inlineStr">
        <is>
          <t>Building 2200</t>
        </is>
      </c>
      <c r="AR165" s="56" t="inlineStr">
        <is>
          <t>Duluth</t>
        </is>
      </c>
      <c r="AS165" s="57" t="inlineStr">
        <is>
          <t>Georgia</t>
        </is>
      </c>
      <c r="AT165" s="58" t="inlineStr">
        <is>
          <t>30096</t>
        </is>
      </c>
      <c r="AU165" s="59" t="inlineStr">
        <is>
          <t>United States</t>
        </is>
      </c>
      <c r="AV165" s="60" t="inlineStr">
        <is>
          <t>+1 (770) 822-3600</t>
        </is>
      </c>
      <c r="AW165" s="61" t="inlineStr">
        <is>
          <t>+1 (770) 822-3601</t>
        </is>
      </c>
      <c r="AX165" s="62" t="inlineStr">
        <is>
          <t/>
        </is>
      </c>
      <c r="AY165" s="63" t="inlineStr">
        <is>
          <t>Americas</t>
        </is>
      </c>
      <c r="AZ165" s="64" t="inlineStr">
        <is>
          <t>North America</t>
        </is>
      </c>
      <c r="BA165" s="65" t="inlineStr">
        <is>
          <t>Existing shareholders sold an undisclosed stake in the company (NASDAQ: EYE) for $574.29 million on July 26, 2018. A total of 14,447,698 shares were sold at a price of $39.75 per share. The company will not receive any proceeds from the offering.</t>
        </is>
      </c>
      <c r="BB165" s="66" t="inlineStr">
        <is>
          <t>Kohlberg Kravis Roberts</t>
        </is>
      </c>
      <c r="BC165" s="67" t="n">
        <v>1.0</v>
      </c>
      <c r="BD165" s="68" t="inlineStr">
        <is>
          <t/>
        </is>
      </c>
      <c r="BE165" s="69" t="inlineStr">
        <is>
          <t>Berkshire Partners, Bryant Stibel, Vista Acquisition</t>
        </is>
      </c>
      <c r="BF165" s="70" t="inlineStr">
        <is>
          <t>The Carlyle Group</t>
        </is>
      </c>
      <c r="BG165" s="71" t="inlineStr">
        <is>
          <t>Kohlberg Kravis Roberts(www.kkr.com)</t>
        </is>
      </c>
      <c r="BH165" s="72" t="inlineStr">
        <is>
          <t>Berkshire Partners(www.berkshirepartners.com), Bryant Stibel(www.bryantstibel.com)</t>
        </is>
      </c>
      <c r="BI165" s="73" t="inlineStr">
        <is>
          <t>The Carlyle Group(www.carlyle.com)</t>
        </is>
      </c>
      <c r="BJ165" s="74" t="inlineStr">
        <is>
          <t>PJ SOLOMON(Advisor: General)</t>
        </is>
      </c>
      <c r="BK165" s="75" t="inlineStr">
        <is>
          <t>Bank of America Merrill Lynch(Underwriter), Bank of Ireland(Debt Financing), Bank Street Group(Advisor: General), Barclays(Advisor: General), Citigroup Global Markets(Underwriter), Corporate Capital Trust(Debt Financing), Deloitte(Accounting), Freeport Financial Partners(Advisor: General), FS Investment(Debt Financing), FS Investment II(Debt Financing), Guggenheim Partners(Advisor: General), Guggenheim Securities(Underwriter), Hines Securities(Debt Financing), Invesco(Debt Financing), Jefferies Group(Advisor: General), Kilpatrick Townsend &amp; Stockton(Legal Advisor), Kohlberg Kravis Roberts(Underwriter), League Park Advisors(Advisor: General), Macquarie Capital Markets(Underwriter), Merrill Lynch Pierce Fenner &amp; Smith(Underwriter), Mizuho Securities Company(Underwriter), Morgan Stanley(Underwriter), Oxford Square Capital(Debt Financing), Simpson Thacher &amp; Bartlett(Legal Advisor), Solar Capital(Debt Financing), Solar Senior Capital(Debt Financing), The Goldman Sachs Group(Advisor: General), TM Capital(Advisor: General), UBS Securities (China)(Underwriter), Weil, Gotshal &amp; Manges(Legal Advisor), Wells Fargo(Advisor: General)</t>
        </is>
      </c>
      <c r="BL165" s="76" t="n">
        <v>33604.0</v>
      </c>
      <c r="BM165" s="77" t="inlineStr">
        <is>
          <t/>
        </is>
      </c>
      <c r="BN165" s="78" t="inlineStr">
        <is>
          <t/>
        </is>
      </c>
      <c r="BO165" s="79" t="inlineStr">
        <is>
          <t/>
        </is>
      </c>
      <c r="BP165" s="80" t="inlineStr">
        <is>
          <t/>
        </is>
      </c>
      <c r="BQ165" s="81" t="inlineStr">
        <is>
          <t>IPO</t>
        </is>
      </c>
      <c r="BR165" s="82" t="inlineStr">
        <is>
          <t/>
        </is>
      </c>
      <c r="BS165" s="83" t="inlineStr">
        <is>
          <t/>
        </is>
      </c>
      <c r="BT165" s="84" t="inlineStr">
        <is>
          <t>Public Investment</t>
        </is>
      </c>
      <c r="BU165" s="85" t="inlineStr">
        <is>
          <t/>
        </is>
      </c>
      <c r="BV165" s="86" t="inlineStr">
        <is>
          <t/>
        </is>
      </c>
      <c r="BW165" s="87" t="inlineStr">
        <is>
          <t/>
        </is>
      </c>
      <c r="BX165" s="88" t="inlineStr">
        <is>
          <t>Completed</t>
        </is>
      </c>
      <c r="BY165" s="89" t="n">
        <v>43307.0</v>
      </c>
      <c r="BZ165" s="90" t="n">
        <v>574.3</v>
      </c>
      <c r="CA165" s="91" t="inlineStr">
        <is>
          <t>Actual</t>
        </is>
      </c>
      <c r="CB165" s="92" t="inlineStr">
        <is>
          <t/>
        </is>
      </c>
      <c r="CC165" s="93" t="inlineStr">
        <is>
          <t/>
        </is>
      </c>
      <c r="CD165" s="94" t="inlineStr">
        <is>
          <t>Secondary Transaction - Open Market</t>
        </is>
      </c>
      <c r="CE165" s="95" t="inlineStr">
        <is>
          <t/>
        </is>
      </c>
      <c r="CF165" s="96" t="inlineStr">
        <is>
          <t/>
        </is>
      </c>
      <c r="CG165" s="97" t="inlineStr">
        <is>
          <t>Private Equity</t>
        </is>
      </c>
      <c r="CH165" s="98" t="inlineStr">
        <is>
          <t/>
        </is>
      </c>
      <c r="CI165" s="99" t="inlineStr">
        <is>
          <t/>
        </is>
      </c>
      <c r="CJ165" s="100" t="inlineStr">
        <is>
          <t/>
        </is>
      </c>
      <c r="CK165" s="101" t="inlineStr">
        <is>
          <t>Completed</t>
        </is>
      </c>
      <c r="CL165" s="102" t="n">
        <v>42144.0</v>
      </c>
      <c r="CM165" s="103" t="n">
        <v>150.0</v>
      </c>
      <c r="CN165" s="104" t="n">
        <v>-1.17</v>
      </c>
      <c r="CO165" s="105" t="n">
        <v>4.0</v>
      </c>
      <c r="CP165" s="106" t="n">
        <v>-0.01</v>
      </c>
      <c r="CQ165" s="107" t="n">
        <v>-1.09</v>
      </c>
      <c r="CR165" s="108" t="n">
        <v>-2.5</v>
      </c>
      <c r="CS165" s="109" t="n">
        <v>3.0</v>
      </c>
      <c r="CT165" s="110" t="n">
        <v>0.17</v>
      </c>
      <c r="CU165" s="111" t="n">
        <v>81.0</v>
      </c>
      <c r="CV165" s="112" t="n">
        <v>-3.98</v>
      </c>
      <c r="CW165" s="113" t="n">
        <v>12.0</v>
      </c>
      <c r="CX165" s="114" t="n">
        <v>-1.03</v>
      </c>
      <c r="CY165" s="115" t="n">
        <v>4.0</v>
      </c>
      <c r="CZ165" s="116" t="n">
        <v>0.17</v>
      </c>
      <c r="DA165" s="117" t="n">
        <v>84.0</v>
      </c>
      <c r="DB165" s="118" t="n">
        <v>4.8</v>
      </c>
      <c r="DC165" s="119" t="n">
        <v>82.0</v>
      </c>
      <c r="DD165" s="120" t="n">
        <v>0.73</v>
      </c>
      <c r="DE165" s="121" t="n">
        <v>17.9</v>
      </c>
      <c r="DF165" s="122" t="n">
        <v>7.75</v>
      </c>
      <c r="DG165" s="123" t="n">
        <v>88.0</v>
      </c>
      <c r="DH165" s="124" t="n">
        <v>1.84</v>
      </c>
      <c r="DI165" s="125" t="n">
        <v>61.0</v>
      </c>
      <c r="DJ165" s="126" t="n">
        <v>3.94</v>
      </c>
      <c r="DK165" s="127" t="n">
        <v>76.0</v>
      </c>
      <c r="DL165" s="128" t="n">
        <v>11.56</v>
      </c>
      <c r="DM165" s="129" t="n">
        <v>90.0</v>
      </c>
      <c r="DN165" s="130" t="n">
        <v>1.84</v>
      </c>
      <c r="DO165" s="131" t="n">
        <v>62.0</v>
      </c>
      <c r="DP165" s="132" t="n">
        <v>2838.0</v>
      </c>
      <c r="DQ165" s="133" t="n">
        <v>-290.0</v>
      </c>
      <c r="DR165" s="134" t="n">
        <v>-9.27</v>
      </c>
      <c r="DS165" s="135" t="n">
        <v>392.0</v>
      </c>
      <c r="DT165" s="136" t="n">
        <v>4.0</v>
      </c>
      <c r="DU165" s="137" t="n">
        <v>1.03</v>
      </c>
      <c r="DV165" s="138" t="n">
        <v>662.0</v>
      </c>
      <c r="DW165" s="139" t="n">
        <v>1.0</v>
      </c>
      <c r="DX165" s="140" t="n">
        <v>0.15</v>
      </c>
      <c r="DY165" s="141" t="inlineStr">
        <is>
          <t>PitchBook Research</t>
        </is>
      </c>
      <c r="DZ165" s="142" t="n">
        <v>43525.0</v>
      </c>
      <c r="EA165" s="143" t="n">
        <v>1000.0</v>
      </c>
      <c r="EB165" s="144" t="n">
        <v>41677.0</v>
      </c>
      <c r="EC165" s="145" t="inlineStr">
        <is>
          <t>Buyout/LBO</t>
        </is>
      </c>
      <c r="ED165" s="547">
        <f>HYPERLINK("https://my.pitchbook.com?c=10041-22", "View company online")</f>
      </c>
    </row>
    <row r="166">
      <c r="A166" s="147" t="inlineStr">
        <is>
          <t>13364-47</t>
        </is>
      </c>
      <c r="B166" s="148" t="inlineStr">
        <is>
          <t>Moncler (MIL: MONC)</t>
        </is>
      </c>
      <c r="C166" s="149" t="inlineStr">
        <is>
          <t/>
        </is>
      </c>
      <c r="D166" s="150" t="inlineStr">
        <is>
          <t>Moncler Group</t>
        </is>
      </c>
      <c r="E166" s="151" t="inlineStr">
        <is>
          <t>13364-47</t>
        </is>
      </c>
      <c r="F166" s="152" t="inlineStr">
        <is>
          <t>Moncler is an Italian luxury outerwear brand founded in 1952. It is one of the leading players in luxury outerwear (EUR 12 billion market) with over 40% share in luxury down jackets (EUR 2 billion market). Moncler is globally present, with 14% of revenue generated in Italy, 29% in EMEA excluding Italy, 17% in the Americas, and 40% in Asia. Most of the company's sales are direct-to-consumer, with over 70% generated through the own retail channel (200 stores globally) and the remainder through over 1,500 wholesale doors. Around 80% of revenue is generated in the core outerwear segment, with the remainder in the accessory, knitwear, and footwear categories. We estimate Moncler to command around 8% of the luxury outerwear market globally, with higher market shares in Asia and lower in the U.S.</t>
        </is>
      </c>
      <c r="G166" s="153" t="inlineStr">
        <is>
          <t>Consumer Products and Services (B2C)</t>
        </is>
      </c>
      <c r="H166" s="154" t="inlineStr">
        <is>
          <t>Apparel and Accessories</t>
        </is>
      </c>
      <c r="I166" s="155" t="inlineStr">
        <is>
          <t>Clothing</t>
        </is>
      </c>
      <c r="J166" s="156" t="inlineStr">
        <is>
          <t>Accessories, Clothing*, Internet Retail</t>
        </is>
      </c>
      <c r="K166" s="157" t="inlineStr">
        <is>
          <t>Manufacturing</t>
        </is>
      </c>
      <c r="L166" s="158" t="inlineStr">
        <is>
          <t>apparel manufacturer, casual clothing, cloth retailer, clothes and accessories, clothing chain, down jackets</t>
        </is>
      </c>
      <c r="M166" s="159" t="inlineStr">
        <is>
          <t>Formerly PE-Backed</t>
        </is>
      </c>
      <c r="N166" s="160" t="n">
        <v>287.78</v>
      </c>
      <c r="O166" s="161" t="inlineStr">
        <is>
          <t>Profitable</t>
        </is>
      </c>
      <c r="P166" s="162" t="inlineStr">
        <is>
          <t>Publicly Held</t>
        </is>
      </c>
      <c r="Q166" s="163" t="inlineStr">
        <is>
          <t>Debt Financed, M&amp;A, Private Equity, Publicly Listed, Venture Capital</t>
        </is>
      </c>
      <c r="R166" s="164" t="inlineStr">
        <is>
          <t>www.monclergroup.com</t>
        </is>
      </c>
      <c r="S166" s="165" t="n">
        <v>3619.0</v>
      </c>
      <c r="T166" s="166" t="inlineStr">
        <is>
          <t>2011: 1000, 2013: 1132, 2014: 1600, 2015: 1798, 2016: 2755, 2017: 3066, 2018: 3619</t>
        </is>
      </c>
      <c r="U166" s="167" t="inlineStr">
        <is>
          <t>MIL</t>
        </is>
      </c>
      <c r="V166" s="168" t="inlineStr">
        <is>
          <t>MONC</t>
        </is>
      </c>
      <c r="W166" s="169" t="n">
        <v>1952.0</v>
      </c>
      <c r="X166" s="170" t="inlineStr">
        <is>
          <t/>
        </is>
      </c>
      <c r="Y166" s="171" t="inlineStr">
        <is>
          <t/>
        </is>
      </c>
      <c r="Z166" s="172" t="inlineStr">
        <is>
          <t>Deal (New) Secondary Transaction - Open Market, 2019|Completed, News (New) </t>
        </is>
      </c>
      <c r="AA166" s="173" t="n">
        <v>1526.25</v>
      </c>
      <c r="AB166" s="174" t="n">
        <v>1173.73</v>
      </c>
      <c r="AC166" s="175" t="n">
        <v>321.42</v>
      </c>
      <c r="AD166" s="176" t="n">
        <v>11037.35</v>
      </c>
      <c r="AE166" s="177" t="n">
        <v>489.86</v>
      </c>
      <c r="AF166" s="178" t="inlineStr">
        <is>
          <t>TTM 2Q2018</t>
        </is>
      </c>
      <c r="AG166" s="179" t="n">
        <v>431.11</v>
      </c>
      <c r="AH166" s="180" t="n">
        <v>10116.27</v>
      </c>
      <c r="AI166" s="181" t="n">
        <v>-281.96</v>
      </c>
      <c r="AJ166" s="182" t="inlineStr">
        <is>
          <t>47942-56P</t>
        </is>
      </c>
      <c r="AK166" s="183" t="inlineStr">
        <is>
          <t>Gianluca Giusti</t>
        </is>
      </c>
      <c r="AL166" s="184" t="inlineStr">
        <is>
          <t>Group Chief Financial Officer</t>
        </is>
      </c>
      <c r="AM166" s="185" t="inlineStr">
        <is>
          <t>gianluca.giusti@moncler.com</t>
        </is>
      </c>
      <c r="AN166" s="186" t="inlineStr">
        <is>
          <t>+39 02 4220 41</t>
        </is>
      </c>
      <c r="AO166" s="187" t="inlineStr">
        <is>
          <t>Milan, Italy</t>
        </is>
      </c>
      <c r="AP166" s="188" t="inlineStr">
        <is>
          <t>Via Stendhal, 47</t>
        </is>
      </c>
      <c r="AQ166" s="189" t="inlineStr">
        <is>
          <t/>
        </is>
      </c>
      <c r="AR166" s="190" t="inlineStr">
        <is>
          <t>Milan</t>
        </is>
      </c>
      <c r="AS166" s="191" t="inlineStr">
        <is>
          <t/>
        </is>
      </c>
      <c r="AT166" s="192" t="inlineStr">
        <is>
          <t>20144</t>
        </is>
      </c>
      <c r="AU166" s="193" t="inlineStr">
        <is>
          <t>Italy</t>
        </is>
      </c>
      <c r="AV166" s="194" t="inlineStr">
        <is>
          <t>+39 02 4220 41</t>
        </is>
      </c>
      <c r="AW166" s="195" t="inlineStr">
        <is>
          <t>+39 02 4220 4061</t>
        </is>
      </c>
      <c r="AX166" s="196" t="inlineStr">
        <is>
          <t>info@moncler.com</t>
        </is>
      </c>
      <c r="AY166" s="197" t="inlineStr">
        <is>
          <t>Europe</t>
        </is>
      </c>
      <c r="AZ166" s="198" t="inlineStr">
        <is>
          <t>Southern Europe</t>
        </is>
      </c>
      <c r="BA166" s="199" t="inlineStr">
        <is>
          <t>Eurazeo sold 12,000,000 shares of the company's common stock raising $445 million on March 20, 2019.</t>
        </is>
      </c>
      <c r="BB166" s="200" t="inlineStr">
        <is>
          <t>Dufry, Temasek Holdings</t>
        </is>
      </c>
      <c r="BC166" s="201" t="n">
        <v>2.0</v>
      </c>
      <c r="BD166" s="202" t="inlineStr">
        <is>
          <t/>
        </is>
      </c>
      <c r="BE166" s="203" t="inlineStr">
        <is>
          <t>Accel, Archimedia, Brands Partners, Cathay Capital Private Equity, Eurazeo, IDG Capital, Idinvest Partners, Istituto Atesino di Sviluppo, Mittel, Omnes Capital, Progressio SGR, Tamburi Investment Partners, The Carlyle Group, The Cathay Funds</t>
        </is>
      </c>
      <c r="BF166" s="204" t="inlineStr">
        <is>
          <t/>
        </is>
      </c>
      <c r="BG166" s="205" t="inlineStr">
        <is>
          <t>Dufry(www.dufry.com), Temasek Holdings(www.temasek.com.sg)</t>
        </is>
      </c>
      <c r="BH166" s="206" t="inlineStr">
        <is>
          <t>Accel(www.accel.com), Archimedia(www.archimedia.com), Cathay Capital Private Equity(www.cathay.fr), Eurazeo(www.eurazeo.com), IDG Capital(en.idgcapital.com), Idinvest Partners(www.idinvest.com), Istituto Atesino di Sviluppo(www.isa-tn.it), Mittel(www.mittel.it), Omnes Capital(www.omnescapital.com), Progressio SGR(www.progressiosgr.it), Tamburi Investment Partners(www.tipspa.it), The Carlyle Group(www.carlyle.com), The Cathay Funds(www.cathay-capital.com)</t>
        </is>
      </c>
      <c r="BI166" s="207" t="inlineStr">
        <is>
          <t/>
        </is>
      </c>
      <c r="BJ166" s="208" t="inlineStr">
        <is>
          <t>Withers Worldwide(Legal Advisor)</t>
        </is>
      </c>
      <c r="BK166" s="209" t="inlineStr">
        <is>
          <t>Agnoli Bernardi e Associati(Legal Advisor), Banca IMI(Underwriter), Bank of America Merrill Lynch(Underwriter), BMC Group(Advisor: General), BNP Paribas(Underwriter), Equita(Advisor: General), Intesa Sanpaolo(Underwriter), J.P. Morgan(Underwriter), KPMG(Accounting), Latham &amp; Watkins(Legal Advisor), Lazard(Advisor: General), Lazard Middle Market(Advisor: General), Mediobanca(Debt Financing), Mediobanca(Advisor: General), Morgan Stanley(Advisor: General), Nomura Securities(Underwriter), The Goldman Sachs Group(Underwriter), UBS(Underwriter)</t>
        </is>
      </c>
      <c r="BL166" s="210" t="n">
        <v>37622.0</v>
      </c>
      <c r="BM166" s="211" t="inlineStr">
        <is>
          <t/>
        </is>
      </c>
      <c r="BN166" s="212" t="inlineStr">
        <is>
          <t/>
        </is>
      </c>
      <c r="BO166" s="213" t="inlineStr">
        <is>
          <t/>
        </is>
      </c>
      <c r="BP166" s="214" t="inlineStr">
        <is>
          <t/>
        </is>
      </c>
      <c r="BQ166" s="215" t="inlineStr">
        <is>
          <t>Merger/Acquisition</t>
        </is>
      </c>
      <c r="BR166" s="216" t="inlineStr">
        <is>
          <t/>
        </is>
      </c>
      <c r="BS166" s="217" t="inlineStr">
        <is>
          <t/>
        </is>
      </c>
      <c r="BT166" s="218" t="inlineStr">
        <is>
          <t>Individual</t>
        </is>
      </c>
      <c r="BU166" s="219" t="inlineStr">
        <is>
          <t/>
        </is>
      </c>
      <c r="BV166" s="220" t="inlineStr">
        <is>
          <t/>
        </is>
      </c>
      <c r="BW166" s="221" t="inlineStr">
        <is>
          <t/>
        </is>
      </c>
      <c r="BX166" s="222" t="inlineStr">
        <is>
          <t>Completed</t>
        </is>
      </c>
      <c r="BY166" s="223" t="n">
        <v>43544.0</v>
      </c>
      <c r="BZ166" s="224" t="n">
        <v>518.45</v>
      </c>
      <c r="CA166" s="225" t="inlineStr">
        <is>
          <t>Actual</t>
        </is>
      </c>
      <c r="CB166" s="226" t="inlineStr">
        <is>
          <t/>
        </is>
      </c>
      <c r="CC166" s="227" t="inlineStr">
        <is>
          <t/>
        </is>
      </c>
      <c r="CD166" s="228" t="inlineStr">
        <is>
          <t>Secondary Transaction - Open Market</t>
        </is>
      </c>
      <c r="CE166" s="229" t="inlineStr">
        <is>
          <t/>
        </is>
      </c>
      <c r="CF166" s="230" t="inlineStr">
        <is>
          <t/>
        </is>
      </c>
      <c r="CG166" s="231" t="inlineStr">
        <is>
          <t>Private Equity</t>
        </is>
      </c>
      <c r="CH166" s="232" t="inlineStr">
        <is>
          <t/>
        </is>
      </c>
      <c r="CI166" s="233" t="inlineStr">
        <is>
          <t/>
        </is>
      </c>
      <c r="CJ166" s="234" t="inlineStr">
        <is>
          <t/>
        </is>
      </c>
      <c r="CK166" s="235" t="inlineStr">
        <is>
          <t>Completed</t>
        </is>
      </c>
      <c r="CL166" s="236" t="n">
        <v>41548.0</v>
      </c>
      <c r="CM166" s="237" t="n">
        <v>163.62</v>
      </c>
      <c r="CN166" s="238" t="n">
        <v>-0.03</v>
      </c>
      <c r="CO166" s="239" t="n">
        <v>15.0</v>
      </c>
      <c r="CP166" s="240" t="n">
        <v>0.0</v>
      </c>
      <c r="CQ166" s="241" t="n">
        <v>-5.21</v>
      </c>
      <c r="CR166" s="242" t="n">
        <v>0.0</v>
      </c>
      <c r="CS166" s="243" t="n">
        <v>14.0</v>
      </c>
      <c r="CT166" s="244" t="n">
        <v>-0.06</v>
      </c>
      <c r="CU166" s="245" t="n">
        <v>13.0</v>
      </c>
      <c r="CV166" s="246" t="inlineStr">
        <is>
          <t/>
        </is>
      </c>
      <c r="CW166" s="247" t="inlineStr">
        <is>
          <t/>
        </is>
      </c>
      <c r="CX166" s="248" t="n">
        <v>0.0</v>
      </c>
      <c r="CY166" s="249" t="n">
        <v>11.0</v>
      </c>
      <c r="CZ166" s="250" t="n">
        <v>-0.06</v>
      </c>
      <c r="DA166" s="251" t="n">
        <v>16.0</v>
      </c>
      <c r="DB166" s="252" t="n">
        <v>1648.6</v>
      </c>
      <c r="DC166" s="253" t="n">
        <v>100.0</v>
      </c>
      <c r="DD166" s="254" t="n">
        <v>8.62</v>
      </c>
      <c r="DE166" s="255" t="n">
        <v>0.53</v>
      </c>
      <c r="DF166" s="256" t="n">
        <v>0.35</v>
      </c>
      <c r="DG166" s="257" t="n">
        <v>26.0</v>
      </c>
      <c r="DH166" s="258" t="n">
        <v>3296.84</v>
      </c>
      <c r="DI166" s="259" t="n">
        <v>100.0</v>
      </c>
      <c r="DJ166" s="260" t="inlineStr">
        <is>
          <t/>
        </is>
      </c>
      <c r="DK166" s="261" t="inlineStr">
        <is>
          <t/>
        </is>
      </c>
      <c r="DL166" s="262" t="n">
        <v>0.35</v>
      </c>
      <c r="DM166" s="263" t="n">
        <v>26.0</v>
      </c>
      <c r="DN166" s="264" t="n">
        <v>3296.84</v>
      </c>
      <c r="DO166" s="265" t="n">
        <v>100.0</v>
      </c>
      <c r="DP166" s="266" t="inlineStr">
        <is>
          <t/>
        </is>
      </c>
      <c r="DQ166" s="267" t="inlineStr">
        <is>
          <t/>
        </is>
      </c>
      <c r="DR166" s="268" t="inlineStr">
        <is>
          <t/>
        </is>
      </c>
      <c r="DS166" s="269" t="n">
        <v>12.0</v>
      </c>
      <c r="DT166" s="270" t="n">
        <v>0.0</v>
      </c>
      <c r="DU166" s="271" t="n">
        <v>0.0</v>
      </c>
      <c r="DV166" s="272" t="n">
        <v>1183707.0</v>
      </c>
      <c r="DW166" s="273" t="n">
        <v>-565.0</v>
      </c>
      <c r="DX166" s="274" t="n">
        <v>-0.05</v>
      </c>
      <c r="DY166" s="275" t="inlineStr">
        <is>
          <t>PitchBook Research</t>
        </is>
      </c>
      <c r="DZ166" s="276" t="n">
        <v>43549.0</v>
      </c>
      <c r="EA166" s="277" t="n">
        <v>7325.46</v>
      </c>
      <c r="EB166" s="278" t="n">
        <v>43034.0</v>
      </c>
      <c r="EC166" s="279" t="inlineStr">
        <is>
          <t>Secondary Transaction - Open Market</t>
        </is>
      </c>
      <c r="ED166" s="548">
        <f>HYPERLINK("https://my.pitchbook.com?c=13364-47", "View company online")</f>
      </c>
    </row>
    <row r="167">
      <c r="A167" s="13" t="inlineStr">
        <is>
          <t>110768-41</t>
        </is>
      </c>
      <c r="B167" s="14" t="inlineStr">
        <is>
          <t>Benetton Group</t>
        </is>
      </c>
      <c r="C167" s="15" t="inlineStr">
        <is>
          <t/>
        </is>
      </c>
      <c r="D167" s="16" t="inlineStr">
        <is>
          <t>Benetton</t>
        </is>
      </c>
      <c r="E167" s="17" t="inlineStr">
        <is>
          <t>110768-41</t>
        </is>
      </c>
      <c r="F167" s="18" t="inlineStr">
        <is>
          <t>Supplier of clothing, sporting goods, and accessories for men, women, and children. The company sells casual wear under the United Colors of Benetton and Sisley brands, and sportswear and equipment under the Killer Loop and Playlife brands.</t>
        </is>
      </c>
      <c r="G167" s="19" t="inlineStr">
        <is>
          <t>Consumer Products and Services (B2C)</t>
        </is>
      </c>
      <c r="H167" s="20" t="inlineStr">
        <is>
          <t>Apparel and Accessories</t>
        </is>
      </c>
      <c r="I167" s="21" t="inlineStr">
        <is>
          <t>Clothing</t>
        </is>
      </c>
      <c r="J167" s="22" t="inlineStr">
        <is>
          <t>Accessories, Clothing*</t>
        </is>
      </c>
      <c r="K167" s="23" t="inlineStr">
        <is>
          <t/>
        </is>
      </c>
      <c r="L167" s="24" t="inlineStr">
        <is>
          <t>fashion apparel, leisure wear</t>
        </is>
      </c>
      <c r="M167" s="25" t="inlineStr">
        <is>
          <t>Corporate Backed or Acquired</t>
        </is>
      </c>
      <c r="N167" s="26" t="n">
        <v>355.08</v>
      </c>
      <c r="O167" s="27" t="inlineStr">
        <is>
          <t>Generating Revenue</t>
        </is>
      </c>
      <c r="P167" s="28" t="inlineStr">
        <is>
          <t>Privately Held (backing)</t>
        </is>
      </c>
      <c r="Q167" s="29" t="inlineStr">
        <is>
          <t>M&amp;A, Publicly Listed</t>
        </is>
      </c>
      <c r="R167" s="30" t="inlineStr">
        <is>
          <t/>
        </is>
      </c>
      <c r="S167" s="31" t="n">
        <v>9500.0</v>
      </c>
      <c r="T167" s="32" t="inlineStr">
        <is>
          <t>1991: 3200, 1992: 5800, 1993: 5900, 1994: 6300, 1995: 6018, 1996: 5973, 1997: 7400, 1998: 7235, 1999: 6585, 2000: 6913, 2001: 7666, 2002: 7666, 2003: 6949, 2004: 7424, 2005: 7978, 2006: 8894, 2007: 8896, 2008: 9766, 2009: 9511, 2011: 9557, 2017: 9500</t>
        </is>
      </c>
      <c r="U167" s="33" t="inlineStr">
        <is>
          <t/>
        </is>
      </c>
      <c r="V167" s="34" t="inlineStr">
        <is>
          <t/>
        </is>
      </c>
      <c r="W167" s="35" t="n">
        <v>1965.0</v>
      </c>
      <c r="X167" s="36" t="inlineStr">
        <is>
          <t/>
        </is>
      </c>
      <c r="Y167" s="37" t="inlineStr">
        <is>
          <t/>
        </is>
      </c>
      <c r="Z167" s="38" t="inlineStr">
        <is>
          <t/>
        </is>
      </c>
      <c r="AA167" s="39" t="n">
        <v>1515.42</v>
      </c>
      <c r="AB167" s="40" t="inlineStr">
        <is>
          <t/>
        </is>
      </c>
      <c r="AC167" s="41" t="inlineStr">
        <is>
          <t/>
        </is>
      </c>
      <c r="AD167" s="42" t="inlineStr">
        <is>
          <t/>
        </is>
      </c>
      <c r="AE167" s="43" t="inlineStr">
        <is>
          <t/>
        </is>
      </c>
      <c r="AF167" s="44" t="inlineStr">
        <is>
          <t>FY 2016</t>
        </is>
      </c>
      <c r="AG167" s="45" t="inlineStr">
        <is>
          <t/>
        </is>
      </c>
      <c r="AH167" s="46" t="inlineStr">
        <is>
          <t/>
        </is>
      </c>
      <c r="AI167" s="47" t="inlineStr">
        <is>
          <t/>
        </is>
      </c>
      <c r="AJ167" s="48" t="inlineStr">
        <is>
          <t>96706-99P</t>
        </is>
      </c>
      <c r="AK167" s="49" t="inlineStr">
        <is>
          <t>Biagio Chiarolanza</t>
        </is>
      </c>
      <c r="AL167" s="50" t="inlineStr">
        <is>
          <t>Chief Executive Officer</t>
        </is>
      </c>
      <c r="AM167" s="51" t="inlineStr">
        <is>
          <t>biagio.chiarolanza@benettongroup.com</t>
        </is>
      </c>
      <c r="AN167" s="52" t="inlineStr">
        <is>
          <t>+39 04 2251 9111</t>
        </is>
      </c>
      <c r="AO167" s="53" t="inlineStr">
        <is>
          <t>Treviso, Italy</t>
        </is>
      </c>
      <c r="AP167" s="54" t="inlineStr">
        <is>
          <t>Villa Minelli, 1</t>
        </is>
      </c>
      <c r="AQ167" s="55" t="inlineStr">
        <is>
          <t>Ponzano Veneto</t>
        </is>
      </c>
      <c r="AR167" s="56" t="inlineStr">
        <is>
          <t>Treviso</t>
        </is>
      </c>
      <c r="AS167" s="57" t="inlineStr">
        <is>
          <t/>
        </is>
      </c>
      <c r="AT167" s="58" t="inlineStr">
        <is>
          <t>31050</t>
        </is>
      </c>
      <c r="AU167" s="59" t="inlineStr">
        <is>
          <t>Italy</t>
        </is>
      </c>
      <c r="AV167" s="60" t="inlineStr">
        <is>
          <t>+39 04 2251 9111</t>
        </is>
      </c>
      <c r="AW167" s="61" t="inlineStr">
        <is>
          <t>+39 04 2296 9501</t>
        </is>
      </c>
      <c r="AX167" s="62" t="inlineStr">
        <is>
          <t/>
        </is>
      </c>
      <c r="AY167" s="63" t="inlineStr">
        <is>
          <t>Europe</t>
        </is>
      </c>
      <c r="AZ167" s="64" t="inlineStr">
        <is>
          <t>Southern Europe</t>
        </is>
      </c>
      <c r="BA167" s="65" t="inlineStr">
        <is>
          <t>The company received EUR 276.6 million of development capital from Edizione Holding on May 31, 2012 through a private placement. The company is no longer actively tracked by PitchBook.</t>
        </is>
      </c>
      <c r="BB167" s="66" t="inlineStr">
        <is>
          <t/>
        </is>
      </c>
      <c r="BC167" s="67" t="inlineStr">
        <is>
          <t/>
        </is>
      </c>
      <c r="BD167" s="68" t="inlineStr">
        <is>
          <t>Edizione</t>
        </is>
      </c>
      <c r="BE167" s="69" t="inlineStr">
        <is>
          <t/>
        </is>
      </c>
      <c r="BF167" s="70" t="inlineStr">
        <is>
          <t/>
        </is>
      </c>
      <c r="BG167" s="71" t="inlineStr">
        <is>
          <t/>
        </is>
      </c>
      <c r="BH167" s="72" t="inlineStr">
        <is>
          <t/>
        </is>
      </c>
      <c r="BI167" s="73" t="inlineStr">
        <is>
          <t/>
        </is>
      </c>
      <c r="BJ167" s="74" t="inlineStr">
        <is>
          <t/>
        </is>
      </c>
      <c r="BK167" s="75" t="inlineStr">
        <is>
          <t>Banca IMI(Advisor: General), HSBC Holdings(Advisor: General), Morgan Stanley(Advisor: General)</t>
        </is>
      </c>
      <c r="BL167" s="76" t="n">
        <v>31594.0</v>
      </c>
      <c r="BM167" s="77" t="inlineStr">
        <is>
          <t/>
        </is>
      </c>
      <c r="BN167" s="78" t="inlineStr">
        <is>
          <t/>
        </is>
      </c>
      <c r="BO167" s="79" t="inlineStr">
        <is>
          <t/>
        </is>
      </c>
      <c r="BP167" s="80" t="inlineStr">
        <is>
          <t/>
        </is>
      </c>
      <c r="BQ167" s="81" t="inlineStr">
        <is>
          <t>IPO</t>
        </is>
      </c>
      <c r="BR167" s="82" t="inlineStr">
        <is>
          <t/>
        </is>
      </c>
      <c r="BS167" s="83" t="inlineStr">
        <is>
          <t/>
        </is>
      </c>
      <c r="BT167" s="84" t="inlineStr">
        <is>
          <t>Public Investment</t>
        </is>
      </c>
      <c r="BU167" s="85" t="inlineStr">
        <is>
          <t/>
        </is>
      </c>
      <c r="BV167" s="86" t="inlineStr">
        <is>
          <t/>
        </is>
      </c>
      <c r="BW167" s="87" t="inlineStr">
        <is>
          <t/>
        </is>
      </c>
      <c r="BX167" s="88" t="inlineStr">
        <is>
          <t>Completed</t>
        </is>
      </c>
      <c r="BY167" s="89" t="n">
        <v>41060.0</v>
      </c>
      <c r="BZ167" s="90" t="n">
        <v>355.08</v>
      </c>
      <c r="CA167" s="91" t="inlineStr">
        <is>
          <t>Actual</t>
        </is>
      </c>
      <c r="CB167" s="92" t="n">
        <v>1079.27</v>
      </c>
      <c r="CC167" s="93" t="inlineStr">
        <is>
          <t>Actual</t>
        </is>
      </c>
      <c r="CD167" s="94" t="inlineStr">
        <is>
          <t>PIPE</t>
        </is>
      </c>
      <c r="CE167" s="95" t="inlineStr">
        <is>
          <t/>
        </is>
      </c>
      <c r="CF167" s="96" t="inlineStr">
        <is>
          <t/>
        </is>
      </c>
      <c r="CG167" s="97" t="inlineStr">
        <is>
          <t>Corporate</t>
        </is>
      </c>
      <c r="CH167" s="98" t="inlineStr">
        <is>
          <t/>
        </is>
      </c>
      <c r="CI167" s="99" t="inlineStr">
        <is>
          <t/>
        </is>
      </c>
      <c r="CJ167" s="100" t="inlineStr">
        <is>
          <t/>
        </is>
      </c>
      <c r="CK167" s="101" t="inlineStr">
        <is>
          <t>Completed</t>
        </is>
      </c>
      <c r="CL167" s="102" t="inlineStr">
        <is>
          <t/>
        </is>
      </c>
      <c r="CM167" s="103" t="inlineStr">
        <is>
          <t/>
        </is>
      </c>
      <c r="CN167" s="104" t="n">
        <v>-0.06</v>
      </c>
      <c r="CO167" s="105" t="n">
        <v>13.0</v>
      </c>
      <c r="CP167" s="106" t="n">
        <v>0.01</v>
      </c>
      <c r="CQ167" s="107" t="n">
        <v>8.17</v>
      </c>
      <c r="CR167" s="108" t="n">
        <v>-0.11</v>
      </c>
      <c r="CS167" s="109" t="n">
        <v>12.0</v>
      </c>
      <c r="CT167" s="110" t="n">
        <v>-0.01</v>
      </c>
      <c r="CU167" s="111" t="n">
        <v>25.0</v>
      </c>
      <c r="CV167" s="112" t="n">
        <v>0.0</v>
      </c>
      <c r="CW167" s="113" t="n">
        <v>33.0</v>
      </c>
      <c r="CX167" s="114" t="n">
        <v>-0.22</v>
      </c>
      <c r="CY167" s="115" t="n">
        <v>9.0</v>
      </c>
      <c r="CZ167" s="116" t="n">
        <v>-0.03</v>
      </c>
      <c r="DA167" s="117" t="n">
        <v>23.0</v>
      </c>
      <c r="DB167" s="118" t="n">
        <v>1859.38</v>
      </c>
      <c r="DC167" s="119" t="n">
        <v>100.0</v>
      </c>
      <c r="DD167" s="120" t="n">
        <v>18.48</v>
      </c>
      <c r="DE167" s="121" t="n">
        <v>1.0</v>
      </c>
      <c r="DF167" s="122" t="n">
        <v>117.07</v>
      </c>
      <c r="DG167" s="123" t="n">
        <v>100.0</v>
      </c>
      <c r="DH167" s="124" t="n">
        <v>3601.7</v>
      </c>
      <c r="DI167" s="125" t="n">
        <v>100.0</v>
      </c>
      <c r="DJ167" s="126" t="n">
        <v>0.28</v>
      </c>
      <c r="DK167" s="127" t="n">
        <v>21.0</v>
      </c>
      <c r="DL167" s="128" t="n">
        <v>233.85</v>
      </c>
      <c r="DM167" s="129" t="n">
        <v>100.0</v>
      </c>
      <c r="DN167" s="130" t="n">
        <v>98.34</v>
      </c>
      <c r="DO167" s="131" t="n">
        <v>98.0</v>
      </c>
      <c r="DP167" s="132" t="n">
        <v>202.0</v>
      </c>
      <c r="DQ167" s="133" t="n">
        <v>1.0</v>
      </c>
      <c r="DR167" s="134" t="n">
        <v>0.5</v>
      </c>
      <c r="DS167" s="135" t="n">
        <v>7944.0</v>
      </c>
      <c r="DT167" s="136" t="n">
        <v>17.0</v>
      </c>
      <c r="DU167" s="137" t="n">
        <v>0.21</v>
      </c>
      <c r="DV167" s="138" t="n">
        <v>35308.0</v>
      </c>
      <c r="DW167" s="139" t="n">
        <v>-21.0</v>
      </c>
      <c r="DX167" s="140" t="n">
        <v>-0.06</v>
      </c>
      <c r="DY167" s="141" t="inlineStr">
        <is>
          <t>PitchBook Research</t>
        </is>
      </c>
      <c r="DZ167" s="142" t="n">
        <v>43433.0</v>
      </c>
      <c r="EA167" s="143" t="n">
        <v>1079.27</v>
      </c>
      <c r="EB167" s="144" t="n">
        <v>41060.0</v>
      </c>
      <c r="EC167" s="145" t="inlineStr">
        <is>
          <t>PIPE</t>
        </is>
      </c>
      <c r="ED167" s="547">
        <f>HYPERLINK("https://my.pitchbook.com?c=110768-41", "View company online")</f>
      </c>
    </row>
    <row r="168">
      <c r="A168" s="147" t="inlineStr">
        <is>
          <t>41312-71</t>
        </is>
      </c>
      <c r="B168" s="148" t="inlineStr">
        <is>
          <t>Timberland</t>
        </is>
      </c>
      <c r="C168" s="149" t="inlineStr">
        <is>
          <t/>
        </is>
      </c>
      <c r="D168" s="150" t="inlineStr">
        <is>
          <t/>
        </is>
      </c>
      <c r="E168" s="151" t="inlineStr">
        <is>
          <t>41312-71</t>
        </is>
      </c>
      <c r="F168" s="152" t="inlineStr">
        <is>
          <t>Designer and marketer of footwear and accessories. The company designs and markets a branded line of boots and shoes, as well as apparel and accessories. It provides products for women, men and children.</t>
        </is>
      </c>
      <c r="G168" s="153" t="inlineStr">
        <is>
          <t>Consumer Products and Services (B2C)</t>
        </is>
      </c>
      <c r="H168" s="154" t="inlineStr">
        <is>
          <t>Apparel and Accessories</t>
        </is>
      </c>
      <c r="I168" s="155" t="inlineStr">
        <is>
          <t>Footwear</t>
        </is>
      </c>
      <c r="J168" s="156" t="inlineStr">
        <is>
          <t>Accessories, Clothing, Footwear*</t>
        </is>
      </c>
      <c r="K168" s="157" t="inlineStr">
        <is>
          <t/>
        </is>
      </c>
      <c r="L168" s="158" t="inlineStr">
        <is>
          <t>apparel and accessories, footwear</t>
        </is>
      </c>
      <c r="M168" s="159" t="inlineStr">
        <is>
          <t>Formerly PE-Backed</t>
        </is>
      </c>
      <c r="N168" s="160" t="inlineStr">
        <is>
          <t/>
        </is>
      </c>
      <c r="O168" s="161" t="inlineStr">
        <is>
          <t>Profitable</t>
        </is>
      </c>
      <c r="P168" s="162" t="inlineStr">
        <is>
          <t>Acquired/Merged (Operating Subsidiary)</t>
        </is>
      </c>
      <c r="Q168" s="163" t="inlineStr">
        <is>
          <t>Private Equity, Publicly Listed</t>
        </is>
      </c>
      <c r="R168" s="164" t="inlineStr">
        <is>
          <t/>
        </is>
      </c>
      <c r="S168" s="165" t="n">
        <v>1945.0</v>
      </c>
      <c r="T168" s="166" t="inlineStr">
        <is>
          <t>1990: 3000, 1991: 4150, 1992: 4150, 1993: 6000, 1994: 6700, 1995: 5500, 1996: 5700, 1997: 5100, 1998: 5200, 1999: 4800, 2000: 5400, 2001: 5600, 2002: 5400, 2003: 5500, 2004: 5600, 2005: 5300, 2006: 1210, 2007: 6300, 2008: 6000, 2009: 5700, 2010: 5600, 2015: 1945</t>
        </is>
      </c>
      <c r="U168" s="167" t="inlineStr">
        <is>
          <t/>
        </is>
      </c>
      <c r="V168" s="168" t="inlineStr">
        <is>
          <t/>
        </is>
      </c>
      <c r="W168" s="169" t="n">
        <v>1918.0</v>
      </c>
      <c r="X168" s="170" t="inlineStr">
        <is>
          <t>VF Corporation</t>
        </is>
      </c>
      <c r="Y168" s="171" t="inlineStr">
        <is>
          <t/>
        </is>
      </c>
      <c r="Z168" s="172" t="inlineStr">
        <is>
          <t/>
        </is>
      </c>
      <c r="AA168" s="173" t="n">
        <v>1512.62</v>
      </c>
      <c r="AB168" s="174" t="n">
        <v>722.16</v>
      </c>
      <c r="AC168" s="175" t="n">
        <v>92.19</v>
      </c>
      <c r="AD168" s="176" t="n">
        <v>1990.72</v>
      </c>
      <c r="AE168" s="177" t="n">
        <v>160.42</v>
      </c>
      <c r="AF168" s="178" t="inlineStr">
        <is>
          <t>TTM 2Q2011</t>
        </is>
      </c>
      <c r="AG168" s="179" t="inlineStr">
        <is>
          <t/>
        </is>
      </c>
      <c r="AH168" s="180" t="inlineStr">
        <is>
          <t/>
        </is>
      </c>
      <c r="AI168" s="181" t="inlineStr">
        <is>
          <t/>
        </is>
      </c>
      <c r="AJ168" s="182" t="inlineStr">
        <is>
          <t>147826-72P</t>
        </is>
      </c>
      <c r="AK168" s="183" t="inlineStr">
        <is>
          <t>Jim Pisani</t>
        </is>
      </c>
      <c r="AL168" s="184" t="inlineStr">
        <is>
          <t>President</t>
        </is>
      </c>
      <c r="AM168" s="185" t="inlineStr">
        <is>
          <t>jim.pisani@timberland.com</t>
        </is>
      </c>
      <c r="AN168" s="186" t="inlineStr">
        <is>
          <t>+1 (603) 772-9500</t>
        </is>
      </c>
      <c r="AO168" s="187" t="inlineStr">
        <is>
          <t>Stratham, NH</t>
        </is>
      </c>
      <c r="AP168" s="188" t="inlineStr">
        <is>
          <t>200 Domain Drive</t>
        </is>
      </c>
      <c r="AQ168" s="189" t="inlineStr">
        <is>
          <t/>
        </is>
      </c>
      <c r="AR168" s="190" t="inlineStr">
        <is>
          <t>Stratham</t>
        </is>
      </c>
      <c r="AS168" s="191" t="inlineStr">
        <is>
          <t>New Hampshire</t>
        </is>
      </c>
      <c r="AT168" s="192" t="inlineStr">
        <is>
          <t>03885</t>
        </is>
      </c>
      <c r="AU168" s="193" t="inlineStr">
        <is>
          <t>United States</t>
        </is>
      </c>
      <c r="AV168" s="194" t="inlineStr">
        <is>
          <t>+1 (603) 772-9500</t>
        </is>
      </c>
      <c r="AW168" s="195" t="inlineStr">
        <is>
          <t>+1 (603) 926-9239</t>
        </is>
      </c>
      <c r="AX168" s="196" t="inlineStr">
        <is>
          <t/>
        </is>
      </c>
      <c r="AY168" s="197" t="inlineStr">
        <is>
          <t>Americas</t>
        </is>
      </c>
      <c r="AZ168" s="198" t="inlineStr">
        <is>
          <t>North America</t>
        </is>
      </c>
      <c r="BA168" s="199" t="inlineStr">
        <is>
          <t>The company was acquired by VF Corporation (NYSE: VFC) for $2.2 billion on September 13, 2011.</t>
        </is>
      </c>
      <c r="BB168" s="200" t="inlineStr">
        <is>
          <t/>
        </is>
      </c>
      <c r="BC168" s="201" t="inlineStr">
        <is>
          <t/>
        </is>
      </c>
      <c r="BD168" s="202" t="inlineStr">
        <is>
          <t>VF Corporation</t>
        </is>
      </c>
      <c r="BE168" s="203" t="inlineStr">
        <is>
          <t>Blum Capital Partners</t>
        </is>
      </c>
      <c r="BF168" s="204" t="inlineStr">
        <is>
          <t/>
        </is>
      </c>
      <c r="BG168" s="205" t="inlineStr">
        <is>
          <t/>
        </is>
      </c>
      <c r="BH168" s="206" t="inlineStr">
        <is>
          <t>Blum Capital Partners(www.blumcapital.com)</t>
        </is>
      </c>
      <c r="BI168" s="207" t="inlineStr">
        <is>
          <t/>
        </is>
      </c>
      <c r="BJ168" s="208" t="inlineStr">
        <is>
          <t>Nilan Johnson Lewis(Legal Advisor), Olshan Frome Wolosky(Legal Advisor)</t>
        </is>
      </c>
      <c r="BK168" s="209" t="inlineStr">
        <is>
          <t>Richards Layton &amp; Finger(Legal Advisor), Ropes &amp; Gray(Legal Advisor), The Goldman Sachs Group(Advisor: General)</t>
        </is>
      </c>
      <c r="BL168" s="210" t="n">
        <v>38013.0</v>
      </c>
      <c r="BM168" s="211" t="inlineStr">
        <is>
          <t/>
        </is>
      </c>
      <c r="BN168" s="212" t="inlineStr">
        <is>
          <t/>
        </is>
      </c>
      <c r="BO168" s="213" t="inlineStr">
        <is>
          <t/>
        </is>
      </c>
      <c r="BP168" s="214" t="inlineStr">
        <is>
          <t/>
        </is>
      </c>
      <c r="BQ168" s="215" t="inlineStr">
        <is>
          <t>IPO</t>
        </is>
      </c>
      <c r="BR168" s="216" t="inlineStr">
        <is>
          <t/>
        </is>
      </c>
      <c r="BS168" s="217" t="inlineStr">
        <is>
          <t/>
        </is>
      </c>
      <c r="BT168" s="218" t="inlineStr">
        <is>
          <t>Public Investment</t>
        </is>
      </c>
      <c r="BU168" s="219" t="inlineStr">
        <is>
          <t/>
        </is>
      </c>
      <c r="BV168" s="220" t="inlineStr">
        <is>
          <t/>
        </is>
      </c>
      <c r="BW168" s="221" t="inlineStr">
        <is>
          <t/>
        </is>
      </c>
      <c r="BX168" s="222" t="inlineStr">
        <is>
          <t>Completed</t>
        </is>
      </c>
      <c r="BY168" s="223" t="n">
        <v>40799.0</v>
      </c>
      <c r="BZ168" s="224" t="n">
        <v>2200.0</v>
      </c>
      <c r="CA168" s="225" t="inlineStr">
        <is>
          <t>Actual</t>
        </is>
      </c>
      <c r="CB168" s="226" t="n">
        <v>2200.0</v>
      </c>
      <c r="CC168" s="227" t="inlineStr">
        <is>
          <t>Actual</t>
        </is>
      </c>
      <c r="CD168" s="228" t="inlineStr">
        <is>
          <t>Merger/Acquisition</t>
        </is>
      </c>
      <c r="CE168" s="229" t="inlineStr">
        <is>
          <t/>
        </is>
      </c>
      <c r="CF168" s="230" t="inlineStr">
        <is>
          <t/>
        </is>
      </c>
      <c r="CG168" s="231" t="inlineStr">
        <is>
          <t>Corporate</t>
        </is>
      </c>
      <c r="CH168" s="232" t="inlineStr">
        <is>
          <t/>
        </is>
      </c>
      <c r="CI168" s="233" t="inlineStr">
        <is>
          <t/>
        </is>
      </c>
      <c r="CJ168" s="234" t="inlineStr">
        <is>
          <t/>
        </is>
      </c>
      <c r="CK168" s="235" t="inlineStr">
        <is>
          <t>Completed</t>
        </is>
      </c>
      <c r="CL168" s="236" t="inlineStr">
        <is>
          <t/>
        </is>
      </c>
      <c r="CM168" s="237" t="inlineStr">
        <is>
          <t/>
        </is>
      </c>
      <c r="CN168" s="238" t="inlineStr">
        <is>
          <t/>
        </is>
      </c>
      <c r="CO168" s="239" t="inlineStr">
        <is>
          <t/>
        </is>
      </c>
      <c r="CP168" s="240" t="inlineStr">
        <is>
          <t/>
        </is>
      </c>
      <c r="CQ168" s="241" t="inlineStr">
        <is>
          <t/>
        </is>
      </c>
      <c r="CR168" s="242" t="inlineStr">
        <is>
          <t/>
        </is>
      </c>
      <c r="CS168" s="243" t="inlineStr">
        <is>
          <t/>
        </is>
      </c>
      <c r="CT168" s="244" t="inlineStr">
        <is>
          <t/>
        </is>
      </c>
      <c r="CU168" s="245" t="inlineStr">
        <is>
          <t/>
        </is>
      </c>
      <c r="CV168" s="246" t="inlineStr">
        <is>
          <t/>
        </is>
      </c>
      <c r="CW168" s="247" t="inlineStr">
        <is>
          <t/>
        </is>
      </c>
      <c r="CX168" s="248" t="inlineStr">
        <is>
          <t/>
        </is>
      </c>
      <c r="CY168" s="249" t="inlineStr">
        <is>
          <t/>
        </is>
      </c>
      <c r="CZ168" s="250" t="inlineStr">
        <is>
          <t/>
        </is>
      </c>
      <c r="DA168" s="251" t="inlineStr">
        <is>
          <t/>
        </is>
      </c>
      <c r="DB168" s="252" t="inlineStr">
        <is>
          <t/>
        </is>
      </c>
      <c r="DC168" s="253" t="inlineStr">
        <is>
          <t/>
        </is>
      </c>
      <c r="DD168" s="254" t="inlineStr">
        <is>
          <t/>
        </is>
      </c>
      <c r="DE168" s="255" t="inlineStr">
        <is>
          <t/>
        </is>
      </c>
      <c r="DF168" s="256" t="inlineStr">
        <is>
          <t/>
        </is>
      </c>
      <c r="DG168" s="257" t="inlineStr">
        <is>
          <t/>
        </is>
      </c>
      <c r="DH168" s="258" t="inlineStr">
        <is>
          <t/>
        </is>
      </c>
      <c r="DI168" s="259" t="inlineStr">
        <is>
          <t/>
        </is>
      </c>
      <c r="DJ168" s="260" t="inlineStr">
        <is>
          <t/>
        </is>
      </c>
      <c r="DK168" s="261" t="inlineStr">
        <is>
          <t/>
        </is>
      </c>
      <c r="DL168" s="262" t="inlineStr">
        <is>
          <t/>
        </is>
      </c>
      <c r="DM168" s="263" t="inlineStr">
        <is>
          <t/>
        </is>
      </c>
      <c r="DN168" s="264" t="inlineStr">
        <is>
          <t/>
        </is>
      </c>
      <c r="DO168" s="265" t="inlineStr">
        <is>
          <t/>
        </is>
      </c>
      <c r="DP168" s="266" t="inlineStr">
        <is>
          <t/>
        </is>
      </c>
      <c r="DQ168" s="267" t="inlineStr">
        <is>
          <t/>
        </is>
      </c>
      <c r="DR168" s="268" t="inlineStr">
        <is>
          <t/>
        </is>
      </c>
      <c r="DS168" s="269" t="inlineStr">
        <is>
          <t/>
        </is>
      </c>
      <c r="DT168" s="270" t="inlineStr">
        <is>
          <t/>
        </is>
      </c>
      <c r="DU168" s="271" t="inlineStr">
        <is>
          <t/>
        </is>
      </c>
      <c r="DV168" s="272" t="inlineStr">
        <is>
          <t/>
        </is>
      </c>
      <c r="DW168" s="273" t="inlineStr">
        <is>
          <t/>
        </is>
      </c>
      <c r="DX168" s="274" t="inlineStr">
        <is>
          <t/>
        </is>
      </c>
      <c r="DY168" s="275" t="inlineStr">
        <is>
          <t>PitchBook Research</t>
        </is>
      </c>
      <c r="DZ168" s="276" t="n">
        <v>43425.0</v>
      </c>
      <c r="EA168" s="277" t="n">
        <v>2200.0</v>
      </c>
      <c r="EB168" s="278" t="n">
        <v>40799.0</v>
      </c>
      <c r="EC168" s="279" t="inlineStr">
        <is>
          <t>Merger/Acquisition</t>
        </is>
      </c>
      <c r="ED168" s="548">
        <f>HYPERLINK("https://my.pitchbook.com?c=41312-71", "View company online")</f>
      </c>
    </row>
    <row r="169">
      <c r="A169" s="13" t="inlineStr">
        <is>
          <t>151604-20</t>
        </is>
      </c>
      <c r="B169" s="14" t="inlineStr">
        <is>
          <t>Bradlees</t>
        </is>
      </c>
      <c r="C169" s="15" t="inlineStr">
        <is>
          <t/>
        </is>
      </c>
      <c r="D169" s="16" t="inlineStr">
        <is>
          <t/>
        </is>
      </c>
      <c r="E169" s="17" t="inlineStr">
        <is>
          <t>151604-20</t>
        </is>
      </c>
      <c r="F169" s="18" t="inlineStr">
        <is>
          <t>Operator of a department stores chain. The company is engaged in the operations of departmental and retail store chain in the United States of America and sells fashion apparel, home furnishings, seasonal products and other such products.</t>
        </is>
      </c>
      <c r="G169" s="19" t="inlineStr">
        <is>
          <t>Consumer Products and Services (B2C)</t>
        </is>
      </c>
      <c r="H169" s="20" t="inlineStr">
        <is>
          <t>Apparel and Accessories</t>
        </is>
      </c>
      <c r="I169" s="21" t="inlineStr">
        <is>
          <t>Other Apparel</t>
        </is>
      </c>
      <c r="J169" s="22" t="inlineStr">
        <is>
          <t>Department Stores, Home Furnishings, Other Apparel*</t>
        </is>
      </c>
      <c r="K169" s="23" t="inlineStr">
        <is>
          <t/>
        </is>
      </c>
      <c r="L169" s="24" t="inlineStr">
        <is>
          <t>departmental stores, fashion apparel</t>
        </is>
      </c>
      <c r="M169" s="25" t="inlineStr">
        <is>
          <t>Corporation</t>
        </is>
      </c>
      <c r="N169" s="26" t="inlineStr">
        <is>
          <t/>
        </is>
      </c>
      <c r="O169" s="27" t="inlineStr">
        <is>
          <t/>
        </is>
      </c>
      <c r="P169" s="28" t="inlineStr">
        <is>
          <t>Out of Business</t>
        </is>
      </c>
      <c r="Q169" s="29" t="inlineStr">
        <is>
          <t>Publicly Listed</t>
        </is>
      </c>
      <c r="R169" s="30" t="inlineStr">
        <is>
          <t>www.bradlees.com</t>
        </is>
      </c>
      <c r="S169" s="31" t="n">
        <v>10000.0</v>
      </c>
      <c r="T169" s="32" t="inlineStr">
        <is>
          <t>1992: 16000, 1993: 16000, 1994: 14000, 1995: 16000, 1996: 16000, 1997: 10500, 1999: 10000, 2000: 10000</t>
        </is>
      </c>
      <c r="U169" s="33" t="inlineStr">
        <is>
          <t/>
        </is>
      </c>
      <c r="V169" s="34" t="inlineStr">
        <is>
          <t/>
        </is>
      </c>
      <c r="W169" s="35" t="n">
        <v>1958.0</v>
      </c>
      <c r="X169" s="36" t="inlineStr">
        <is>
          <t/>
        </is>
      </c>
      <c r="Y169" s="37" t="inlineStr">
        <is>
          <t/>
        </is>
      </c>
      <c r="Z169" s="38" t="inlineStr">
        <is>
          <t/>
        </is>
      </c>
      <c r="AA169" s="39" t="n">
        <v>1497.01</v>
      </c>
      <c r="AB169" s="40" t="n">
        <v>460.49</v>
      </c>
      <c r="AC169" s="41" t="n">
        <v>-19.43</v>
      </c>
      <c r="AD169" s="42" t="n">
        <v>280.24</v>
      </c>
      <c r="AE169" s="43" t="inlineStr">
        <is>
          <t/>
        </is>
      </c>
      <c r="AF169" s="44" t="inlineStr">
        <is>
          <t>TTM 3Q2001</t>
        </is>
      </c>
      <c r="AG169" s="45" t="inlineStr">
        <is>
          <t/>
        </is>
      </c>
      <c r="AH169" s="46" t="inlineStr">
        <is>
          <t/>
        </is>
      </c>
      <c r="AI169" s="47" t="inlineStr">
        <is>
          <t/>
        </is>
      </c>
      <c r="AJ169" s="48" t="inlineStr">
        <is>
          <t/>
        </is>
      </c>
      <c r="AK169" s="49" t="inlineStr">
        <is>
          <t/>
        </is>
      </c>
      <c r="AL169" s="50" t="inlineStr">
        <is>
          <t/>
        </is>
      </c>
      <c r="AM169" s="51" t="inlineStr">
        <is>
          <t/>
        </is>
      </c>
      <c r="AN169" s="52" t="inlineStr">
        <is>
          <t/>
        </is>
      </c>
      <c r="AO169" s="53" t="inlineStr">
        <is>
          <t>Braintree, MA</t>
        </is>
      </c>
      <c r="AP169" s="54" t="inlineStr">
        <is>
          <t>One Bradlees Circle</t>
        </is>
      </c>
      <c r="AQ169" s="55" t="inlineStr">
        <is>
          <t/>
        </is>
      </c>
      <c r="AR169" s="56" t="inlineStr">
        <is>
          <t>Braintree</t>
        </is>
      </c>
      <c r="AS169" s="57" t="inlineStr">
        <is>
          <t>Massachusetts</t>
        </is>
      </c>
      <c r="AT169" s="58" t="inlineStr">
        <is>
          <t>02184</t>
        </is>
      </c>
      <c r="AU169" s="59" t="inlineStr">
        <is>
          <t>United States</t>
        </is>
      </c>
      <c r="AV169" s="60" t="inlineStr">
        <is>
          <t>+1 (781) 380-3000</t>
        </is>
      </c>
      <c r="AW169" s="61" t="inlineStr">
        <is>
          <t>+1 (781) 380-8096</t>
        </is>
      </c>
      <c r="AX169" s="62" t="inlineStr">
        <is>
          <t/>
        </is>
      </c>
      <c r="AY169" s="63" t="inlineStr">
        <is>
          <t>Americas</t>
        </is>
      </c>
      <c r="AZ169" s="64" t="inlineStr">
        <is>
          <t>North America</t>
        </is>
      </c>
      <c r="BA169" s="65" t="inlineStr">
        <is>
          <t/>
        </is>
      </c>
      <c r="BB169" s="66" t="inlineStr">
        <is>
          <t/>
        </is>
      </c>
      <c r="BC169" s="67" t="inlineStr">
        <is>
          <t/>
        </is>
      </c>
      <c r="BD169" s="68" t="inlineStr">
        <is>
          <t/>
        </is>
      </c>
      <c r="BE169" s="69" t="inlineStr">
        <is>
          <t/>
        </is>
      </c>
      <c r="BF169" s="70" t="inlineStr">
        <is>
          <t/>
        </is>
      </c>
      <c r="BG169" s="71" t="inlineStr">
        <is>
          <t/>
        </is>
      </c>
      <c r="BH169" s="72" t="inlineStr">
        <is>
          <t/>
        </is>
      </c>
      <c r="BI169" s="73" t="inlineStr">
        <is>
          <t/>
        </is>
      </c>
      <c r="BJ169" s="74" t="inlineStr">
        <is>
          <t/>
        </is>
      </c>
      <c r="BK169" s="75" t="inlineStr">
        <is>
          <t/>
        </is>
      </c>
      <c r="BL169" s="76" t="inlineStr">
        <is>
          <t/>
        </is>
      </c>
      <c r="BM169" s="77" t="inlineStr">
        <is>
          <t/>
        </is>
      </c>
      <c r="BN169" s="78" t="inlineStr">
        <is>
          <t/>
        </is>
      </c>
      <c r="BO169" s="79" t="inlineStr">
        <is>
          <t/>
        </is>
      </c>
      <c r="BP169" s="80" t="inlineStr">
        <is>
          <t/>
        </is>
      </c>
      <c r="BQ169" s="81" t="inlineStr">
        <is>
          <t/>
        </is>
      </c>
      <c r="BR169" s="82" t="inlineStr">
        <is>
          <t/>
        </is>
      </c>
      <c r="BS169" s="83" t="inlineStr">
        <is>
          <t/>
        </is>
      </c>
      <c r="BT169" s="84" t="inlineStr">
        <is>
          <t/>
        </is>
      </c>
      <c r="BU169" s="85" t="inlineStr">
        <is>
          <t/>
        </is>
      </c>
      <c r="BV169" s="86" t="inlineStr">
        <is>
          <t/>
        </is>
      </c>
      <c r="BW169" s="87" t="inlineStr">
        <is>
          <t/>
        </is>
      </c>
      <c r="BX169" s="88" t="inlineStr">
        <is>
          <t/>
        </is>
      </c>
      <c r="BY169" s="89" t="inlineStr">
        <is>
          <t/>
        </is>
      </c>
      <c r="BZ169" s="90" t="inlineStr">
        <is>
          <t/>
        </is>
      </c>
      <c r="CA169" s="91" t="inlineStr">
        <is>
          <t/>
        </is>
      </c>
      <c r="CB169" s="92" t="inlineStr">
        <is>
          <t/>
        </is>
      </c>
      <c r="CC169" s="93" t="inlineStr">
        <is>
          <t/>
        </is>
      </c>
      <c r="CD169" s="94" t="inlineStr">
        <is>
          <t/>
        </is>
      </c>
      <c r="CE169" s="95" t="inlineStr">
        <is>
          <t/>
        </is>
      </c>
      <c r="CF169" s="96" t="inlineStr">
        <is>
          <t/>
        </is>
      </c>
      <c r="CG169" s="97" t="inlineStr">
        <is>
          <t/>
        </is>
      </c>
      <c r="CH169" s="98" t="inlineStr">
        <is>
          <t/>
        </is>
      </c>
      <c r="CI169" s="99" t="inlineStr">
        <is>
          <t/>
        </is>
      </c>
      <c r="CJ169" s="100" t="inlineStr">
        <is>
          <t/>
        </is>
      </c>
      <c r="CK169" s="101" t="inlineStr">
        <is>
          <t/>
        </is>
      </c>
      <c r="CL169" s="102" t="inlineStr">
        <is>
          <t/>
        </is>
      </c>
      <c r="CM169" s="103" t="inlineStr">
        <is>
          <t/>
        </is>
      </c>
      <c r="CN169" s="104" t="inlineStr">
        <is>
          <t/>
        </is>
      </c>
      <c r="CO169" s="105" t="inlineStr">
        <is>
          <t/>
        </is>
      </c>
      <c r="CP169" s="106" t="inlineStr">
        <is>
          <t/>
        </is>
      </c>
      <c r="CQ169" s="107" t="inlineStr">
        <is>
          <t/>
        </is>
      </c>
      <c r="CR169" s="108" t="inlineStr">
        <is>
          <t/>
        </is>
      </c>
      <c r="CS169" s="109" t="inlineStr">
        <is>
          <t/>
        </is>
      </c>
      <c r="CT169" s="110" t="inlineStr">
        <is>
          <t/>
        </is>
      </c>
      <c r="CU169" s="111" t="inlineStr">
        <is>
          <t/>
        </is>
      </c>
      <c r="CV169" s="112" t="inlineStr">
        <is>
          <t/>
        </is>
      </c>
      <c r="CW169" s="113" t="inlineStr">
        <is>
          <t/>
        </is>
      </c>
      <c r="CX169" s="114" t="inlineStr">
        <is>
          <t/>
        </is>
      </c>
      <c r="CY169" s="115" t="inlineStr">
        <is>
          <t/>
        </is>
      </c>
      <c r="CZ169" s="116" t="inlineStr">
        <is>
          <t/>
        </is>
      </c>
      <c r="DA169" s="117" t="inlineStr">
        <is>
          <t/>
        </is>
      </c>
      <c r="DB169" s="118" t="inlineStr">
        <is>
          <t/>
        </is>
      </c>
      <c r="DC169" s="119" t="inlineStr">
        <is>
          <t/>
        </is>
      </c>
      <c r="DD169" s="120" t="inlineStr">
        <is>
          <t/>
        </is>
      </c>
      <c r="DE169" s="121" t="inlineStr">
        <is>
          <t/>
        </is>
      </c>
      <c r="DF169" s="122" t="inlineStr">
        <is>
          <t/>
        </is>
      </c>
      <c r="DG169" s="123" t="inlineStr">
        <is>
          <t/>
        </is>
      </c>
      <c r="DH169" s="124" t="inlineStr">
        <is>
          <t/>
        </is>
      </c>
      <c r="DI169" s="125" t="inlineStr">
        <is>
          <t/>
        </is>
      </c>
      <c r="DJ169" s="126" t="inlineStr">
        <is>
          <t/>
        </is>
      </c>
      <c r="DK169" s="127" t="inlineStr">
        <is>
          <t/>
        </is>
      </c>
      <c r="DL169" s="128" t="inlineStr">
        <is>
          <t/>
        </is>
      </c>
      <c r="DM169" s="129" t="inlineStr">
        <is>
          <t/>
        </is>
      </c>
      <c r="DN169" s="130" t="inlineStr">
        <is>
          <t/>
        </is>
      </c>
      <c r="DO169" s="131" t="inlineStr">
        <is>
          <t/>
        </is>
      </c>
      <c r="DP169" s="132" t="inlineStr">
        <is>
          <t/>
        </is>
      </c>
      <c r="DQ169" s="133" t="inlineStr">
        <is>
          <t/>
        </is>
      </c>
      <c r="DR169" s="134" t="inlineStr">
        <is>
          <t/>
        </is>
      </c>
      <c r="DS169" s="135" t="inlineStr">
        <is>
          <t/>
        </is>
      </c>
      <c r="DT169" s="136" t="inlineStr">
        <is>
          <t/>
        </is>
      </c>
      <c r="DU169" s="137" t="inlineStr">
        <is>
          <t/>
        </is>
      </c>
      <c r="DV169" s="138" t="inlineStr">
        <is>
          <t/>
        </is>
      </c>
      <c r="DW169" s="139" t="inlineStr">
        <is>
          <t/>
        </is>
      </c>
      <c r="DX169" s="140" t="inlineStr">
        <is>
          <t/>
        </is>
      </c>
      <c r="DY169" s="141" t="inlineStr">
        <is>
          <t>PitchBook Research</t>
        </is>
      </c>
      <c r="DZ169" s="142" t="n">
        <v>43351.0</v>
      </c>
      <c r="EA169" s="143" t="inlineStr">
        <is>
          <t/>
        </is>
      </c>
      <c r="EB169" s="144" t="inlineStr">
        <is>
          <t/>
        </is>
      </c>
      <c r="EC169" s="145" t="inlineStr">
        <is>
          <t/>
        </is>
      </c>
      <c r="ED169" s="547">
        <f>HYPERLINK("https://my.pitchbook.com?c=151604-20", "View company online")</f>
      </c>
    </row>
    <row r="170">
      <c r="A170" s="147" t="inlineStr">
        <is>
          <t>109313-29</t>
        </is>
      </c>
      <c r="B170" s="148" t="inlineStr">
        <is>
          <t>PC Jeweller (NSE: PCJEWELLER)</t>
        </is>
      </c>
      <c r="C170" s="149" t="inlineStr">
        <is>
          <t>P Chand Jewellers Private Limited</t>
        </is>
      </c>
      <c r="D170" s="150" t="inlineStr">
        <is>
          <t>PCJ</t>
        </is>
      </c>
      <c r="E170" s="151" t="inlineStr">
        <is>
          <t>109313-29</t>
        </is>
      </c>
      <c r="F170" s="152" t="inlineStr">
        <is>
          <t>PC Jeweller Ltd manufactures gold jewelry, diamond-studded jewelry, and silver items. The company manufactures its items in India and generates most of its revenue from its dozens of retail showrooms across India and its online store. Gold jewelry accounts for approximately 80% of PC Jeweller's total revenue and is the only type of jewelry that the company exports. Roughly 30% of the company's revenue comes from export sales. PC Jeweller owns the PCJ, Flexia and Azva jewelry brands and its items' price points target consumers that span from the lower middle class to the ultra rich.</t>
        </is>
      </c>
      <c r="G170" s="153" t="inlineStr">
        <is>
          <t>Consumer Products and Services (B2C)</t>
        </is>
      </c>
      <c r="H170" s="154" t="inlineStr">
        <is>
          <t>Apparel and Accessories</t>
        </is>
      </c>
      <c r="I170" s="155" t="inlineStr">
        <is>
          <t>Luxury Goods</t>
        </is>
      </c>
      <c r="J170" s="156" t="inlineStr">
        <is>
          <t>Luxury Goods*, Specialty Retail</t>
        </is>
      </c>
      <c r="K170" s="157" t="inlineStr">
        <is>
          <t>Manufacturing</t>
        </is>
      </c>
      <c r="L170" s="158" t="inlineStr">
        <is>
          <t>affordable jewelry, jewelry retail, jewelry retailer, wedding jewelries manufacturer</t>
        </is>
      </c>
      <c r="M170" s="159" t="inlineStr">
        <is>
          <t>Corporation</t>
        </is>
      </c>
      <c r="N170" s="160" t="n">
        <v>111.51</v>
      </c>
      <c r="O170" s="161" t="inlineStr">
        <is>
          <t>Profitable</t>
        </is>
      </c>
      <c r="P170" s="162" t="inlineStr">
        <is>
          <t>Publicly Held</t>
        </is>
      </c>
      <c r="Q170" s="163" t="inlineStr">
        <is>
          <t>Private Equity, Publicly Listed</t>
        </is>
      </c>
      <c r="R170" s="164" t="inlineStr">
        <is>
          <t>www.corporate.pcjeweller.com</t>
        </is>
      </c>
      <c r="S170" s="165" t="n">
        <v>3071.0</v>
      </c>
      <c r="T170" s="166" t="inlineStr">
        <is>
          <t>2013: 1615, 2014: 2193, 2015: 2444, 2016: 2516, 2017: 2504, 2018: 3071</t>
        </is>
      </c>
      <c r="U170" s="167" t="inlineStr">
        <is>
          <t>NSE</t>
        </is>
      </c>
      <c r="V170" s="168" t="inlineStr">
        <is>
          <t>PCJEWELLER</t>
        </is>
      </c>
      <c r="W170" s="169" t="n">
        <v>2005.0</v>
      </c>
      <c r="X170" s="170" t="inlineStr">
        <is>
          <t/>
        </is>
      </c>
      <c r="Y170" s="171" t="inlineStr">
        <is>
          <t/>
        </is>
      </c>
      <c r="Z170" s="172" t="inlineStr">
        <is>
          <t/>
        </is>
      </c>
      <c r="AA170" s="173" t="n">
        <v>1490.89</v>
      </c>
      <c r="AB170" s="174" t="n">
        <v>207.55</v>
      </c>
      <c r="AC170" s="175" t="n">
        <v>83.08</v>
      </c>
      <c r="AD170" s="176" t="n">
        <v>2035.56</v>
      </c>
      <c r="AE170" s="177" t="n">
        <v>149.53</v>
      </c>
      <c r="AF170" s="178" t="inlineStr">
        <is>
          <t>FY 2018</t>
        </is>
      </c>
      <c r="AG170" s="179" t="n">
        <v>146.2</v>
      </c>
      <c r="AH170" s="180" t="n">
        <v>461.45</v>
      </c>
      <c r="AI170" s="181" t="n">
        <v>111.7</v>
      </c>
      <c r="AJ170" s="182" t="inlineStr">
        <is>
          <t>128739-25P</t>
        </is>
      </c>
      <c r="AK170" s="183" t="inlineStr">
        <is>
          <t>Balram Garg</t>
        </is>
      </c>
      <c r="AL170" s="184" t="inlineStr">
        <is>
          <t>Managing Director</t>
        </is>
      </c>
      <c r="AM170" s="185" t="inlineStr">
        <is>
          <t>balramgarg@pcjeweller.com</t>
        </is>
      </c>
      <c r="AN170" s="186" t="inlineStr">
        <is>
          <t>+91 (0)11 4971 4971</t>
        </is>
      </c>
      <c r="AO170" s="187" t="inlineStr">
        <is>
          <t>New Delhi, India</t>
        </is>
      </c>
      <c r="AP170" s="188" t="inlineStr">
        <is>
          <t>C-54, Preet Vihar</t>
        </is>
      </c>
      <c r="AQ170" s="189" t="inlineStr">
        <is>
          <t>Vikas Marg</t>
        </is>
      </c>
      <c r="AR170" s="190" t="inlineStr">
        <is>
          <t>New Delhi</t>
        </is>
      </c>
      <c r="AS170" s="191" t="inlineStr">
        <is>
          <t>Delhi</t>
        </is>
      </c>
      <c r="AT170" s="192" t="inlineStr">
        <is>
          <t>110092</t>
        </is>
      </c>
      <c r="AU170" s="193" t="inlineStr">
        <is>
          <t>India</t>
        </is>
      </c>
      <c r="AV170" s="194" t="inlineStr">
        <is>
          <t>+91 (0)11 4971 4971</t>
        </is>
      </c>
      <c r="AW170" s="195" t="inlineStr">
        <is>
          <t>+91 (0)11 4971 4972</t>
        </is>
      </c>
      <c r="AX170" s="196" t="inlineStr">
        <is>
          <t>info@pcjeweller.com</t>
        </is>
      </c>
      <c r="AY170" s="197" t="inlineStr">
        <is>
          <t>Asia</t>
        </is>
      </c>
      <c r="AZ170" s="198" t="inlineStr">
        <is>
          <t>South Asia</t>
        </is>
      </c>
      <c r="BA170" s="199" t="inlineStr">
        <is>
          <t>Creador Capital acquired a 3.2% stake in the company (NSE:PCJEWELLER) for INR 1094.567 million on February 23, 2015. A total of 4,479,322 shares were acquired at a price of INR 244.36 per share. The company will not receive any proceeds from the transaction.</t>
        </is>
      </c>
      <c r="BB170" s="200" t="inlineStr">
        <is>
          <t>Creador</t>
        </is>
      </c>
      <c r="BC170" s="201" t="n">
        <v>1.0</v>
      </c>
      <c r="BD170" s="202" t="inlineStr">
        <is>
          <t/>
        </is>
      </c>
      <c r="BE170" s="203" t="inlineStr">
        <is>
          <t/>
        </is>
      </c>
      <c r="BF170" s="204" t="inlineStr">
        <is>
          <t/>
        </is>
      </c>
      <c r="BG170" s="205" t="inlineStr">
        <is>
          <t>Creador(www.creador.com)</t>
        </is>
      </c>
      <c r="BH170" s="206" t="inlineStr">
        <is>
          <t/>
        </is>
      </c>
      <c r="BI170" s="207" t="inlineStr">
        <is>
          <t/>
        </is>
      </c>
      <c r="BJ170" s="208" t="inlineStr">
        <is>
          <t>Corporate Professional(Advisor: General), Valueonshore Advisors(Advisor: General), VizExec Transformation(Consulting)</t>
        </is>
      </c>
      <c r="BK170" s="209" t="inlineStr">
        <is>
          <t>Amarchand Mangaldas(Legal Advisor), IDBI Capital Markets(Underwriter), Kotak Mahindra Capital(Underwriter), SBI Capital Markets(Underwriter), Walker Chandiok &amp; Co(Accounting)</t>
        </is>
      </c>
      <c r="BL170" s="210" t="n">
        <v>41270.0</v>
      </c>
      <c r="BM170" s="211" t="n">
        <v>111.51</v>
      </c>
      <c r="BN170" s="212" t="inlineStr">
        <is>
          <t>Estimated</t>
        </is>
      </c>
      <c r="BO170" s="213" t="n">
        <v>442.51</v>
      </c>
      <c r="BP170" s="214" t="inlineStr">
        <is>
          <t>Estimated</t>
        </is>
      </c>
      <c r="BQ170" s="215" t="inlineStr">
        <is>
          <t>IPO</t>
        </is>
      </c>
      <c r="BR170" s="216" t="inlineStr">
        <is>
          <t/>
        </is>
      </c>
      <c r="BS170" s="217" t="inlineStr">
        <is>
          <t/>
        </is>
      </c>
      <c r="BT170" s="218" t="inlineStr">
        <is>
          <t>Public Investment</t>
        </is>
      </c>
      <c r="BU170" s="219" t="inlineStr">
        <is>
          <t/>
        </is>
      </c>
      <c r="BV170" s="220" t="inlineStr">
        <is>
          <t/>
        </is>
      </c>
      <c r="BW170" s="221" t="inlineStr">
        <is>
          <t/>
        </is>
      </c>
      <c r="BX170" s="222" t="inlineStr">
        <is>
          <t>Completed</t>
        </is>
      </c>
      <c r="BY170" s="223" t="n">
        <v>42058.0</v>
      </c>
      <c r="BZ170" s="224" t="n">
        <v>17.64</v>
      </c>
      <c r="CA170" s="225" t="inlineStr">
        <is>
          <t>Actual</t>
        </is>
      </c>
      <c r="CB170" s="226" t="n">
        <v>551.1</v>
      </c>
      <c r="CC170" s="227" t="inlineStr">
        <is>
          <t>Estimated</t>
        </is>
      </c>
      <c r="CD170" s="228" t="inlineStr">
        <is>
          <t>Secondary Transaction - Open Market</t>
        </is>
      </c>
      <c r="CE170" s="229" t="inlineStr">
        <is>
          <t/>
        </is>
      </c>
      <c r="CF170" s="230" t="inlineStr">
        <is>
          <t/>
        </is>
      </c>
      <c r="CG170" s="231" t="inlineStr">
        <is>
          <t>Private Equity</t>
        </is>
      </c>
      <c r="CH170" s="232" t="inlineStr">
        <is>
          <t/>
        </is>
      </c>
      <c r="CI170" s="233" t="inlineStr">
        <is>
          <t/>
        </is>
      </c>
      <c r="CJ170" s="234" t="inlineStr">
        <is>
          <t/>
        </is>
      </c>
      <c r="CK170" s="235" t="inlineStr">
        <is>
          <t>Completed</t>
        </is>
      </c>
      <c r="CL170" s="236" t="inlineStr">
        <is>
          <t/>
        </is>
      </c>
      <c r="CM170" s="237" t="inlineStr">
        <is>
          <t/>
        </is>
      </c>
      <c r="CN170" s="238" t="n">
        <v>-0.37</v>
      </c>
      <c r="CO170" s="239" t="n">
        <v>8.0</v>
      </c>
      <c r="CP170" s="240" t="n">
        <v>0.0</v>
      </c>
      <c r="CQ170" s="241" t="n">
        <v>-1.1</v>
      </c>
      <c r="CR170" s="242" t="n">
        <v>-0.89</v>
      </c>
      <c r="CS170" s="243" t="n">
        <v>7.0</v>
      </c>
      <c r="CT170" s="244" t="n">
        <v>0.15</v>
      </c>
      <c r="CU170" s="245" t="n">
        <v>79.0</v>
      </c>
      <c r="CV170" s="246" t="n">
        <v>-2.03</v>
      </c>
      <c r="CW170" s="247" t="n">
        <v>21.0</v>
      </c>
      <c r="CX170" s="248" t="n">
        <v>0.25</v>
      </c>
      <c r="CY170" s="249" t="n">
        <v>90.0</v>
      </c>
      <c r="CZ170" s="250" t="n">
        <v>0.06</v>
      </c>
      <c r="DA170" s="251" t="n">
        <v>70.0</v>
      </c>
      <c r="DB170" s="252" t="n">
        <v>619.24</v>
      </c>
      <c r="DC170" s="253" t="n">
        <v>100.0</v>
      </c>
      <c r="DD170" s="254" t="n">
        <v>3.63</v>
      </c>
      <c r="DE170" s="255" t="n">
        <v>0.59</v>
      </c>
      <c r="DF170" s="256" t="n">
        <v>15.88</v>
      </c>
      <c r="DG170" s="257" t="n">
        <v>93.0</v>
      </c>
      <c r="DH170" s="258" t="n">
        <v>1222.6</v>
      </c>
      <c r="DI170" s="259" t="n">
        <v>100.0</v>
      </c>
      <c r="DJ170" s="260" t="n">
        <v>2.22</v>
      </c>
      <c r="DK170" s="261" t="n">
        <v>67.0</v>
      </c>
      <c r="DL170" s="262" t="n">
        <v>29.53</v>
      </c>
      <c r="DM170" s="263" t="n">
        <v>96.0</v>
      </c>
      <c r="DN170" s="264" t="n">
        <v>17.82</v>
      </c>
      <c r="DO170" s="265" t="n">
        <v>92.0</v>
      </c>
      <c r="DP170" s="266" t="n">
        <v>1600.0</v>
      </c>
      <c r="DQ170" s="267" t="n">
        <v>-129.0</v>
      </c>
      <c r="DR170" s="268" t="n">
        <v>-7.46</v>
      </c>
      <c r="DS170" s="269" t="n">
        <v>1002.0</v>
      </c>
      <c r="DT170" s="270" t="n">
        <v>2.0</v>
      </c>
      <c r="DU170" s="271" t="n">
        <v>0.2</v>
      </c>
      <c r="DV170" s="272" t="n">
        <v>6391.0</v>
      </c>
      <c r="DW170" s="273" t="n">
        <v>4.0</v>
      </c>
      <c r="DX170" s="274" t="n">
        <v>0.06</v>
      </c>
      <c r="DY170" s="275" t="inlineStr">
        <is>
          <t>PitchBook Research</t>
        </is>
      </c>
      <c r="DZ170" s="276" t="n">
        <v>43510.0</v>
      </c>
      <c r="EA170" s="277" t="n">
        <v>551.1</v>
      </c>
      <c r="EB170" s="278" t="n">
        <v>42058.0</v>
      </c>
      <c r="EC170" s="279" t="inlineStr">
        <is>
          <t>Secondary Transaction - Open Market</t>
        </is>
      </c>
      <c r="ED170" s="548">
        <f>HYPERLINK("https://my.pitchbook.com?c=109313-29", "View company online")</f>
      </c>
    </row>
    <row r="171">
      <c r="A171" s="13" t="inlineStr">
        <is>
          <t>164702-80</t>
        </is>
      </c>
      <c r="B171" s="14" t="inlineStr">
        <is>
          <t>Alhokair (SAU: 4240)</t>
        </is>
      </c>
      <c r="C171" s="15" t="inlineStr">
        <is>
          <t/>
        </is>
      </c>
      <c r="D171" s="16" t="inlineStr">
        <is>
          <t>Alhokair Fashion Retail</t>
        </is>
      </c>
      <c r="E171" s="17" t="inlineStr">
        <is>
          <t>164702-80</t>
        </is>
      </c>
      <c r="F171" s="18" t="inlineStr">
        <is>
          <t>Fawaz Abdulaziz AlHokair Co is a Saudi Joint Stock company. The company engages in wholesale and retail trading of ready-made cloth for men, women and children, shoes, textiles, house and office furniture, perfumes, natural cosmetics, ornaments and beauty materials and their compounds and traditional jewelry. The company and its subsidiaries mainly sell fashion apparel and operate through their various retail outlets scattered in the Kingdom of Saudi Arabia. Further, the company operates through certain subsidiaries in the international markets, in Jordan, Egypt, Republic of Kazakhstan, United States of America, Republic of Azerbaijan, Georgia, Armenia, Morocco, Spain, Balkan countries, Republic of Iraq, United Arab Emirates and England.</t>
        </is>
      </c>
      <c r="G171" s="19" t="inlineStr">
        <is>
          <t>Consumer Products and Services (B2C)</t>
        </is>
      </c>
      <c r="H171" s="20" t="inlineStr">
        <is>
          <t>Apparel and Accessories</t>
        </is>
      </c>
      <c r="I171" s="21" t="inlineStr">
        <is>
          <t>Clothing</t>
        </is>
      </c>
      <c r="J171" s="22" t="inlineStr">
        <is>
          <t>Clothing*, Electronics (B2C), Footwear</t>
        </is>
      </c>
      <c r="K171" s="23" t="inlineStr">
        <is>
          <t>TMT</t>
        </is>
      </c>
      <c r="L171" s="24" t="inlineStr">
        <is>
          <t>bags, fashion clothing retail, furniture</t>
        </is>
      </c>
      <c r="M171" s="25" t="inlineStr">
        <is>
          <t>Corporation</t>
        </is>
      </c>
      <c r="N171" s="26" t="inlineStr">
        <is>
          <t/>
        </is>
      </c>
      <c r="O171" s="27" t="inlineStr">
        <is>
          <t>Profitable</t>
        </is>
      </c>
      <c r="P171" s="28" t="inlineStr">
        <is>
          <t>Publicly Held</t>
        </is>
      </c>
      <c r="Q171" s="29" t="inlineStr">
        <is>
          <t>Publicly Listed</t>
        </is>
      </c>
      <c r="R171" s="30" t="inlineStr">
        <is>
          <t>www.fawazalhokairfashion.com</t>
        </is>
      </c>
      <c r="S171" s="31" t="n">
        <v>7987.0</v>
      </c>
      <c r="T171" s="32" t="inlineStr">
        <is>
          <t>2011: 2525, 2012: 2525, 2017: 6850, 2018: 7987</t>
        </is>
      </c>
      <c r="U171" s="33" t="inlineStr">
        <is>
          <t>SAU</t>
        </is>
      </c>
      <c r="V171" s="34" t="inlineStr">
        <is>
          <t>4240</t>
        </is>
      </c>
      <c r="W171" s="35" t="n">
        <v>1989.0</v>
      </c>
      <c r="X171" s="36" t="inlineStr">
        <is>
          <t/>
        </is>
      </c>
      <c r="Y171" s="37" t="inlineStr">
        <is>
          <t/>
        </is>
      </c>
      <c r="Z171" s="38" t="inlineStr">
        <is>
          <t/>
        </is>
      </c>
      <c r="AA171" s="39" t="n">
        <v>1476.95</v>
      </c>
      <c r="AB171" s="40" t="n">
        <v>291.65</v>
      </c>
      <c r="AC171" s="41" t="n">
        <v>26.97</v>
      </c>
      <c r="AD171" s="42" t="n">
        <v>1875.29</v>
      </c>
      <c r="AE171" s="43" t="n">
        <v>171.17</v>
      </c>
      <c r="AF171" s="44" t="inlineStr">
        <is>
          <t>TTM 3Q2019</t>
        </is>
      </c>
      <c r="AG171" s="45" t="n">
        <v>86.41</v>
      </c>
      <c r="AH171" s="46" t="n">
        <v>1375.81</v>
      </c>
      <c r="AI171" s="47" t="n">
        <v>622.14</v>
      </c>
      <c r="AJ171" s="48" t="inlineStr">
        <is>
          <t/>
        </is>
      </c>
      <c r="AK171" s="49" t="inlineStr">
        <is>
          <t/>
        </is>
      </c>
      <c r="AL171" s="50" t="inlineStr">
        <is>
          <t/>
        </is>
      </c>
      <c r="AM171" s="51" t="inlineStr">
        <is>
          <t/>
        </is>
      </c>
      <c r="AN171" s="52" t="inlineStr">
        <is>
          <t/>
        </is>
      </c>
      <c r="AO171" s="53" t="inlineStr">
        <is>
          <t>Riyadh, Saudi Arabia</t>
        </is>
      </c>
      <c r="AP171" s="54" t="inlineStr">
        <is>
          <t>P.O.Box 359</t>
        </is>
      </c>
      <c r="AQ171" s="55" t="inlineStr">
        <is>
          <t>Shumaisi Street</t>
        </is>
      </c>
      <c r="AR171" s="56" t="inlineStr">
        <is>
          <t>Riyadh</t>
        </is>
      </c>
      <c r="AS171" s="57" t="inlineStr">
        <is>
          <t/>
        </is>
      </c>
      <c r="AT171" s="58" t="inlineStr">
        <is>
          <t>11411</t>
        </is>
      </c>
      <c r="AU171" s="59" t="inlineStr">
        <is>
          <t>Saudi Arabia</t>
        </is>
      </c>
      <c r="AV171" s="60" t="inlineStr">
        <is>
          <t>+966 (0)11 435 0000</t>
        </is>
      </c>
      <c r="AW171" s="61" t="inlineStr">
        <is>
          <t>+966 (0)11 435 7268</t>
        </is>
      </c>
      <c r="AX171" s="62" t="inlineStr">
        <is>
          <t>info@fawazalhokair.com</t>
        </is>
      </c>
      <c r="AY171" s="63" t="inlineStr">
        <is>
          <t>Middle East</t>
        </is>
      </c>
      <c r="AZ171" s="64" t="inlineStr">
        <is>
          <t>Middle East</t>
        </is>
      </c>
      <c r="BA171" s="65" t="inlineStr">
        <is>
          <t/>
        </is>
      </c>
      <c r="BB171" s="66" t="inlineStr">
        <is>
          <t/>
        </is>
      </c>
      <c r="BC171" s="67" t="inlineStr">
        <is>
          <t/>
        </is>
      </c>
      <c r="BD171" s="68" t="inlineStr">
        <is>
          <t/>
        </is>
      </c>
      <c r="BE171" s="69" t="inlineStr">
        <is>
          <t/>
        </is>
      </c>
      <c r="BF171" s="70" t="inlineStr">
        <is>
          <t/>
        </is>
      </c>
      <c r="BG171" s="71" t="inlineStr">
        <is>
          <t/>
        </is>
      </c>
      <c r="BH171" s="72" t="inlineStr">
        <is>
          <t/>
        </is>
      </c>
      <c r="BI171" s="73" t="inlineStr">
        <is>
          <t/>
        </is>
      </c>
      <c r="BJ171" s="74" t="inlineStr">
        <is>
          <t/>
        </is>
      </c>
      <c r="BK171" s="75" t="inlineStr">
        <is>
          <t/>
        </is>
      </c>
      <c r="BL171" s="76" t="inlineStr">
        <is>
          <t/>
        </is>
      </c>
      <c r="BM171" s="77" t="inlineStr">
        <is>
          <t/>
        </is>
      </c>
      <c r="BN171" s="78" t="inlineStr">
        <is>
          <t/>
        </is>
      </c>
      <c r="BO171" s="79" t="inlineStr">
        <is>
          <t/>
        </is>
      </c>
      <c r="BP171" s="80" t="inlineStr">
        <is>
          <t/>
        </is>
      </c>
      <c r="BQ171" s="81" t="inlineStr">
        <is>
          <t/>
        </is>
      </c>
      <c r="BR171" s="82" t="inlineStr">
        <is>
          <t/>
        </is>
      </c>
      <c r="BS171" s="83" t="inlineStr">
        <is>
          <t/>
        </is>
      </c>
      <c r="BT171" s="84" t="inlineStr">
        <is>
          <t/>
        </is>
      </c>
      <c r="BU171" s="85" t="inlineStr">
        <is>
          <t/>
        </is>
      </c>
      <c r="BV171" s="86" t="inlineStr">
        <is>
          <t/>
        </is>
      </c>
      <c r="BW171" s="87" t="inlineStr">
        <is>
          <t/>
        </is>
      </c>
      <c r="BX171" s="88" t="inlineStr">
        <is>
          <t/>
        </is>
      </c>
      <c r="BY171" s="89" t="inlineStr">
        <is>
          <t/>
        </is>
      </c>
      <c r="BZ171" s="90" t="inlineStr">
        <is>
          <t/>
        </is>
      </c>
      <c r="CA171" s="91" t="inlineStr">
        <is>
          <t/>
        </is>
      </c>
      <c r="CB171" s="92" t="inlineStr">
        <is>
          <t/>
        </is>
      </c>
      <c r="CC171" s="93" t="inlineStr">
        <is>
          <t/>
        </is>
      </c>
      <c r="CD171" s="94" t="inlineStr">
        <is>
          <t/>
        </is>
      </c>
      <c r="CE171" s="95" t="inlineStr">
        <is>
          <t/>
        </is>
      </c>
      <c r="CF171" s="96" t="inlineStr">
        <is>
          <t/>
        </is>
      </c>
      <c r="CG171" s="97" t="inlineStr">
        <is>
          <t/>
        </is>
      </c>
      <c r="CH171" s="98" t="inlineStr">
        <is>
          <t/>
        </is>
      </c>
      <c r="CI171" s="99" t="inlineStr">
        <is>
          <t/>
        </is>
      </c>
      <c r="CJ171" s="100" t="inlineStr">
        <is>
          <t/>
        </is>
      </c>
      <c r="CK171" s="101" t="inlineStr">
        <is>
          <t/>
        </is>
      </c>
      <c r="CL171" s="102" t="inlineStr">
        <is>
          <t/>
        </is>
      </c>
      <c r="CM171" s="103" t="inlineStr">
        <is>
          <t/>
        </is>
      </c>
      <c r="CN171" s="104" t="n">
        <v>0.01</v>
      </c>
      <c r="CO171" s="105" t="n">
        <v>79.0</v>
      </c>
      <c r="CP171" s="106" t="n">
        <v>0.0</v>
      </c>
      <c r="CQ171" s="107" t="n">
        <v>0.0</v>
      </c>
      <c r="CR171" s="108" t="inlineStr">
        <is>
          <t/>
        </is>
      </c>
      <c r="CS171" s="109" t="inlineStr">
        <is>
          <t/>
        </is>
      </c>
      <c r="CT171" s="110" t="n">
        <v>0.01</v>
      </c>
      <c r="CU171" s="111" t="n">
        <v>56.0</v>
      </c>
      <c r="CV171" s="112" t="inlineStr">
        <is>
          <t/>
        </is>
      </c>
      <c r="CW171" s="113" t="inlineStr">
        <is>
          <t/>
        </is>
      </c>
      <c r="CX171" s="114" t="inlineStr">
        <is>
          <t/>
        </is>
      </c>
      <c r="CY171" s="115" t="inlineStr">
        <is>
          <t/>
        </is>
      </c>
      <c r="CZ171" s="116" t="inlineStr">
        <is>
          <t/>
        </is>
      </c>
      <c r="DA171" s="117" t="inlineStr">
        <is>
          <t/>
        </is>
      </c>
      <c r="DB171" s="118" t="n">
        <v>198.41</v>
      </c>
      <c r="DC171" s="119" t="n">
        <v>100.0</v>
      </c>
      <c r="DD171" s="120" t="n">
        <v>0.44</v>
      </c>
      <c r="DE171" s="121" t="n">
        <v>0.22</v>
      </c>
      <c r="DF171" s="122" t="inlineStr">
        <is>
          <t/>
        </is>
      </c>
      <c r="DG171" s="123" t="inlineStr">
        <is>
          <t/>
        </is>
      </c>
      <c r="DH171" s="124" t="n">
        <v>198.41</v>
      </c>
      <c r="DI171" s="125" t="n">
        <v>99.0</v>
      </c>
      <c r="DJ171" s="126" t="inlineStr">
        <is>
          <t/>
        </is>
      </c>
      <c r="DK171" s="127" t="inlineStr">
        <is>
          <t/>
        </is>
      </c>
      <c r="DL171" s="128" t="inlineStr">
        <is>
          <t/>
        </is>
      </c>
      <c r="DM171" s="129" t="inlineStr">
        <is>
          <t/>
        </is>
      </c>
      <c r="DN171" s="130" t="inlineStr">
        <is>
          <t/>
        </is>
      </c>
      <c r="DO171" s="131" t="inlineStr">
        <is>
          <t/>
        </is>
      </c>
      <c r="DP171" s="132" t="n">
        <v>218.0</v>
      </c>
      <c r="DQ171" s="133" t="n">
        <v>16.0</v>
      </c>
      <c r="DR171" s="134" t="n">
        <v>7.92</v>
      </c>
      <c r="DS171" s="135" t="inlineStr">
        <is>
          <t/>
        </is>
      </c>
      <c r="DT171" s="136" t="inlineStr">
        <is>
          <t/>
        </is>
      </c>
      <c r="DU171" s="137" t="inlineStr">
        <is>
          <t/>
        </is>
      </c>
      <c r="DV171" s="138" t="inlineStr">
        <is>
          <t/>
        </is>
      </c>
      <c r="DW171" s="139" t="inlineStr">
        <is>
          <t/>
        </is>
      </c>
      <c r="DX171" s="140" t="inlineStr">
        <is>
          <t/>
        </is>
      </c>
      <c r="DY171" s="141" t="inlineStr">
        <is>
          <t>PitchBook Research</t>
        </is>
      </c>
      <c r="DZ171" s="142" t="n">
        <v>43548.0</v>
      </c>
      <c r="EA171" s="143" t="inlineStr">
        <is>
          <t/>
        </is>
      </c>
      <c r="EB171" s="144" t="inlineStr">
        <is>
          <t/>
        </is>
      </c>
      <c r="EC171" s="145" t="inlineStr">
        <is>
          <t/>
        </is>
      </c>
      <c r="ED171" s="547">
        <f>HYPERLINK("https://my.pitchbook.com?c=164702-80", "View company online")</f>
      </c>
    </row>
    <row r="172">
      <c r="A172" s="147" t="inlineStr">
        <is>
          <t>10919-17</t>
        </is>
      </c>
      <c r="B172" s="148" t="inlineStr">
        <is>
          <t>Five Below (NAS: FIVE)</t>
        </is>
      </c>
      <c r="C172" s="149" t="inlineStr">
        <is>
          <t>Cheap Holdings</t>
        </is>
      </c>
      <c r="D172" s="150" t="inlineStr">
        <is>
          <t/>
        </is>
      </c>
      <c r="E172" s="151" t="inlineStr">
        <is>
          <t>10919-17</t>
        </is>
      </c>
      <c r="F172" s="152" t="inlineStr">
        <is>
          <t>Five Below is a value-oriented retailer that operated 625 stores in the United States as of the end of fiscal 2017. Catering to teen and preteen consumers, stores feature a wide variety of merchandise, all priced at or below $5. The assortment focuses on discretionary items in several categories, particularly leisure (such as sporting goods, toys, and electronics; 50% of fiscal 2017 sales), fashion and home (for example, beauty products and accessories, home goods, and storage solutions; 32% of fiscal 2017 sales), and party and snack (including seasonal goods, candy, and beverages; 18% of fiscal 2017 sales). The chain had stores in 32 states as of the end of fiscal 2017, along with two distribution centers (with plans for three more).</t>
        </is>
      </c>
      <c r="G172" s="153" t="inlineStr">
        <is>
          <t>Consumer Products and Services (B2C)</t>
        </is>
      </c>
      <c r="H172" s="154" t="inlineStr">
        <is>
          <t>Retail</t>
        </is>
      </c>
      <c r="I172" s="155" t="inlineStr">
        <is>
          <t>Specialty Retail</t>
        </is>
      </c>
      <c r="J172" s="156" t="inlineStr">
        <is>
          <t>Accessories, Clothing, Other Consumer Durables, Recreational Goods, Specialty Retail*</t>
        </is>
      </c>
      <c r="K172" s="157" t="inlineStr">
        <is>
          <t/>
        </is>
      </c>
      <c r="L172" s="158" t="inlineStr">
        <is>
          <t>discount retailer, teen, value retailer</t>
        </is>
      </c>
      <c r="M172" s="159" t="inlineStr">
        <is>
          <t>Formerly PE-Backed</t>
        </is>
      </c>
      <c r="N172" s="160" t="n">
        <v>275.73</v>
      </c>
      <c r="O172" s="161" t="inlineStr">
        <is>
          <t>Profitable</t>
        </is>
      </c>
      <c r="P172" s="162" t="inlineStr">
        <is>
          <t>Publicly Held</t>
        </is>
      </c>
      <c r="Q172" s="163" t="inlineStr">
        <is>
          <t>Private Equity, Publicly Listed, Venture Capital</t>
        </is>
      </c>
      <c r="R172" s="164" t="inlineStr">
        <is>
          <t/>
        </is>
      </c>
      <c r="S172" s="165" t="n">
        <v>12100.0</v>
      </c>
      <c r="T172" s="166" t="inlineStr">
        <is>
          <t>2003: 15, 2004: 25, 2005: 20, 2006: 16, 2007: 12, 2008: 50, 2009: 50, 2010: 50, 2012: 2960, 2013: 3750, 2014: 5500, 2015: 6700, 2016: 7600, 2017: 9500, 2018: 12100</t>
        </is>
      </c>
      <c r="U172" s="167" t="inlineStr">
        <is>
          <t>NAS</t>
        </is>
      </c>
      <c r="V172" s="168" t="inlineStr">
        <is>
          <t>FIVE</t>
        </is>
      </c>
      <c r="W172" s="169" t="n">
        <v>2002.0</v>
      </c>
      <c r="X172" s="170" t="inlineStr">
        <is>
          <t/>
        </is>
      </c>
      <c r="Y172" s="171" t="inlineStr">
        <is>
          <t/>
        </is>
      </c>
      <c r="Z172" s="172" t="inlineStr">
        <is>
          <t>News (New) </t>
        </is>
      </c>
      <c r="AA172" s="173" t="n">
        <v>1461.71</v>
      </c>
      <c r="AB172" s="174" t="n">
        <v>528.57</v>
      </c>
      <c r="AC172" s="175" t="n">
        <v>127.76</v>
      </c>
      <c r="AD172" s="176" t="n">
        <v>6078.14</v>
      </c>
      <c r="AE172" s="177" t="n">
        <v>213.49</v>
      </c>
      <c r="AF172" s="178" t="inlineStr">
        <is>
          <t>TTM 3Q2019</t>
        </is>
      </c>
      <c r="AG172" s="179" t="n">
        <v>174.17</v>
      </c>
      <c r="AH172" s="180" t="n">
        <v>6522.23</v>
      </c>
      <c r="AI172" s="181" t="n">
        <v>-188.29</v>
      </c>
      <c r="AJ172" s="182" t="inlineStr">
        <is>
          <t>12504-52P</t>
        </is>
      </c>
      <c r="AK172" s="183" t="inlineStr">
        <is>
          <t>Thomas Vellios</t>
        </is>
      </c>
      <c r="AL172" s="184" t="inlineStr">
        <is>
          <t>C0-Founder &amp; Chief Executive Officer</t>
        </is>
      </c>
      <c r="AM172" s="185" t="inlineStr">
        <is>
          <t>thomas.vellios@fivebelow.com</t>
        </is>
      </c>
      <c r="AN172" s="186" t="inlineStr">
        <is>
          <t>+1 (215) 546-7909</t>
        </is>
      </c>
      <c r="AO172" s="187" t="inlineStr">
        <is>
          <t>Philadelphia, PA</t>
        </is>
      </c>
      <c r="AP172" s="188" t="inlineStr">
        <is>
          <t>1818 Market Street</t>
        </is>
      </c>
      <c r="AQ172" s="189" t="inlineStr">
        <is>
          <t>Suite 2000</t>
        </is>
      </c>
      <c r="AR172" s="190" t="inlineStr">
        <is>
          <t>Philadelphia</t>
        </is>
      </c>
      <c r="AS172" s="191" t="inlineStr">
        <is>
          <t>Pennsylvania</t>
        </is>
      </c>
      <c r="AT172" s="192" t="inlineStr">
        <is>
          <t>19103</t>
        </is>
      </c>
      <c r="AU172" s="193" t="inlineStr">
        <is>
          <t>United States</t>
        </is>
      </c>
      <c r="AV172" s="194" t="inlineStr">
        <is>
          <t>+1 (215) 546-7909</t>
        </is>
      </c>
      <c r="AW172" s="195" t="inlineStr">
        <is>
          <t>+1 (215) 546-8099</t>
        </is>
      </c>
      <c r="AX172" s="196" t="inlineStr">
        <is>
          <t/>
        </is>
      </c>
      <c r="AY172" s="197" t="inlineStr">
        <is>
          <t>Americas</t>
        </is>
      </c>
      <c r="AZ172" s="198" t="inlineStr">
        <is>
          <t>North America</t>
        </is>
      </c>
      <c r="BA172" s="199" t="inlineStr">
        <is>
          <t>Existing shareholders sold 7,100,000 shares at a price of $46.65 per share to underwriter Credit Suisse in a $331.2 million deal on September 18, 2013. After the offering, there was a total of 54,040,270 outstanding shares priced at $47.71 per share, putting the company's valuation at $2.6 billion. Selling shareholders include Advent International selling 7,000,000 shares. The company is no longer actively tracked by PitchBook.</t>
        </is>
      </c>
      <c r="BB172" s="200" t="inlineStr">
        <is>
          <t>Burch Creative Capital</t>
        </is>
      </c>
      <c r="BC172" s="201" t="n">
        <v>1.0</v>
      </c>
      <c r="BD172" s="202" t="inlineStr">
        <is>
          <t/>
        </is>
      </c>
      <c r="BE172" s="203" t="inlineStr">
        <is>
          <t>Advent International, Blue 9 Capital, LLR Partners</t>
        </is>
      </c>
      <c r="BF172" s="204" t="inlineStr">
        <is>
          <t/>
        </is>
      </c>
      <c r="BG172" s="205" t="inlineStr">
        <is>
          <t>Burch Creative Capital(www.burchcreativecapital.com)</t>
        </is>
      </c>
      <c r="BH172" s="206" t="inlineStr">
        <is>
          <t>Advent International(www.adventinternational.com), Blue 9 Capital(www.blue9capital.com), LLR Partners(www.llrpartners.com)</t>
        </is>
      </c>
      <c r="BI172" s="207" t="inlineStr">
        <is>
          <t/>
        </is>
      </c>
      <c r="BJ172" s="208" t="inlineStr">
        <is>
          <t>Herbert Mines Associates(Placement Agent), Klehr Harrison Harvey Branzburg(Legal Advisor), Telsey Advisory Group(Advisor: General)</t>
        </is>
      </c>
      <c r="BK172" s="209" t="inlineStr">
        <is>
          <t>Barclays(Underwriter), Credit Suisse(Underwriter), Deutsche Bank(Underwriter), Jefferies Group(Underwriter), KPMG(Advisor: General), Oppenheimer &amp; Company(Advisor: General), Pepper Hamilton(Legal Advisor), The Goldman Sachs Group(Underwriter), UBS(Underwriter), Wells Fargo(Underwriter)</t>
        </is>
      </c>
      <c r="BL172" s="210" t="n">
        <v>38481.0</v>
      </c>
      <c r="BM172" s="211" t="n">
        <v>20.0</v>
      </c>
      <c r="BN172" s="212" t="inlineStr">
        <is>
          <t>Actual</t>
        </is>
      </c>
      <c r="BO172" s="213" t="inlineStr">
        <is>
          <t/>
        </is>
      </c>
      <c r="BP172" s="214" t="inlineStr">
        <is>
          <t/>
        </is>
      </c>
      <c r="BQ172" s="215" t="inlineStr">
        <is>
          <t>PE Growth/Expansion</t>
        </is>
      </c>
      <c r="BR172" s="216" t="inlineStr">
        <is>
          <t/>
        </is>
      </c>
      <c r="BS172" s="217" t="inlineStr">
        <is>
          <t/>
        </is>
      </c>
      <c r="BT172" s="218" t="inlineStr">
        <is>
          <t>Private Equity</t>
        </is>
      </c>
      <c r="BU172" s="219" t="inlineStr">
        <is>
          <t/>
        </is>
      </c>
      <c r="BV172" s="220" t="inlineStr">
        <is>
          <t/>
        </is>
      </c>
      <c r="BW172" s="221" t="inlineStr">
        <is>
          <t/>
        </is>
      </c>
      <c r="BX172" s="222" t="inlineStr">
        <is>
          <t>Completed</t>
        </is>
      </c>
      <c r="BY172" s="223" t="n">
        <v>41535.0</v>
      </c>
      <c r="BZ172" s="224" t="n">
        <v>331.22</v>
      </c>
      <c r="CA172" s="225" t="inlineStr">
        <is>
          <t>Actual</t>
        </is>
      </c>
      <c r="CB172" s="226" t="n">
        <v>2562.05</v>
      </c>
      <c r="CC172" s="227" t="inlineStr">
        <is>
          <t>Actual</t>
        </is>
      </c>
      <c r="CD172" s="228" t="inlineStr">
        <is>
          <t>Secondary Transaction - Private</t>
        </is>
      </c>
      <c r="CE172" s="229" t="inlineStr">
        <is>
          <t/>
        </is>
      </c>
      <c r="CF172" s="230" t="inlineStr">
        <is>
          <t/>
        </is>
      </c>
      <c r="CG172" s="231" t="inlineStr">
        <is>
          <t>Private Equity</t>
        </is>
      </c>
      <c r="CH172" s="232" t="inlineStr">
        <is>
          <t/>
        </is>
      </c>
      <c r="CI172" s="233" t="inlineStr">
        <is>
          <t/>
        </is>
      </c>
      <c r="CJ172" s="234" t="inlineStr">
        <is>
          <t/>
        </is>
      </c>
      <c r="CK172" s="235" t="inlineStr">
        <is>
          <t>Completed</t>
        </is>
      </c>
      <c r="CL172" s="236" t="inlineStr">
        <is>
          <t/>
        </is>
      </c>
      <c r="CM172" s="237" t="inlineStr">
        <is>
          <t/>
        </is>
      </c>
      <c r="CN172" s="238" t="n">
        <v>2.16</v>
      </c>
      <c r="CO172" s="239" t="n">
        <v>100.0</v>
      </c>
      <c r="CP172" s="240" t="n">
        <v>0.0</v>
      </c>
      <c r="CQ172" s="241" t="n">
        <v>-0.11</v>
      </c>
      <c r="CR172" s="242" t="n">
        <v>4.22</v>
      </c>
      <c r="CS172" s="243" t="n">
        <v>100.0</v>
      </c>
      <c r="CT172" s="244" t="n">
        <v>0.09</v>
      </c>
      <c r="CU172" s="245" t="n">
        <v>71.0</v>
      </c>
      <c r="CV172" s="246" t="n">
        <v>7.77</v>
      </c>
      <c r="CW172" s="247" t="n">
        <v>99.0</v>
      </c>
      <c r="CX172" s="248" t="n">
        <v>0.67</v>
      </c>
      <c r="CY172" s="249" t="n">
        <v>96.0</v>
      </c>
      <c r="CZ172" s="250" t="n">
        <v>0.12</v>
      </c>
      <c r="DA172" s="251" t="n">
        <v>79.0</v>
      </c>
      <c r="DB172" s="252" t="n">
        <v>400.54</v>
      </c>
      <c r="DC172" s="253" t="n">
        <v>100.0</v>
      </c>
      <c r="DD172" s="254" t="n">
        <v>6.03</v>
      </c>
      <c r="DE172" s="255" t="n">
        <v>1.53</v>
      </c>
      <c r="DF172" s="256" t="n">
        <v>332.05</v>
      </c>
      <c r="DG172" s="257" t="n">
        <v>100.0</v>
      </c>
      <c r="DH172" s="258" t="n">
        <v>469.02</v>
      </c>
      <c r="DI172" s="259" t="n">
        <v>100.0</v>
      </c>
      <c r="DJ172" s="260" t="n">
        <v>577.89</v>
      </c>
      <c r="DK172" s="261" t="n">
        <v>100.0</v>
      </c>
      <c r="DL172" s="262" t="n">
        <v>86.21</v>
      </c>
      <c r="DM172" s="263" t="n">
        <v>99.0</v>
      </c>
      <c r="DN172" s="264" t="n">
        <v>39.64</v>
      </c>
      <c r="DO172" s="265" t="n">
        <v>96.0</v>
      </c>
      <c r="DP172" s="266" t="n">
        <v>410522.0</v>
      </c>
      <c r="DQ172" s="267" t="n">
        <v>13642.0</v>
      </c>
      <c r="DR172" s="268" t="n">
        <v>3.44</v>
      </c>
      <c r="DS172" s="269" t="n">
        <v>2915.0</v>
      </c>
      <c r="DT172" s="270" t="n">
        <v>32.0</v>
      </c>
      <c r="DU172" s="271" t="n">
        <v>1.11</v>
      </c>
      <c r="DV172" s="272" t="n">
        <v>14234.0</v>
      </c>
      <c r="DW172" s="273" t="n">
        <v>-2.0</v>
      </c>
      <c r="DX172" s="274" t="n">
        <v>-0.01</v>
      </c>
      <c r="DY172" s="275" t="inlineStr">
        <is>
          <t>PitchBook Research</t>
        </is>
      </c>
      <c r="DZ172" s="276" t="n">
        <v>43536.0</v>
      </c>
      <c r="EA172" s="277" t="n">
        <v>2562.05</v>
      </c>
      <c r="EB172" s="278" t="n">
        <v>41535.0</v>
      </c>
      <c r="EC172" s="279" t="inlineStr">
        <is>
          <t>Secondary Transaction - Private</t>
        </is>
      </c>
      <c r="ED172" s="548">
        <f>HYPERLINK("https://my.pitchbook.com?c=10919-17", "View company online")</f>
      </c>
    </row>
    <row r="173">
      <c r="A173" s="13" t="inlineStr">
        <is>
          <t>100065-34</t>
        </is>
      </c>
      <c r="B173" s="14" t="inlineStr">
        <is>
          <t>Lands' End (NAS: LE)</t>
        </is>
      </c>
      <c r="C173" s="15" t="inlineStr">
        <is>
          <t/>
        </is>
      </c>
      <c r="D173" s="16" t="inlineStr">
        <is>
          <t/>
        </is>
      </c>
      <c r="E173" s="17" t="inlineStr">
        <is>
          <t>100065-34</t>
        </is>
      </c>
      <c r="F173" s="18" t="inlineStr">
        <is>
          <t>Lands' End Inc is a United States-based multi-channel retailer of casual clothing, accessories, and footwear, as well as home products. The company operates through two segments, Direct, and Retail. Apparel products account for most of the company's net revenue. The company offers merchandise through multiple channels, such as catalogs, online platforms, and retail locations, which includes Lands' End shops at Sears, standalone Lands' End Inlet stores and international shop-in-shops located in department stores. The company has a business presence in the United States, Europe, Asia and other areas. It generates the majority of its total net revenue from the United States.</t>
        </is>
      </c>
      <c r="G173" s="19" t="inlineStr">
        <is>
          <t>Consumer Products and Services (B2C)</t>
        </is>
      </c>
      <c r="H173" s="20" t="inlineStr">
        <is>
          <t>Apparel and Accessories</t>
        </is>
      </c>
      <c r="I173" s="21" t="inlineStr">
        <is>
          <t>Clothing</t>
        </is>
      </c>
      <c r="J173" s="22" t="inlineStr">
        <is>
          <t>Accessories, Clothing*, Internet Retail</t>
        </is>
      </c>
      <c r="K173" s="23" t="inlineStr">
        <is>
          <t/>
        </is>
      </c>
      <c r="L173" s="24" t="inlineStr">
        <is>
          <t>clothing retail, jeans, online fashion, shirts, shoes, socks</t>
        </is>
      </c>
      <c r="M173" s="25" t="inlineStr">
        <is>
          <t>Corporate Backed or Acquired</t>
        </is>
      </c>
      <c r="N173" s="26" t="n">
        <v>500.0</v>
      </c>
      <c r="O173" s="27" t="inlineStr">
        <is>
          <t>Profitable</t>
        </is>
      </c>
      <c r="P173" s="28" t="inlineStr">
        <is>
          <t>Publicly Held</t>
        </is>
      </c>
      <c r="Q173" s="29" t="inlineStr">
        <is>
          <t>M&amp;A, Publicly Listed</t>
        </is>
      </c>
      <c r="R173" s="30" t="inlineStr">
        <is>
          <t>www.landsend.com</t>
        </is>
      </c>
      <c r="S173" s="31" t="n">
        <v>5000.0</v>
      </c>
      <c r="T173" s="32" t="inlineStr">
        <is>
          <t>1990: 3000, 1991: 5600, 1992: 4300, 1993: 4300, 1994: 4800, 1995: 4800, 1996: 3800, 1997: 4100, 1998: 4100, 1999: 4900, 2000: 9600, 2001: 9800, 2002: 10200, 2014: 6400, 2015: 6000, 2016: 6000, 2017: 5000, 2018: 5000</t>
        </is>
      </c>
      <c r="U173" s="33" t="inlineStr">
        <is>
          <t>NAS</t>
        </is>
      </c>
      <c r="V173" s="34" t="inlineStr">
        <is>
          <t>LE</t>
        </is>
      </c>
      <c r="W173" s="35" t="n">
        <v>1963.0</v>
      </c>
      <c r="X173" s="36" t="inlineStr">
        <is>
          <t/>
        </is>
      </c>
      <c r="Y173" s="37" t="inlineStr">
        <is>
          <t/>
        </is>
      </c>
      <c r="Z173" s="38" t="inlineStr">
        <is>
          <t>News (New) , Filing (New) </t>
        </is>
      </c>
      <c r="AA173" s="39" t="n">
        <v>1451.59</v>
      </c>
      <c r="AB173" s="40" t="n">
        <v>616.06</v>
      </c>
      <c r="AC173" s="41" t="n">
        <v>11.59</v>
      </c>
      <c r="AD173" s="42" t="n">
        <v>954.06</v>
      </c>
      <c r="AE173" s="43" t="n">
        <v>66.1</v>
      </c>
      <c r="AF173" s="44" t="inlineStr">
        <is>
          <t>FY 2019</t>
        </is>
      </c>
      <c r="AG173" s="45" t="n">
        <v>38.54</v>
      </c>
      <c r="AH173" s="46" t="n">
        <v>510.04</v>
      </c>
      <c r="AI173" s="47" t="n">
        <v>289.05</v>
      </c>
      <c r="AJ173" s="48" t="inlineStr">
        <is>
          <t>32653-18P</t>
        </is>
      </c>
      <c r="AK173" s="49" t="inlineStr">
        <is>
          <t>James Gooch</t>
        </is>
      </c>
      <c r="AL173" s="50" t="inlineStr">
        <is>
          <t>Chief Financial Officer, Chief Operating Officer, Executive Vice President &amp; Treasurer</t>
        </is>
      </c>
      <c r="AM173" s="51" t="inlineStr">
        <is>
          <t>james.gooch@landsend.co.uk</t>
        </is>
      </c>
      <c r="AN173" s="52" t="inlineStr">
        <is>
          <t>+1 (800) 541-3459</t>
        </is>
      </c>
      <c r="AO173" s="53" t="inlineStr">
        <is>
          <t>Dodgeville, WI</t>
        </is>
      </c>
      <c r="AP173" s="54" t="inlineStr">
        <is>
          <t>1 Lands' End Lane</t>
        </is>
      </c>
      <c r="AQ173" s="55" t="inlineStr">
        <is>
          <t/>
        </is>
      </c>
      <c r="AR173" s="56" t="inlineStr">
        <is>
          <t>Dodgeville</t>
        </is>
      </c>
      <c r="AS173" s="57" t="inlineStr">
        <is>
          <t>Wisconsin</t>
        </is>
      </c>
      <c r="AT173" s="58" t="inlineStr">
        <is>
          <t>53595</t>
        </is>
      </c>
      <c r="AU173" s="59" t="inlineStr">
        <is>
          <t>United States</t>
        </is>
      </c>
      <c r="AV173" s="60" t="inlineStr">
        <is>
          <t>+1 (800) 541-3459</t>
        </is>
      </c>
      <c r="AW173" s="61" t="inlineStr">
        <is>
          <t>+1 (800) 332-0103</t>
        </is>
      </c>
      <c r="AX173" s="62" t="inlineStr">
        <is>
          <t>info@landsend.com</t>
        </is>
      </c>
      <c r="AY173" s="63" t="inlineStr">
        <is>
          <t>Americas</t>
        </is>
      </c>
      <c r="AZ173" s="64" t="inlineStr">
        <is>
          <t>North America</t>
        </is>
      </c>
      <c r="BA173" s="65" t="inlineStr">
        <is>
          <t>The company was spun out of Sears Holdings (NASDAQ: SHLD) through an initial public offering on the NASDAQ stock exchange under the ticker symbol of LE on April 7, 2014. The offering amount was $500 million.</t>
        </is>
      </c>
      <c r="BB173" s="66" t="inlineStr">
        <is>
          <t/>
        </is>
      </c>
      <c r="BC173" s="67" t="inlineStr">
        <is>
          <t/>
        </is>
      </c>
      <c r="BD173" s="68" t="inlineStr">
        <is>
          <t/>
        </is>
      </c>
      <c r="BE173" s="69" t="inlineStr">
        <is>
          <t>Sears Holdings</t>
        </is>
      </c>
      <c r="BF173" s="70" t="inlineStr">
        <is>
          <t/>
        </is>
      </c>
      <c r="BG173" s="71" t="inlineStr">
        <is>
          <t/>
        </is>
      </c>
      <c r="BH173" s="72" t="inlineStr">
        <is>
          <t>Sears Holdings(www.searsholdings.com)</t>
        </is>
      </c>
      <c r="BI173" s="73" t="inlineStr">
        <is>
          <t/>
        </is>
      </c>
      <c r="BJ173" s="74" t="inlineStr">
        <is>
          <t>CL King &amp; Associates(Advisor: General), Executive Search International(Advisor: General), The Brownestone Group(Consulting)</t>
        </is>
      </c>
      <c r="BK173" s="75" t="inlineStr">
        <is>
          <t/>
        </is>
      </c>
      <c r="BL173" s="76" t="n">
        <v>37408.0</v>
      </c>
      <c r="BM173" s="77" t="n">
        <v>1.9</v>
      </c>
      <c r="BN173" s="78" t="inlineStr">
        <is>
          <t>Estimated</t>
        </is>
      </c>
      <c r="BO173" s="79" t="n">
        <v>3.45</v>
      </c>
      <c r="BP173" s="80" t="inlineStr">
        <is>
          <t>Estimated</t>
        </is>
      </c>
      <c r="BQ173" s="81" t="inlineStr">
        <is>
          <t>Merger/Acquisition</t>
        </is>
      </c>
      <c r="BR173" s="82" t="inlineStr">
        <is>
          <t/>
        </is>
      </c>
      <c r="BS173" s="83" t="inlineStr">
        <is>
          <t/>
        </is>
      </c>
      <c r="BT173" s="84" t="inlineStr">
        <is>
          <t>Corporate</t>
        </is>
      </c>
      <c r="BU173" s="85" t="inlineStr">
        <is>
          <t/>
        </is>
      </c>
      <c r="BV173" s="86" t="inlineStr">
        <is>
          <t/>
        </is>
      </c>
      <c r="BW173" s="87" t="inlineStr">
        <is>
          <t/>
        </is>
      </c>
      <c r="BX173" s="88" t="inlineStr">
        <is>
          <t>Completed</t>
        </is>
      </c>
      <c r="BY173" s="89" t="n">
        <v>41736.0</v>
      </c>
      <c r="BZ173" s="90" t="n">
        <v>500.0</v>
      </c>
      <c r="CA173" s="91" t="inlineStr">
        <is>
          <t>Actual</t>
        </is>
      </c>
      <c r="CB173" s="92" t="inlineStr">
        <is>
          <t/>
        </is>
      </c>
      <c r="CC173" s="93" t="inlineStr">
        <is>
          <t/>
        </is>
      </c>
      <c r="CD173" s="94" t="inlineStr">
        <is>
          <t>IPO</t>
        </is>
      </c>
      <c r="CE173" s="95" t="inlineStr">
        <is>
          <t>Spin-Off</t>
        </is>
      </c>
      <c r="CF173" s="96" t="inlineStr">
        <is>
          <t/>
        </is>
      </c>
      <c r="CG173" s="97" t="inlineStr">
        <is>
          <t>Public Investment</t>
        </is>
      </c>
      <c r="CH173" s="98" t="inlineStr">
        <is>
          <t/>
        </is>
      </c>
      <c r="CI173" s="99" t="inlineStr">
        <is>
          <t/>
        </is>
      </c>
      <c r="CJ173" s="100" t="inlineStr">
        <is>
          <t/>
        </is>
      </c>
      <c r="CK173" s="101" t="inlineStr">
        <is>
          <t>Completed</t>
        </is>
      </c>
      <c r="CL173" s="102" t="inlineStr">
        <is>
          <t/>
        </is>
      </c>
      <c r="CM173" s="103" t="inlineStr">
        <is>
          <t/>
        </is>
      </c>
      <c r="CN173" s="104" t="n">
        <v>0.35</v>
      </c>
      <c r="CO173" s="105" t="n">
        <v>92.0</v>
      </c>
      <c r="CP173" s="106" t="n">
        <v>0.0</v>
      </c>
      <c r="CQ173" s="107" t="n">
        <v>0.45</v>
      </c>
      <c r="CR173" s="108" t="n">
        <v>0.73</v>
      </c>
      <c r="CS173" s="109" t="n">
        <v>96.0</v>
      </c>
      <c r="CT173" s="110" t="n">
        <v>-0.03</v>
      </c>
      <c r="CU173" s="111" t="n">
        <v>20.0</v>
      </c>
      <c r="CV173" s="112" t="n">
        <v>1.74</v>
      </c>
      <c r="CW173" s="113" t="n">
        <v>90.0</v>
      </c>
      <c r="CX173" s="114" t="n">
        <v>-0.29</v>
      </c>
      <c r="CY173" s="115" t="n">
        <v>8.0</v>
      </c>
      <c r="CZ173" s="116" t="n">
        <v>-0.07</v>
      </c>
      <c r="DA173" s="117" t="n">
        <v>14.0</v>
      </c>
      <c r="DB173" s="118" t="n">
        <v>1390.6</v>
      </c>
      <c r="DC173" s="119" t="n">
        <v>100.0</v>
      </c>
      <c r="DD173" s="120" t="n">
        <v>28.09</v>
      </c>
      <c r="DE173" s="121" t="n">
        <v>2.06</v>
      </c>
      <c r="DF173" s="122" t="n">
        <v>1732.55</v>
      </c>
      <c r="DG173" s="123" t="n">
        <v>100.0</v>
      </c>
      <c r="DH173" s="124" t="n">
        <v>1048.64</v>
      </c>
      <c r="DI173" s="125" t="n">
        <v>100.0</v>
      </c>
      <c r="DJ173" s="126" t="n">
        <v>3034.87</v>
      </c>
      <c r="DK173" s="127" t="n">
        <v>100.0</v>
      </c>
      <c r="DL173" s="128" t="n">
        <v>430.24</v>
      </c>
      <c r="DM173" s="129" t="n">
        <v>100.0</v>
      </c>
      <c r="DN173" s="130" t="n">
        <v>627.84</v>
      </c>
      <c r="DO173" s="131" t="n">
        <v>100.0</v>
      </c>
      <c r="DP173" s="132" t="n">
        <v>2174339.0</v>
      </c>
      <c r="DQ173" s="133" t="n">
        <v>-94309.0</v>
      </c>
      <c r="DR173" s="134" t="n">
        <v>-4.16</v>
      </c>
      <c r="DS173" s="135" t="n">
        <v>14611.0</v>
      </c>
      <c r="DT173" s="136" t="n">
        <v>44.0</v>
      </c>
      <c r="DU173" s="137" t="n">
        <v>0.3</v>
      </c>
      <c r="DV173" s="138" t="n">
        <v>225457.0</v>
      </c>
      <c r="DW173" s="139" t="n">
        <v>-188.0</v>
      </c>
      <c r="DX173" s="140" t="n">
        <v>-0.08</v>
      </c>
      <c r="DY173" s="141" t="inlineStr">
        <is>
          <t>PitchBook Research</t>
        </is>
      </c>
      <c r="DZ173" s="142" t="n">
        <v>43537.0</v>
      </c>
      <c r="EA173" s="143" t="n">
        <v>3.45</v>
      </c>
      <c r="EB173" s="144" t="n">
        <v>37408.0</v>
      </c>
      <c r="EC173" s="145" t="inlineStr">
        <is>
          <t>Merger/Acquisition</t>
        </is>
      </c>
      <c r="ED173" s="547">
        <f>HYPERLINK("https://my.pitchbook.com?c=100065-34", "View company online")</f>
      </c>
    </row>
    <row r="174">
      <c r="A174" s="147" t="inlineStr">
        <is>
          <t>165415-42</t>
        </is>
      </c>
      <c r="B174" s="148" t="inlineStr">
        <is>
          <t>Kurabo Industries (TKS: 3106)</t>
        </is>
      </c>
      <c r="C174" s="149" t="inlineStr">
        <is>
          <t/>
        </is>
      </c>
      <c r="D174" s="150" t="inlineStr">
        <is>
          <t/>
        </is>
      </c>
      <c r="E174" s="151" t="inlineStr">
        <is>
          <t>165415-42</t>
        </is>
      </c>
      <c r="F174" s="152" t="inlineStr">
        <is>
          <t>Kurabo Industries Ltd. is involved in the business of Textile, Chemical products, Real estate utilization, Machine tools and Electronics and Other businesses. The company's primary activities include manufacture and sale of textile products, polyurethane foam and related products, machine tool and industrial machines, information systems and equipment and bio-medical products and also lease of real estate and design, manufacture and supply of plants, equipment and machines and industrial and household waste recycling.</t>
        </is>
      </c>
      <c r="G174" s="153" t="inlineStr">
        <is>
          <t>Consumer Products and Services (B2C)</t>
        </is>
      </c>
      <c r="H174" s="154" t="inlineStr">
        <is>
          <t>Apparel and Accessories</t>
        </is>
      </c>
      <c r="I174" s="155" t="inlineStr">
        <is>
          <t>Clothing</t>
        </is>
      </c>
      <c r="J174" s="156" t="inlineStr">
        <is>
          <t>Clothing*, Synthetic Textiles</t>
        </is>
      </c>
      <c r="K174" s="157" t="inlineStr">
        <is>
          <t>Manufacturing</t>
        </is>
      </c>
      <c r="L174" s="158" t="inlineStr">
        <is>
          <t>adhesives, wool yarn</t>
        </is>
      </c>
      <c r="M174" s="159" t="inlineStr">
        <is>
          <t>Corporation</t>
        </is>
      </c>
      <c r="N174" s="160" t="inlineStr">
        <is>
          <t/>
        </is>
      </c>
      <c r="O174" s="161" t="inlineStr">
        <is>
          <t>Profitable</t>
        </is>
      </c>
      <c r="P174" s="162" t="inlineStr">
        <is>
          <t>Publicly Held</t>
        </is>
      </c>
      <c r="Q174" s="163" t="inlineStr">
        <is>
          <t>Publicly Listed</t>
        </is>
      </c>
      <c r="R174" s="164" t="inlineStr">
        <is>
          <t>www.kurabo.co.jp</t>
        </is>
      </c>
      <c r="S174" s="165" t="n">
        <v>5676.0</v>
      </c>
      <c r="T174" s="166" t="inlineStr">
        <is>
          <t>2006: 6293, 2007: 5812, 2009: 5652, 2010: 5272, 2011: 5173, 2012: 5036, 2013: 5056, 2014: 4788, 2015: 4628, 2016: 4563, 2017: 4642, 2018: 5676</t>
        </is>
      </c>
      <c r="U174" s="167" t="inlineStr">
        <is>
          <t>TKS</t>
        </is>
      </c>
      <c r="V174" s="168" t="inlineStr">
        <is>
          <t>3106</t>
        </is>
      </c>
      <c r="W174" s="169" t="n">
        <v>1888.0</v>
      </c>
      <c r="X174" s="170" t="inlineStr">
        <is>
          <t/>
        </is>
      </c>
      <c r="Y174" s="171" t="inlineStr">
        <is>
          <t/>
        </is>
      </c>
      <c r="Z174" s="172" t="inlineStr">
        <is>
          <t/>
        </is>
      </c>
      <c r="AA174" s="173" t="n">
        <v>1445.17</v>
      </c>
      <c r="AB174" s="174" t="n">
        <v>250.8</v>
      </c>
      <c r="AC174" s="175" t="n">
        <v>46.9</v>
      </c>
      <c r="AD174" s="176" t="n">
        <v>501.62</v>
      </c>
      <c r="AE174" s="177" t="n">
        <v>70.42</v>
      </c>
      <c r="AF174" s="178" t="inlineStr">
        <is>
          <t>TTM 3Q2019</t>
        </is>
      </c>
      <c r="AG174" s="179" t="n">
        <v>70.42</v>
      </c>
      <c r="AH174" s="180" t="n">
        <v>422.89</v>
      </c>
      <c r="AI174" s="181" t="n">
        <v>7.02</v>
      </c>
      <c r="AJ174" s="182" t="inlineStr">
        <is>
          <t/>
        </is>
      </c>
      <c r="AK174" s="183" t="inlineStr">
        <is>
          <t/>
        </is>
      </c>
      <c r="AL174" s="184" t="inlineStr">
        <is>
          <t/>
        </is>
      </c>
      <c r="AM174" s="185" t="inlineStr">
        <is>
          <t/>
        </is>
      </c>
      <c r="AN174" s="186" t="inlineStr">
        <is>
          <t/>
        </is>
      </c>
      <c r="AO174" s="187" t="inlineStr">
        <is>
          <t>Osaka, Japan</t>
        </is>
      </c>
      <c r="AP174" s="188" t="inlineStr">
        <is>
          <t>4-31, 2-chome</t>
        </is>
      </c>
      <c r="AQ174" s="189" t="inlineStr">
        <is>
          <t>Kyutaro-machi</t>
        </is>
      </c>
      <c r="AR174" s="190" t="inlineStr">
        <is>
          <t>Osaka</t>
        </is>
      </c>
      <c r="AS174" s="191" t="inlineStr">
        <is>
          <t>Chuo-ku</t>
        </is>
      </c>
      <c r="AT174" s="192" t="inlineStr">
        <is>
          <t>541-8581</t>
        </is>
      </c>
      <c r="AU174" s="193" t="inlineStr">
        <is>
          <t>Japan</t>
        </is>
      </c>
      <c r="AV174" s="194" t="inlineStr">
        <is>
          <t>+81 (0)66 266 5111</t>
        </is>
      </c>
      <c r="AW174" s="195" t="inlineStr">
        <is>
          <t>+81 (0)66 266 5555</t>
        </is>
      </c>
      <c r="AX174" s="196" t="inlineStr">
        <is>
          <t/>
        </is>
      </c>
      <c r="AY174" s="197" t="inlineStr">
        <is>
          <t>Asia</t>
        </is>
      </c>
      <c r="AZ174" s="198" t="inlineStr">
        <is>
          <t>East Asia</t>
        </is>
      </c>
      <c r="BA174" s="199" t="inlineStr">
        <is>
          <t/>
        </is>
      </c>
      <c r="BB174" s="200" t="inlineStr">
        <is>
          <t/>
        </is>
      </c>
      <c r="BC174" s="201" t="inlineStr">
        <is>
          <t/>
        </is>
      </c>
      <c r="BD174" s="202" t="inlineStr">
        <is>
          <t/>
        </is>
      </c>
      <c r="BE174" s="203" t="inlineStr">
        <is>
          <t/>
        </is>
      </c>
      <c r="BF174" s="204" t="inlineStr">
        <is>
          <t/>
        </is>
      </c>
      <c r="BG174" s="205" t="inlineStr">
        <is>
          <t/>
        </is>
      </c>
      <c r="BH174" s="206" t="inlineStr">
        <is>
          <t/>
        </is>
      </c>
      <c r="BI174" s="207" t="inlineStr">
        <is>
          <t/>
        </is>
      </c>
      <c r="BJ174" s="208" t="inlineStr">
        <is>
          <t/>
        </is>
      </c>
      <c r="BK174" s="209" t="inlineStr">
        <is>
          <t/>
        </is>
      </c>
      <c r="BL174" s="210" t="inlineStr">
        <is>
          <t/>
        </is>
      </c>
      <c r="BM174" s="211" t="inlineStr">
        <is>
          <t/>
        </is>
      </c>
      <c r="BN174" s="212" t="inlineStr">
        <is>
          <t/>
        </is>
      </c>
      <c r="BO174" s="213" t="inlineStr">
        <is>
          <t/>
        </is>
      </c>
      <c r="BP174" s="214" t="inlineStr">
        <is>
          <t/>
        </is>
      </c>
      <c r="BQ174" s="215" t="inlineStr">
        <is>
          <t/>
        </is>
      </c>
      <c r="BR174" s="216" t="inlineStr">
        <is>
          <t/>
        </is>
      </c>
      <c r="BS174" s="217" t="inlineStr">
        <is>
          <t/>
        </is>
      </c>
      <c r="BT174" s="218" t="inlineStr">
        <is>
          <t/>
        </is>
      </c>
      <c r="BU174" s="219" t="inlineStr">
        <is>
          <t/>
        </is>
      </c>
      <c r="BV174" s="220" t="inlineStr">
        <is>
          <t/>
        </is>
      </c>
      <c r="BW174" s="221" t="inlineStr">
        <is>
          <t/>
        </is>
      </c>
      <c r="BX174" s="222" t="inlineStr">
        <is>
          <t/>
        </is>
      </c>
      <c r="BY174" s="223" t="inlineStr">
        <is>
          <t/>
        </is>
      </c>
      <c r="BZ174" s="224" t="inlineStr">
        <is>
          <t/>
        </is>
      </c>
      <c r="CA174" s="225" t="inlineStr">
        <is>
          <t/>
        </is>
      </c>
      <c r="CB174" s="226" t="inlineStr">
        <is>
          <t/>
        </is>
      </c>
      <c r="CC174" s="227" t="inlineStr">
        <is>
          <t/>
        </is>
      </c>
      <c r="CD174" s="228" t="inlineStr">
        <is>
          <t/>
        </is>
      </c>
      <c r="CE174" s="229" t="inlineStr">
        <is>
          <t/>
        </is>
      </c>
      <c r="CF174" s="230" t="inlineStr">
        <is>
          <t/>
        </is>
      </c>
      <c r="CG174" s="231" t="inlineStr">
        <is>
          <t/>
        </is>
      </c>
      <c r="CH174" s="232" t="inlineStr">
        <is>
          <t/>
        </is>
      </c>
      <c r="CI174" s="233" t="inlineStr">
        <is>
          <t/>
        </is>
      </c>
      <c r="CJ174" s="234" t="inlineStr">
        <is>
          <t/>
        </is>
      </c>
      <c r="CK174" s="235" t="inlineStr">
        <is>
          <t/>
        </is>
      </c>
      <c r="CL174" s="236" t="inlineStr">
        <is>
          <t/>
        </is>
      </c>
      <c r="CM174" s="237" t="inlineStr">
        <is>
          <t/>
        </is>
      </c>
      <c r="CN174" s="238" t="n">
        <v>0.41</v>
      </c>
      <c r="CO174" s="239" t="n">
        <v>93.0</v>
      </c>
      <c r="CP174" s="240" t="n">
        <v>-0.02</v>
      </c>
      <c r="CQ174" s="241" t="n">
        <v>-3.85</v>
      </c>
      <c r="CR174" s="242" t="n">
        <v>0.41</v>
      </c>
      <c r="CS174" s="243" t="n">
        <v>93.0</v>
      </c>
      <c r="CT174" s="244" t="inlineStr">
        <is>
          <t/>
        </is>
      </c>
      <c r="CU174" s="245" t="inlineStr">
        <is>
          <t/>
        </is>
      </c>
      <c r="CV174" s="246" t="inlineStr">
        <is>
          <t/>
        </is>
      </c>
      <c r="CW174" s="247" t="inlineStr">
        <is>
          <t/>
        </is>
      </c>
      <c r="CX174" s="248" t="n">
        <v>0.41</v>
      </c>
      <c r="CY174" s="249" t="n">
        <v>93.0</v>
      </c>
      <c r="CZ174" s="250" t="inlineStr">
        <is>
          <t/>
        </is>
      </c>
      <c r="DA174" s="251" t="inlineStr">
        <is>
          <t/>
        </is>
      </c>
      <c r="DB174" s="252" t="n">
        <v>50.88</v>
      </c>
      <c r="DC174" s="253" t="n">
        <v>98.0</v>
      </c>
      <c r="DD174" s="254" t="n">
        <v>12.62</v>
      </c>
      <c r="DE174" s="255" t="n">
        <v>32.97</v>
      </c>
      <c r="DF174" s="256" t="n">
        <v>50.88</v>
      </c>
      <c r="DG174" s="257" t="n">
        <v>98.0</v>
      </c>
      <c r="DH174" s="258" t="inlineStr">
        <is>
          <t/>
        </is>
      </c>
      <c r="DI174" s="259" t="inlineStr">
        <is>
          <t/>
        </is>
      </c>
      <c r="DJ174" s="260" t="inlineStr">
        <is>
          <t/>
        </is>
      </c>
      <c r="DK174" s="261" t="inlineStr">
        <is>
          <t/>
        </is>
      </c>
      <c r="DL174" s="262" t="n">
        <v>50.88</v>
      </c>
      <c r="DM174" s="263" t="n">
        <v>98.0</v>
      </c>
      <c r="DN174" s="264" t="inlineStr">
        <is>
          <t/>
        </is>
      </c>
      <c r="DO174" s="265" t="inlineStr">
        <is>
          <t/>
        </is>
      </c>
      <c r="DP174" s="266" t="inlineStr">
        <is>
          <t/>
        </is>
      </c>
      <c r="DQ174" s="267" t="inlineStr">
        <is>
          <t/>
        </is>
      </c>
      <c r="DR174" s="268" t="inlineStr">
        <is>
          <t/>
        </is>
      </c>
      <c r="DS174" s="269" t="n">
        <v>1726.0</v>
      </c>
      <c r="DT174" s="270" t="n">
        <v>6.0</v>
      </c>
      <c r="DU174" s="271" t="n">
        <v>0.35</v>
      </c>
      <c r="DV174" s="272" t="inlineStr">
        <is>
          <t/>
        </is>
      </c>
      <c r="DW174" s="273" t="inlineStr">
        <is>
          <t/>
        </is>
      </c>
      <c r="DX174" s="274" t="inlineStr">
        <is>
          <t/>
        </is>
      </c>
      <c r="DY174" s="275" t="inlineStr">
        <is>
          <t>PitchBook Research</t>
        </is>
      </c>
      <c r="DZ174" s="276" t="n">
        <v>43491.0</v>
      </c>
      <c r="EA174" s="277" t="inlineStr">
        <is>
          <t/>
        </is>
      </c>
      <c r="EB174" s="278" t="inlineStr">
        <is>
          <t/>
        </is>
      </c>
      <c r="EC174" s="279" t="inlineStr">
        <is>
          <t/>
        </is>
      </c>
      <c r="ED174" s="548">
        <f>HYPERLINK("https://my.pitchbook.com?c=165415-42", "View company online")</f>
      </c>
    </row>
    <row r="175">
      <c r="A175" s="13" t="inlineStr">
        <is>
          <t>10941-22</t>
        </is>
      </c>
      <c r="B175" s="14" t="inlineStr">
        <is>
          <t>Bosideng International Holdings (HKG: 03998)</t>
        </is>
      </c>
      <c r="C175" s="15" t="inlineStr">
        <is>
          <t>Changshu Kangbo Crafts Clothing Factory, Bosideng Company, Jiangsu Bosideng, Shanjing Village Sewing Factory, Jiangsu Kangbo Group, Changshu Baimao Shanjing Clothing Factory, Jiangsu Kangbo Company, Kangbo Group</t>
        </is>
      </c>
      <c r="D175" s="16" t="inlineStr">
        <is>
          <t>Bosideng</t>
        </is>
      </c>
      <c r="E175" s="17" t="inlineStr">
        <is>
          <t>10941-22</t>
        </is>
      </c>
      <c r="F175" s="18" t="inlineStr">
        <is>
          <t>Bosideng International Holdings Ltd is an integrated clothing group in China. It mainly engaged in design, manufacture and sales of down apparel products including research, raw materials procurement, outsourced manufacturing, marketing and distribution of branded down apparel products, original equipment manufacturing products and non-down apparel products. The group operates its business in four segments namely Down apparel, OEM management, Ladieswear apparel and Non-down apparel.</t>
        </is>
      </c>
      <c r="G175" s="19" t="inlineStr">
        <is>
          <t>Consumer Products and Services (B2C)</t>
        </is>
      </c>
      <c r="H175" s="20" t="inlineStr">
        <is>
          <t>Apparel and Accessories</t>
        </is>
      </c>
      <c r="I175" s="21" t="inlineStr">
        <is>
          <t>Clothing</t>
        </is>
      </c>
      <c r="J175" s="22" t="inlineStr">
        <is>
          <t>Clothing*</t>
        </is>
      </c>
      <c r="K175" s="23" t="inlineStr">
        <is>
          <t>Manufacturing</t>
        </is>
      </c>
      <c r="L175" s="24" t="inlineStr">
        <is>
          <t>clothing, clothing product, down clothing</t>
        </is>
      </c>
      <c r="M175" s="25" t="inlineStr">
        <is>
          <t>Formerly PE-Backed</t>
        </is>
      </c>
      <c r="N175" s="26" t="n">
        <v>906.77</v>
      </c>
      <c r="O175" s="27" t="inlineStr">
        <is>
          <t>Profitable</t>
        </is>
      </c>
      <c r="P175" s="28" t="inlineStr">
        <is>
          <t>Publicly Held</t>
        </is>
      </c>
      <c r="Q175" s="29" t="inlineStr">
        <is>
          <t>M&amp;A, Private Equity, Publicly Listed, Venture Capital</t>
        </is>
      </c>
      <c r="R175" s="30" t="inlineStr">
        <is>
          <t>www.bosideng.com</t>
        </is>
      </c>
      <c r="S175" s="31" t="n">
        <v>6017.0</v>
      </c>
      <c r="T175" s="32" t="inlineStr">
        <is>
          <t>2008: 1437, 2010: 2442, 2011: 3809, 2012: 5134, 2013: 6023, 2014: 5940, 2015: 4329, 2016: 4267, 2017: 5315, 2018: 6017</t>
        </is>
      </c>
      <c r="U175" s="33" t="inlineStr">
        <is>
          <t>HKG</t>
        </is>
      </c>
      <c r="V175" s="34" t="inlineStr">
        <is>
          <t>03998</t>
        </is>
      </c>
      <c r="W175" s="35" t="n">
        <v>1975.0</v>
      </c>
      <c r="X175" s="36" t="inlineStr">
        <is>
          <t/>
        </is>
      </c>
      <c r="Y175" s="37" t="inlineStr">
        <is>
          <t/>
        </is>
      </c>
      <c r="Z175" s="38" t="inlineStr">
        <is>
          <t/>
        </is>
      </c>
      <c r="AA175" s="39" t="n">
        <v>1432.12</v>
      </c>
      <c r="AB175" s="40" t="n">
        <v>670.75</v>
      </c>
      <c r="AC175" s="41" t="n">
        <v>105.83</v>
      </c>
      <c r="AD175" s="42" t="n">
        <v>858.55</v>
      </c>
      <c r="AE175" s="43" t="n">
        <v>175.08</v>
      </c>
      <c r="AF175" s="44" t="inlineStr">
        <is>
          <t>TTM 2Q2019</t>
        </is>
      </c>
      <c r="AG175" s="45" t="n">
        <v>145.19</v>
      </c>
      <c r="AH175" s="46" t="n">
        <v>2601.27</v>
      </c>
      <c r="AI175" s="47" t="n">
        <v>-222.41</v>
      </c>
      <c r="AJ175" s="48" t="inlineStr">
        <is>
          <t>97536-61P</t>
        </is>
      </c>
      <c r="AK175" s="49" t="inlineStr">
        <is>
          <t>Gao Dekang</t>
        </is>
      </c>
      <c r="AL175" s="50" t="inlineStr">
        <is>
          <t>Founder, Chief Executive Officer &amp; Chairman</t>
        </is>
      </c>
      <c r="AM175" s="51" t="inlineStr">
        <is>
          <t>gao.dekang@bosideng.com</t>
        </is>
      </c>
      <c r="AN175" s="52" t="inlineStr">
        <is>
          <t>+86 (0)512 5253 8888</t>
        </is>
      </c>
      <c r="AO175" s="53" t="inlineStr">
        <is>
          <t>Changshu, China</t>
        </is>
      </c>
      <c r="AP175" s="54" t="inlineStr">
        <is>
          <t>Bosideng Industrial Zone</t>
        </is>
      </c>
      <c r="AQ175" s="55" t="inlineStr">
        <is>
          <t/>
        </is>
      </c>
      <c r="AR175" s="56" t="inlineStr">
        <is>
          <t>Changshu</t>
        </is>
      </c>
      <c r="AS175" s="57" t="inlineStr">
        <is>
          <t>Jiangsu</t>
        </is>
      </c>
      <c r="AT175" s="58" t="inlineStr">
        <is>
          <t/>
        </is>
      </c>
      <c r="AU175" s="59" t="inlineStr">
        <is>
          <t>China</t>
        </is>
      </c>
      <c r="AV175" s="60" t="inlineStr">
        <is>
          <t>+86 (0)512 5253 8888</t>
        </is>
      </c>
      <c r="AW175" s="61" t="inlineStr">
        <is>
          <t>+86 (0)512 5253 8039</t>
        </is>
      </c>
      <c r="AX175" s="62" t="inlineStr">
        <is>
          <t>info@bosideng.com</t>
        </is>
      </c>
      <c r="AY175" s="63" t="inlineStr">
        <is>
          <t>Asia</t>
        </is>
      </c>
      <c r="AZ175" s="64" t="inlineStr">
        <is>
          <t>East Asia</t>
        </is>
      </c>
      <c r="BA175" s="65" t="inlineStr">
        <is>
          <t>The company (HKG: 03998) received HKD$ 1.54 billion of development capital from ITOCHU (TKS: 8001) and Gold Stone Investment on April 24, 2015 through a private placement.</t>
        </is>
      </c>
      <c r="BB175" s="66" t="inlineStr">
        <is>
          <t>Gold Stone Investment, HPEF Capital Partners, Itochu</t>
        </is>
      </c>
      <c r="BC175" s="67" t="n">
        <v>3.0</v>
      </c>
      <c r="BD175" s="68" t="inlineStr">
        <is>
          <t/>
        </is>
      </c>
      <c r="BE175" s="69" t="inlineStr">
        <is>
          <t>China Union Holdings, IDG Capital, Jinan Jiahua Shopping Plaza, Multi Glory International</t>
        </is>
      </c>
      <c r="BF175" s="70" t="inlineStr">
        <is>
          <t/>
        </is>
      </c>
      <c r="BG175" s="71" t="inlineStr">
        <is>
          <t>Gold Stone Investment(www.goldstone-investment.com), HPEF Capital Partners(www.headlandcp.com), Itochu(www.itochu.co.jp/en/index.html)</t>
        </is>
      </c>
      <c r="BH175" s="72" t="inlineStr">
        <is>
          <t>China Union Holdings(www.udcgroup.com), IDG Capital(en.idgcapital.com)</t>
        </is>
      </c>
      <c r="BI175" s="73" t="inlineStr">
        <is>
          <t/>
        </is>
      </c>
      <c r="BJ175" s="74" t="inlineStr">
        <is>
          <t>Gordons(Legal Advisor), Hejun Group(Consulting)</t>
        </is>
      </c>
      <c r="BK175" s="75" t="inlineStr">
        <is>
          <t>Chen &amp; Co.(Legal Advisor), Conyers Dill &amp; Pearman(Legal Advisor), Freshfields Bruckhaus Deringer(Legal Advisor), KPMG(Accounting), Morgan Stanley(Underwriter), The Goldman Sachs Group(Underwriter)</t>
        </is>
      </c>
      <c r="BL175" s="76" t="n">
        <v>36096.0</v>
      </c>
      <c r="BM175" s="77" t="inlineStr">
        <is>
          <t/>
        </is>
      </c>
      <c r="BN175" s="78" t="inlineStr">
        <is>
          <t/>
        </is>
      </c>
      <c r="BO175" s="79" t="inlineStr">
        <is>
          <t/>
        </is>
      </c>
      <c r="BP175" s="80" t="inlineStr">
        <is>
          <t/>
        </is>
      </c>
      <c r="BQ175" s="81" t="inlineStr">
        <is>
          <t>Merger/Acquisition</t>
        </is>
      </c>
      <c r="BR175" s="82" t="inlineStr">
        <is>
          <t/>
        </is>
      </c>
      <c r="BS175" s="83" t="inlineStr">
        <is>
          <t/>
        </is>
      </c>
      <c r="BT175" s="84" t="inlineStr">
        <is>
          <t>Corporate</t>
        </is>
      </c>
      <c r="BU175" s="85" t="inlineStr">
        <is>
          <t/>
        </is>
      </c>
      <c r="BV175" s="86" t="inlineStr">
        <is>
          <t/>
        </is>
      </c>
      <c r="BW175" s="87" t="inlineStr">
        <is>
          <t/>
        </is>
      </c>
      <c r="BX175" s="88" t="inlineStr">
        <is>
          <t>Completed</t>
        </is>
      </c>
      <c r="BY175" s="89" t="n">
        <v>42118.0</v>
      </c>
      <c r="BZ175" s="90" t="n">
        <v>199.97</v>
      </c>
      <c r="CA175" s="91" t="inlineStr">
        <is>
          <t>Actual</t>
        </is>
      </c>
      <c r="CB175" s="92" t="n">
        <v>1429.36</v>
      </c>
      <c r="CC175" s="93" t="inlineStr">
        <is>
          <t>Estimated</t>
        </is>
      </c>
      <c r="CD175" s="94" t="inlineStr">
        <is>
          <t>PIPE</t>
        </is>
      </c>
      <c r="CE175" s="95" t="inlineStr">
        <is>
          <t/>
        </is>
      </c>
      <c r="CF175" s="96" t="inlineStr">
        <is>
          <t/>
        </is>
      </c>
      <c r="CG175" s="97" t="inlineStr">
        <is>
          <t>Private Equity</t>
        </is>
      </c>
      <c r="CH175" s="98" t="inlineStr">
        <is>
          <t/>
        </is>
      </c>
      <c r="CI175" s="99" t="inlineStr">
        <is>
          <t/>
        </is>
      </c>
      <c r="CJ175" s="100" t="inlineStr">
        <is>
          <t/>
        </is>
      </c>
      <c r="CK175" s="101" t="inlineStr">
        <is>
          <t>Completed</t>
        </is>
      </c>
      <c r="CL175" s="102" t="inlineStr">
        <is>
          <t/>
        </is>
      </c>
      <c r="CM175" s="103" t="inlineStr">
        <is>
          <t/>
        </is>
      </c>
      <c r="CN175" s="104" t="n">
        <v>0.21</v>
      </c>
      <c r="CO175" s="105" t="n">
        <v>89.0</v>
      </c>
      <c r="CP175" s="106" t="n">
        <v>-0.01</v>
      </c>
      <c r="CQ175" s="107" t="n">
        <v>-4.9</v>
      </c>
      <c r="CR175" s="108" t="n">
        <v>0.0</v>
      </c>
      <c r="CS175" s="109" t="n">
        <v>14.0</v>
      </c>
      <c r="CT175" s="110" t="inlineStr">
        <is>
          <t/>
        </is>
      </c>
      <c r="CU175" s="111" t="inlineStr">
        <is>
          <t/>
        </is>
      </c>
      <c r="CV175" s="112" t="inlineStr">
        <is>
          <t/>
        </is>
      </c>
      <c r="CW175" s="113" t="inlineStr">
        <is>
          <t/>
        </is>
      </c>
      <c r="CX175" s="114" t="n">
        <v>0.0</v>
      </c>
      <c r="CY175" s="115" t="n">
        <v>11.0</v>
      </c>
      <c r="CZ175" s="116" t="inlineStr">
        <is>
          <t/>
        </is>
      </c>
      <c r="DA175" s="117" t="inlineStr">
        <is>
          <t/>
        </is>
      </c>
      <c r="DB175" s="118" t="n">
        <v>63.29</v>
      </c>
      <c r="DC175" s="119" t="n">
        <v>99.0</v>
      </c>
      <c r="DD175" s="120" t="n">
        <v>12.94</v>
      </c>
      <c r="DE175" s="121" t="n">
        <v>25.71</v>
      </c>
      <c r="DF175" s="122" t="n">
        <v>104.29</v>
      </c>
      <c r="DG175" s="123" t="n">
        <v>100.0</v>
      </c>
      <c r="DH175" s="124" t="inlineStr">
        <is>
          <t/>
        </is>
      </c>
      <c r="DI175" s="125" t="inlineStr">
        <is>
          <t/>
        </is>
      </c>
      <c r="DJ175" s="126" t="inlineStr">
        <is>
          <t/>
        </is>
      </c>
      <c r="DK175" s="127" t="inlineStr">
        <is>
          <t/>
        </is>
      </c>
      <c r="DL175" s="128" t="n">
        <v>104.29</v>
      </c>
      <c r="DM175" s="129" t="n">
        <v>99.0</v>
      </c>
      <c r="DN175" s="130" t="inlineStr">
        <is>
          <t/>
        </is>
      </c>
      <c r="DO175" s="131" t="inlineStr">
        <is>
          <t/>
        </is>
      </c>
      <c r="DP175" s="132" t="n">
        <v>72.0</v>
      </c>
      <c r="DQ175" s="133" t="n">
        <v>3.0</v>
      </c>
      <c r="DR175" s="134" t="n">
        <v>4.35</v>
      </c>
      <c r="DS175" s="135" t="n">
        <v>3540.0</v>
      </c>
      <c r="DT175" s="136" t="n">
        <v>17.0</v>
      </c>
      <c r="DU175" s="137" t="n">
        <v>0.48</v>
      </c>
      <c r="DV175" s="138" t="inlineStr">
        <is>
          <t/>
        </is>
      </c>
      <c r="DW175" s="139" t="inlineStr">
        <is>
          <t/>
        </is>
      </c>
      <c r="DX175" s="140" t="inlineStr">
        <is>
          <t/>
        </is>
      </c>
      <c r="DY175" s="141" t="inlineStr">
        <is>
          <t>PitchBook Research</t>
        </is>
      </c>
      <c r="DZ175" s="142" t="n">
        <v>43548.0</v>
      </c>
      <c r="EA175" s="143" t="n">
        <v>1429.36</v>
      </c>
      <c r="EB175" s="144" t="n">
        <v>42118.0</v>
      </c>
      <c r="EC175" s="145" t="inlineStr">
        <is>
          <t>PIPE</t>
        </is>
      </c>
      <c r="ED175" s="547">
        <f>HYPERLINK("https://my.pitchbook.com?c=10941-22", "View company online")</f>
      </c>
    </row>
    <row r="176">
      <c r="A176" s="147" t="inlineStr">
        <is>
          <t>159600-34</t>
        </is>
      </c>
      <c r="B176" s="148" t="inlineStr">
        <is>
          <t>Folli-Follie</t>
        </is>
      </c>
      <c r="C176" s="149" t="inlineStr">
        <is>
          <t/>
        </is>
      </c>
      <c r="D176" s="150" t="inlineStr">
        <is>
          <t/>
        </is>
      </c>
      <c r="E176" s="151" t="inlineStr">
        <is>
          <t>159600-34</t>
        </is>
      </c>
      <c r="F176" s="152" t="inlineStr">
        <is>
          <t>Designer, manufacturer and distributor of jewelry, watches and fashion accessories. The company offers fashion accessories such as handbags, small leather goods, belts, pashminas and sunglasses.</t>
        </is>
      </c>
      <c r="G176" s="153" t="inlineStr">
        <is>
          <t>Consumer Products and Services (B2C)</t>
        </is>
      </c>
      <c r="H176" s="154" t="inlineStr">
        <is>
          <t>Apparel and Accessories</t>
        </is>
      </c>
      <c r="I176" s="155" t="inlineStr">
        <is>
          <t>Luxury Goods</t>
        </is>
      </c>
      <c r="J176" s="156" t="inlineStr">
        <is>
          <t>Luxury Goods*</t>
        </is>
      </c>
      <c r="K176" s="157" t="inlineStr">
        <is>
          <t>Manufacturing</t>
        </is>
      </c>
      <c r="L176" s="158" t="inlineStr">
        <is>
          <t>handbags, luxury accessories, luxury jewelry</t>
        </is>
      </c>
      <c r="M176" s="159" t="inlineStr">
        <is>
          <t>Corporation</t>
        </is>
      </c>
      <c r="N176" s="160" t="inlineStr">
        <is>
          <t/>
        </is>
      </c>
      <c r="O176" s="161" t="inlineStr">
        <is>
          <t/>
        </is>
      </c>
      <c r="P176" s="162" t="inlineStr">
        <is>
          <t>Privately Held (no backing)</t>
        </is>
      </c>
      <c r="Q176" s="163" t="inlineStr">
        <is>
          <t>Publicly Listed</t>
        </is>
      </c>
      <c r="R176" s="164" t="inlineStr">
        <is>
          <t>www.follifollie.com</t>
        </is>
      </c>
      <c r="S176" s="165" t="n">
        <v>5000.0</v>
      </c>
      <c r="T176" s="166" t="inlineStr">
        <is>
          <t>2008: 5913, 2009: 5611, 2010: 5969, 2015: 4800, 2018: 5000</t>
        </is>
      </c>
      <c r="U176" s="167" t="inlineStr">
        <is>
          <t/>
        </is>
      </c>
      <c r="V176" s="168" t="inlineStr">
        <is>
          <t/>
        </is>
      </c>
      <c r="W176" s="169" t="n">
        <v>1982.0</v>
      </c>
      <c r="X176" s="170" t="inlineStr">
        <is>
          <t/>
        </is>
      </c>
      <c r="Y176" s="171" t="inlineStr">
        <is>
          <t/>
        </is>
      </c>
      <c r="Z176" s="172" t="inlineStr">
        <is>
          <t/>
        </is>
      </c>
      <c r="AA176" s="173" t="n">
        <v>1431.6</v>
      </c>
      <c r="AB176" s="174" t="n">
        <v>700.93</v>
      </c>
      <c r="AC176" s="175" t="n">
        <v>123.68</v>
      </c>
      <c r="AD176" s="176" t="inlineStr">
        <is>
          <t/>
        </is>
      </c>
      <c r="AE176" s="177" t="n">
        <v>258.5</v>
      </c>
      <c r="AF176" s="178" t="inlineStr">
        <is>
          <t>TTM 3Q2011</t>
        </is>
      </c>
      <c r="AG176" s="179" t="inlineStr">
        <is>
          <t/>
        </is>
      </c>
      <c r="AH176" s="180" t="inlineStr">
        <is>
          <t/>
        </is>
      </c>
      <c r="AI176" s="181" t="inlineStr">
        <is>
          <t/>
        </is>
      </c>
      <c r="AJ176" s="182" t="inlineStr">
        <is>
          <t/>
        </is>
      </c>
      <c r="AK176" s="183" t="inlineStr">
        <is>
          <t/>
        </is>
      </c>
      <c r="AL176" s="184" t="inlineStr">
        <is>
          <t/>
        </is>
      </c>
      <c r="AM176" s="185" t="inlineStr">
        <is>
          <t/>
        </is>
      </c>
      <c r="AN176" s="186" t="inlineStr">
        <is>
          <t/>
        </is>
      </c>
      <c r="AO176" s="187" t="inlineStr">
        <is>
          <t>Athens, Greece</t>
        </is>
      </c>
      <c r="AP176" s="188" t="inlineStr">
        <is>
          <t>Athens-Lamias National Road, 23 Km</t>
        </is>
      </c>
      <c r="AQ176" s="189" t="inlineStr">
        <is>
          <t>Agios Stefanos</t>
        </is>
      </c>
      <c r="AR176" s="190" t="inlineStr">
        <is>
          <t>Athens</t>
        </is>
      </c>
      <c r="AS176" s="191" t="inlineStr">
        <is>
          <t/>
        </is>
      </c>
      <c r="AT176" s="192" t="inlineStr">
        <is>
          <t>145 65</t>
        </is>
      </c>
      <c r="AU176" s="193" t="inlineStr">
        <is>
          <t>Greece</t>
        </is>
      </c>
      <c r="AV176" s="194" t="inlineStr">
        <is>
          <t>+30 210 624 1000</t>
        </is>
      </c>
      <c r="AW176" s="195" t="inlineStr">
        <is>
          <t>+30 210 624 1100</t>
        </is>
      </c>
      <c r="AX176" s="196" t="inlineStr">
        <is>
          <t>ir@follifollie.gr</t>
        </is>
      </c>
      <c r="AY176" s="197" t="inlineStr">
        <is>
          <t>Europe</t>
        </is>
      </c>
      <c r="AZ176" s="198" t="inlineStr">
        <is>
          <t>Southern Europe</t>
        </is>
      </c>
      <c r="BA176" s="199" t="inlineStr">
        <is>
          <t/>
        </is>
      </c>
      <c r="BB176" s="200" t="inlineStr">
        <is>
          <t/>
        </is>
      </c>
      <c r="BC176" s="201" t="inlineStr">
        <is>
          <t/>
        </is>
      </c>
      <c r="BD176" s="202" t="inlineStr">
        <is>
          <t/>
        </is>
      </c>
      <c r="BE176" s="203" t="inlineStr">
        <is>
          <t/>
        </is>
      </c>
      <c r="BF176" s="204" t="inlineStr">
        <is>
          <t/>
        </is>
      </c>
      <c r="BG176" s="205" t="inlineStr">
        <is>
          <t/>
        </is>
      </c>
      <c r="BH176" s="206" t="inlineStr">
        <is>
          <t/>
        </is>
      </c>
      <c r="BI176" s="207" t="inlineStr">
        <is>
          <t/>
        </is>
      </c>
      <c r="BJ176" s="208" t="inlineStr">
        <is>
          <t/>
        </is>
      </c>
      <c r="BK176" s="209" t="inlineStr">
        <is>
          <t/>
        </is>
      </c>
      <c r="BL176" s="210" t="inlineStr">
        <is>
          <t/>
        </is>
      </c>
      <c r="BM176" s="211" t="inlineStr">
        <is>
          <t/>
        </is>
      </c>
      <c r="BN176" s="212" t="inlineStr">
        <is>
          <t/>
        </is>
      </c>
      <c r="BO176" s="213" t="inlineStr">
        <is>
          <t/>
        </is>
      </c>
      <c r="BP176" s="214" t="inlineStr">
        <is>
          <t/>
        </is>
      </c>
      <c r="BQ176" s="215" t="inlineStr">
        <is>
          <t/>
        </is>
      </c>
      <c r="BR176" s="216" t="inlineStr">
        <is>
          <t/>
        </is>
      </c>
      <c r="BS176" s="217" t="inlineStr">
        <is>
          <t/>
        </is>
      </c>
      <c r="BT176" s="218" t="inlineStr">
        <is>
          <t/>
        </is>
      </c>
      <c r="BU176" s="219" t="inlineStr">
        <is>
          <t/>
        </is>
      </c>
      <c r="BV176" s="220" t="inlineStr">
        <is>
          <t/>
        </is>
      </c>
      <c r="BW176" s="221" t="inlineStr">
        <is>
          <t/>
        </is>
      </c>
      <c r="BX176" s="222" t="inlineStr">
        <is>
          <t/>
        </is>
      </c>
      <c r="BY176" s="223" t="inlineStr">
        <is>
          <t/>
        </is>
      </c>
      <c r="BZ176" s="224" t="inlineStr">
        <is>
          <t/>
        </is>
      </c>
      <c r="CA176" s="225" t="inlineStr">
        <is>
          <t/>
        </is>
      </c>
      <c r="CB176" s="226" t="inlineStr">
        <is>
          <t/>
        </is>
      </c>
      <c r="CC176" s="227" t="inlineStr">
        <is>
          <t/>
        </is>
      </c>
      <c r="CD176" s="228" t="inlineStr">
        <is>
          <t/>
        </is>
      </c>
      <c r="CE176" s="229" t="inlineStr">
        <is>
          <t/>
        </is>
      </c>
      <c r="CF176" s="230" t="inlineStr">
        <is>
          <t/>
        </is>
      </c>
      <c r="CG176" s="231" t="inlineStr">
        <is>
          <t/>
        </is>
      </c>
      <c r="CH176" s="232" t="inlineStr">
        <is>
          <t/>
        </is>
      </c>
      <c r="CI176" s="233" t="inlineStr">
        <is>
          <t/>
        </is>
      </c>
      <c r="CJ176" s="234" t="inlineStr">
        <is>
          <t/>
        </is>
      </c>
      <c r="CK176" s="235" t="inlineStr">
        <is>
          <t/>
        </is>
      </c>
      <c r="CL176" s="236" t="inlineStr">
        <is>
          <t/>
        </is>
      </c>
      <c r="CM176" s="237" t="inlineStr">
        <is>
          <t/>
        </is>
      </c>
      <c r="CN176" s="238" t="n">
        <v>-2.45</v>
      </c>
      <c r="CO176" s="239" t="n">
        <v>2.0</v>
      </c>
      <c r="CP176" s="240" t="n">
        <v>0.0</v>
      </c>
      <c r="CQ176" s="241" t="n">
        <v>-0.06</v>
      </c>
      <c r="CR176" s="242" t="n">
        <v>-7.36</v>
      </c>
      <c r="CS176" s="243" t="n">
        <v>1.0</v>
      </c>
      <c r="CT176" s="244" t="n">
        <v>0.0</v>
      </c>
      <c r="CU176" s="245" t="n">
        <v>27.0</v>
      </c>
      <c r="CV176" s="246" t="n">
        <v>-7.36</v>
      </c>
      <c r="CW176" s="247" t="n">
        <v>4.0</v>
      </c>
      <c r="CX176" s="248" t="inlineStr">
        <is>
          <t/>
        </is>
      </c>
      <c r="CY176" s="249" t="inlineStr">
        <is>
          <t/>
        </is>
      </c>
      <c r="CZ176" s="250" t="n">
        <v>0.0</v>
      </c>
      <c r="DA176" s="251" t="n">
        <v>28.0</v>
      </c>
      <c r="DB176" s="252" t="n">
        <v>9.31</v>
      </c>
      <c r="DC176" s="253" t="n">
        <v>89.0</v>
      </c>
      <c r="DD176" s="254" t="n">
        <v>0.04</v>
      </c>
      <c r="DE176" s="255" t="n">
        <v>0.4</v>
      </c>
      <c r="DF176" s="256" t="n">
        <v>1.37</v>
      </c>
      <c r="DG176" s="257" t="n">
        <v>59.0</v>
      </c>
      <c r="DH176" s="258" t="n">
        <v>8.04</v>
      </c>
      <c r="DI176" s="259" t="n">
        <v>84.0</v>
      </c>
      <c r="DJ176" s="260" t="n">
        <v>1.37</v>
      </c>
      <c r="DK176" s="261" t="n">
        <v>57.0</v>
      </c>
      <c r="DL176" s="262" t="inlineStr">
        <is>
          <t/>
        </is>
      </c>
      <c r="DM176" s="263" t="inlineStr">
        <is>
          <t/>
        </is>
      </c>
      <c r="DN176" s="264" t="n">
        <v>8.04</v>
      </c>
      <c r="DO176" s="265" t="n">
        <v>85.0</v>
      </c>
      <c r="DP176" s="266" t="n">
        <v>982.0</v>
      </c>
      <c r="DQ176" s="267" t="n">
        <v>-57.0</v>
      </c>
      <c r="DR176" s="268" t="n">
        <v>-5.49</v>
      </c>
      <c r="DS176" s="269" t="inlineStr">
        <is>
          <t/>
        </is>
      </c>
      <c r="DT176" s="270" t="inlineStr">
        <is>
          <t/>
        </is>
      </c>
      <c r="DU176" s="271" t="inlineStr">
        <is>
          <t/>
        </is>
      </c>
      <c r="DV176" s="272" t="n">
        <v>2887.0</v>
      </c>
      <c r="DW176" s="273" t="n">
        <v>-1.0</v>
      </c>
      <c r="DX176" s="274" t="n">
        <v>-0.03</v>
      </c>
      <c r="DY176" s="275" t="inlineStr">
        <is>
          <t>PitchBook Research</t>
        </is>
      </c>
      <c r="DZ176" s="276" t="n">
        <v>43397.0</v>
      </c>
      <c r="EA176" s="277" t="inlineStr">
        <is>
          <t/>
        </is>
      </c>
      <c r="EB176" s="278" t="inlineStr">
        <is>
          <t/>
        </is>
      </c>
      <c r="EC176" s="279" t="inlineStr">
        <is>
          <t/>
        </is>
      </c>
      <c r="ED176" s="548">
        <f>HYPERLINK("https://my.pitchbook.com?c=159600-34", "View company online")</f>
      </c>
    </row>
    <row r="177">
      <c r="A177" s="13" t="inlineStr">
        <is>
          <t>11007-19</t>
        </is>
      </c>
      <c r="B177" s="14" t="inlineStr">
        <is>
          <t>Russell Athletic</t>
        </is>
      </c>
      <c r="C177" s="15" t="inlineStr">
        <is>
          <t>Russell Brands, Russell Corp</t>
        </is>
      </c>
      <c r="D177" s="16" t="inlineStr">
        <is>
          <t>Russell</t>
        </is>
      </c>
      <c r="E177" s="17" t="inlineStr">
        <is>
          <t>11007-19</t>
        </is>
      </c>
      <c r="F177" s="18" t="inlineStr">
        <is>
          <t>Manufacturer of athletic apparel. The company manufactures and markets athletic apparel, footwear and sporting goods under brand names including Russell Athletic, Jerzees, Spalding, Brooks, and Huffy Sports. It distributes its products through multiple sales channels including mass merchants, sporting goods stores, and screen-printing shops that customize basic apparel.</t>
        </is>
      </c>
      <c r="G177" s="19" t="inlineStr">
        <is>
          <t>Consumer Products and Services (B2C)</t>
        </is>
      </c>
      <c r="H177" s="20" t="inlineStr">
        <is>
          <t>Apparel and Accessories</t>
        </is>
      </c>
      <c r="I177" s="21" t="inlineStr">
        <is>
          <t>Clothing</t>
        </is>
      </c>
      <c r="J177" s="22" t="inlineStr">
        <is>
          <t>Clothing*, Footwear, Recreational Goods</t>
        </is>
      </c>
      <c r="K177" s="23" t="inlineStr">
        <is>
          <t>Manufacturing</t>
        </is>
      </c>
      <c r="L177" s="24" t="inlineStr">
        <is>
          <t>athletic apparel, sales channel, sporting goods producer</t>
        </is>
      </c>
      <c r="M177" s="25" t="inlineStr">
        <is>
          <t>Corporate Backed or Acquired</t>
        </is>
      </c>
      <c r="N177" s="26" t="inlineStr">
        <is>
          <t/>
        </is>
      </c>
      <c r="O177" s="27" t="inlineStr">
        <is>
          <t>Profitable</t>
        </is>
      </c>
      <c r="P177" s="28" t="inlineStr">
        <is>
          <t>Acquired/Merged (Operating Subsidiary)</t>
        </is>
      </c>
      <c r="Q177" s="29" t="inlineStr">
        <is>
          <t>M&amp;A, Publicly Listed</t>
        </is>
      </c>
      <c r="R177" s="30" t="inlineStr">
        <is>
          <t/>
        </is>
      </c>
      <c r="S177" s="31" t="n">
        <v>15500.0</v>
      </c>
      <c r="T177" s="32" t="inlineStr">
        <is>
          <t>1989: 13580, 1990: 13580, 1991: 14976, 1992: 16594, 1993: 16640, 1994: 16771, 1995: 17766, 1996: 17843, 1997: 17759, 1998: 15737, 2000: 16645, 2001: 13130, 2002: 13915, 2004: 13644, 2005: 15500, 2015: 15500</t>
        </is>
      </c>
      <c r="U177" s="33" t="inlineStr">
        <is>
          <t/>
        </is>
      </c>
      <c r="V177" s="34" t="inlineStr">
        <is>
          <t/>
        </is>
      </c>
      <c r="W177" s="35" t="n">
        <v>1902.0</v>
      </c>
      <c r="X177" s="36" t="inlineStr">
        <is>
          <t>Berkshire Hathaway</t>
        </is>
      </c>
      <c r="Y177" s="37" t="inlineStr">
        <is>
          <t/>
        </is>
      </c>
      <c r="Z177" s="38" t="inlineStr">
        <is>
          <t/>
        </is>
      </c>
      <c r="AA177" s="39" t="n">
        <v>1431.55</v>
      </c>
      <c r="AB177" s="40" t="n">
        <v>379.15</v>
      </c>
      <c r="AC177" s="41" t="n">
        <v>25.23</v>
      </c>
      <c r="AD177" s="42" t="n">
        <v>909.96</v>
      </c>
      <c r="AE177" s="43" t="n">
        <v>85.92</v>
      </c>
      <c r="AF177" s="44" t="inlineStr">
        <is>
          <t>TTM 1Q2006</t>
        </is>
      </c>
      <c r="AG177" s="45" t="inlineStr">
        <is>
          <t/>
        </is>
      </c>
      <c r="AH177" s="46" t="inlineStr">
        <is>
          <t/>
        </is>
      </c>
      <c r="AI177" s="47" t="inlineStr">
        <is>
          <t/>
        </is>
      </c>
      <c r="AJ177" s="48" t="inlineStr">
        <is>
          <t/>
        </is>
      </c>
      <c r="AK177" s="49" t="inlineStr">
        <is>
          <t/>
        </is>
      </c>
      <c r="AL177" s="50" t="inlineStr">
        <is>
          <t/>
        </is>
      </c>
      <c r="AM177" s="51" t="inlineStr">
        <is>
          <t/>
        </is>
      </c>
      <c r="AN177" s="52" t="inlineStr">
        <is>
          <t/>
        </is>
      </c>
      <c r="AO177" s="53" t="inlineStr">
        <is>
          <t>Bowling Green, KY</t>
        </is>
      </c>
      <c r="AP177" s="54" t="inlineStr">
        <is>
          <t>PO Box 90015</t>
        </is>
      </c>
      <c r="AQ177" s="55" t="inlineStr">
        <is>
          <t/>
        </is>
      </c>
      <c r="AR177" s="56" t="inlineStr">
        <is>
          <t>Bowling Green</t>
        </is>
      </c>
      <c r="AS177" s="57" t="inlineStr">
        <is>
          <t>Kentucky</t>
        </is>
      </c>
      <c r="AT177" s="58" t="inlineStr">
        <is>
          <t>42102</t>
        </is>
      </c>
      <c r="AU177" s="59" t="inlineStr">
        <is>
          <t>United States</t>
        </is>
      </c>
      <c r="AV177" s="60" t="inlineStr">
        <is>
          <t>+1 (877) 879-8410</t>
        </is>
      </c>
      <c r="AW177" s="61" t="inlineStr">
        <is>
          <t/>
        </is>
      </c>
      <c r="AX177" s="62" t="inlineStr">
        <is>
          <t/>
        </is>
      </c>
      <c r="AY177" s="63" t="inlineStr">
        <is>
          <t>Americas</t>
        </is>
      </c>
      <c r="AZ177" s="64" t="inlineStr">
        <is>
          <t>North America</t>
        </is>
      </c>
      <c r="BA177" s="65" t="inlineStr">
        <is>
          <t>The company was acquired by Berkshire Hathaway (NYSE: BRK.A) for $600 million on August 2, 2006. The company is no longer actively tracked by PitchBook.</t>
        </is>
      </c>
      <c r="BB177" s="66" t="inlineStr">
        <is>
          <t/>
        </is>
      </c>
      <c r="BC177" s="67" t="inlineStr">
        <is>
          <t/>
        </is>
      </c>
      <c r="BD177" s="68" t="inlineStr">
        <is>
          <t>Berkshire Hathaway</t>
        </is>
      </c>
      <c r="BE177" s="69" t="inlineStr">
        <is>
          <t/>
        </is>
      </c>
      <c r="BF177" s="70" t="inlineStr">
        <is>
          <t/>
        </is>
      </c>
      <c r="BG177" s="71" t="inlineStr">
        <is>
          <t/>
        </is>
      </c>
      <c r="BH177" s="72" t="inlineStr">
        <is>
          <t/>
        </is>
      </c>
      <c r="BI177" s="73" t="inlineStr">
        <is>
          <t/>
        </is>
      </c>
      <c r="BJ177" s="74" t="inlineStr">
        <is>
          <t/>
        </is>
      </c>
      <c r="BK177" s="75" t="inlineStr">
        <is>
          <t>Skadden, Arps, Slate, Meagher &amp; Flom(Legal Advisor), The Goldman Sachs Group(Advisor: General)</t>
        </is>
      </c>
      <c r="BL177" s="76" t="n">
        <v>23012.0</v>
      </c>
      <c r="BM177" s="77" t="inlineStr">
        <is>
          <t/>
        </is>
      </c>
      <c r="BN177" s="78" t="inlineStr">
        <is>
          <t/>
        </is>
      </c>
      <c r="BO177" s="79" t="inlineStr">
        <is>
          <t/>
        </is>
      </c>
      <c r="BP177" s="80" t="inlineStr">
        <is>
          <t/>
        </is>
      </c>
      <c r="BQ177" s="81" t="inlineStr">
        <is>
          <t>IPO</t>
        </is>
      </c>
      <c r="BR177" s="82" t="inlineStr">
        <is>
          <t/>
        </is>
      </c>
      <c r="BS177" s="83" t="inlineStr">
        <is>
          <t/>
        </is>
      </c>
      <c r="BT177" s="84" t="inlineStr">
        <is>
          <t>Public Investment</t>
        </is>
      </c>
      <c r="BU177" s="85" t="inlineStr">
        <is>
          <t/>
        </is>
      </c>
      <c r="BV177" s="86" t="inlineStr">
        <is>
          <t/>
        </is>
      </c>
      <c r="BW177" s="87" t="inlineStr">
        <is>
          <t/>
        </is>
      </c>
      <c r="BX177" s="88" t="inlineStr">
        <is>
          <t>Completed</t>
        </is>
      </c>
      <c r="BY177" s="89" t="n">
        <v>38931.0</v>
      </c>
      <c r="BZ177" s="90" t="n">
        <v>600.0</v>
      </c>
      <c r="CA177" s="91" t="inlineStr">
        <is>
          <t>Estimated</t>
        </is>
      </c>
      <c r="CB177" s="92" t="n">
        <v>600.0</v>
      </c>
      <c r="CC177" s="93" t="inlineStr">
        <is>
          <t>Estimated</t>
        </is>
      </c>
      <c r="CD177" s="94" t="inlineStr">
        <is>
          <t>Merger/Acquisition</t>
        </is>
      </c>
      <c r="CE177" s="95" t="inlineStr">
        <is>
          <t/>
        </is>
      </c>
      <c r="CF177" s="96" t="inlineStr">
        <is>
          <t/>
        </is>
      </c>
      <c r="CG177" s="97" t="inlineStr">
        <is>
          <t>Corporate</t>
        </is>
      </c>
      <c r="CH177" s="98" t="inlineStr">
        <is>
          <t/>
        </is>
      </c>
      <c r="CI177" s="99" t="inlineStr">
        <is>
          <t/>
        </is>
      </c>
      <c r="CJ177" s="100" t="inlineStr">
        <is>
          <t/>
        </is>
      </c>
      <c r="CK177" s="101" t="inlineStr">
        <is>
          <t>Completed</t>
        </is>
      </c>
      <c r="CL177" s="102" t="inlineStr">
        <is>
          <t/>
        </is>
      </c>
      <c r="CM177" s="103" t="inlineStr">
        <is>
          <t/>
        </is>
      </c>
      <c r="CN177" s="104" t="n">
        <v>-0.03</v>
      </c>
      <c r="CO177" s="105" t="n">
        <v>15.0</v>
      </c>
      <c r="CP177" s="106" t="n">
        <v>0.0</v>
      </c>
      <c r="CQ177" s="107" t="n">
        <v>-0.1</v>
      </c>
      <c r="CR177" s="108" t="n">
        <v>0.0</v>
      </c>
      <c r="CS177" s="109" t="n">
        <v>14.0</v>
      </c>
      <c r="CT177" s="110" t="n">
        <v>-0.06</v>
      </c>
      <c r="CU177" s="111" t="n">
        <v>13.0</v>
      </c>
      <c r="CV177" s="112" t="inlineStr">
        <is>
          <t/>
        </is>
      </c>
      <c r="CW177" s="113" t="inlineStr">
        <is>
          <t/>
        </is>
      </c>
      <c r="CX177" s="114" t="n">
        <v>0.0</v>
      </c>
      <c r="CY177" s="115" t="n">
        <v>11.0</v>
      </c>
      <c r="CZ177" s="116" t="n">
        <v>-0.06</v>
      </c>
      <c r="DA177" s="117" t="n">
        <v>16.0</v>
      </c>
      <c r="DB177" s="118" t="n">
        <v>25.4</v>
      </c>
      <c r="DC177" s="119" t="n">
        <v>96.0</v>
      </c>
      <c r="DD177" s="120" t="n">
        <v>0.3</v>
      </c>
      <c r="DE177" s="121" t="n">
        <v>1.18</v>
      </c>
      <c r="DF177" s="122" t="n">
        <v>1.35</v>
      </c>
      <c r="DG177" s="123" t="n">
        <v>58.0</v>
      </c>
      <c r="DH177" s="124" t="n">
        <v>49.44</v>
      </c>
      <c r="DI177" s="125" t="n">
        <v>95.0</v>
      </c>
      <c r="DJ177" s="126" t="inlineStr">
        <is>
          <t/>
        </is>
      </c>
      <c r="DK177" s="127" t="inlineStr">
        <is>
          <t/>
        </is>
      </c>
      <c r="DL177" s="128" t="n">
        <v>1.35</v>
      </c>
      <c r="DM177" s="129" t="n">
        <v>57.0</v>
      </c>
      <c r="DN177" s="130" t="n">
        <v>49.44</v>
      </c>
      <c r="DO177" s="131" t="n">
        <v>96.0</v>
      </c>
      <c r="DP177" s="132" t="n">
        <v>92.0</v>
      </c>
      <c r="DQ177" s="133" t="n">
        <v>16.0</v>
      </c>
      <c r="DR177" s="134" t="n">
        <v>21.05</v>
      </c>
      <c r="DS177" s="135" t="n">
        <v>45.0</v>
      </c>
      <c r="DT177" s="136" t="n">
        <v>1.0</v>
      </c>
      <c r="DU177" s="137" t="n">
        <v>2.27</v>
      </c>
      <c r="DV177" s="138" t="n">
        <v>17755.0</v>
      </c>
      <c r="DW177" s="139" t="n">
        <v>-17.0</v>
      </c>
      <c r="DX177" s="140" t="n">
        <v>-0.1</v>
      </c>
      <c r="DY177" s="141" t="inlineStr">
        <is>
          <t>PitchBook Research</t>
        </is>
      </c>
      <c r="DZ177" s="142" t="n">
        <v>43351.0</v>
      </c>
      <c r="EA177" s="143" t="n">
        <v>600.0</v>
      </c>
      <c r="EB177" s="144" t="n">
        <v>38931.0</v>
      </c>
      <c r="EC177" s="145" t="inlineStr">
        <is>
          <t>Merger/Acquisition</t>
        </is>
      </c>
      <c r="ED177" s="547">
        <f>HYPERLINK("https://my.pitchbook.com?c=11007-19", "View company online")</f>
      </c>
    </row>
    <row r="178">
      <c r="A178" s="147" t="inlineStr">
        <is>
          <t>98715-88</t>
        </is>
      </c>
      <c r="B178" s="148" t="inlineStr">
        <is>
          <t>Etam Développement</t>
        </is>
      </c>
      <c r="C178" s="149" t="inlineStr">
        <is>
          <t/>
        </is>
      </c>
      <c r="D178" s="150" t="inlineStr">
        <is>
          <t>Etam, Etam Groupe</t>
        </is>
      </c>
      <c r="E178" s="151" t="inlineStr">
        <is>
          <t>98715-88</t>
        </is>
      </c>
      <c r="F178" s="152" t="inlineStr">
        <is>
          <t>Designer and manufacturer of women's clothing. The company's women's clothing include formal wear, casual wear, lingerie, nightwear, beachwear and accessories, enabling women to choose their choice of products.</t>
        </is>
      </c>
      <c r="G178" s="153" t="inlineStr">
        <is>
          <t>Consumer Products and Services (B2C)</t>
        </is>
      </c>
      <c r="H178" s="154" t="inlineStr">
        <is>
          <t>Apparel and Accessories</t>
        </is>
      </c>
      <c r="I178" s="155" t="inlineStr">
        <is>
          <t>Clothing</t>
        </is>
      </c>
      <c r="J178" s="156" t="inlineStr">
        <is>
          <t>Accessories, Clothing*</t>
        </is>
      </c>
      <c r="K178" s="157" t="inlineStr">
        <is>
          <t>Manufacturing</t>
        </is>
      </c>
      <c r="L178" s="158" t="inlineStr">
        <is>
          <t>beachwear, casual wear, formal wear, lingerie, women's cloth</t>
        </is>
      </c>
      <c r="M178" s="159" t="inlineStr">
        <is>
          <t>Formerly PE-Backed</t>
        </is>
      </c>
      <c r="N178" s="160" t="n">
        <v>12.54</v>
      </c>
      <c r="O178" s="161" t="inlineStr">
        <is>
          <t>Profitable</t>
        </is>
      </c>
      <c r="P178" s="162" t="inlineStr">
        <is>
          <t>Acquired/Merged (Operating Subsidiary)</t>
        </is>
      </c>
      <c r="Q178" s="163" t="inlineStr">
        <is>
          <t>M&amp;A, Private Equity, Publicly Listed</t>
        </is>
      </c>
      <c r="R178" s="164" t="inlineStr">
        <is>
          <t>www.etamdeveloppement.com</t>
        </is>
      </c>
      <c r="S178" s="165" t="n">
        <v>12544.0</v>
      </c>
      <c r="T178" s="166" t="inlineStr">
        <is>
          <t>2008: 17706, 2009: 18126, 2010: 19890, 2012: 20758, 2013: 35895, 2015: 14509, 2016: 12544</t>
        </is>
      </c>
      <c r="U178" s="167" t="inlineStr">
        <is>
          <t/>
        </is>
      </c>
      <c r="V178" s="168" t="inlineStr">
        <is>
          <t/>
        </is>
      </c>
      <c r="W178" s="169" t="n">
        <v>1915.0</v>
      </c>
      <c r="X178" s="170" t="inlineStr">
        <is>
          <t>Finora</t>
        </is>
      </c>
      <c r="Y178" s="171" t="inlineStr">
        <is>
          <t/>
        </is>
      </c>
      <c r="Z178" s="172" t="inlineStr">
        <is>
          <t/>
        </is>
      </c>
      <c r="AA178" s="173" t="n">
        <v>1429.29</v>
      </c>
      <c r="AB178" s="174" t="n">
        <v>832.72</v>
      </c>
      <c r="AC178" s="175" t="n">
        <v>25.27</v>
      </c>
      <c r="AD178" s="176" t="inlineStr">
        <is>
          <t/>
        </is>
      </c>
      <c r="AE178" s="177" t="n">
        <v>93.07</v>
      </c>
      <c r="AF178" s="178" t="inlineStr">
        <is>
          <t>FY 2016</t>
        </is>
      </c>
      <c r="AG178" s="179" t="inlineStr">
        <is>
          <t/>
        </is>
      </c>
      <c r="AH178" s="180" t="inlineStr">
        <is>
          <t/>
        </is>
      </c>
      <c r="AI178" s="181" t="inlineStr">
        <is>
          <t/>
        </is>
      </c>
      <c r="AJ178" s="182" t="inlineStr">
        <is>
          <t>82570-15P</t>
        </is>
      </c>
      <c r="AK178" s="183" t="inlineStr">
        <is>
          <t>Laurent Milchior</t>
        </is>
      </c>
      <c r="AL178" s="184" t="inlineStr">
        <is>
          <t>President</t>
        </is>
      </c>
      <c r="AM178" s="185" t="inlineStr">
        <is>
          <t>laurent.milchior@etam.fr</t>
        </is>
      </c>
      <c r="AN178" s="186" t="inlineStr">
        <is>
          <t>+33 (0)1 55 90 70 70</t>
        </is>
      </c>
      <c r="AO178" s="187" t="inlineStr">
        <is>
          <t>Paris, France</t>
        </is>
      </c>
      <c r="AP178" s="188" t="inlineStr">
        <is>
          <t>78, rue de Rivoli</t>
        </is>
      </c>
      <c r="AQ178" s="189" t="inlineStr">
        <is>
          <t/>
        </is>
      </c>
      <c r="AR178" s="190" t="inlineStr">
        <is>
          <t>Paris</t>
        </is>
      </c>
      <c r="AS178" s="191" t="inlineStr">
        <is>
          <t/>
        </is>
      </c>
      <c r="AT178" s="192" t="inlineStr">
        <is>
          <t>75004</t>
        </is>
      </c>
      <c r="AU178" s="193" t="inlineStr">
        <is>
          <t>France</t>
        </is>
      </c>
      <c r="AV178" s="194" t="inlineStr">
        <is>
          <t>+33 (0)1 55 90 70 70</t>
        </is>
      </c>
      <c r="AW178" s="195" t="inlineStr">
        <is>
          <t/>
        </is>
      </c>
      <c r="AX178" s="196" t="inlineStr">
        <is>
          <t/>
        </is>
      </c>
      <c r="AY178" s="197" t="inlineStr">
        <is>
          <t>Europe</t>
        </is>
      </c>
      <c r="AZ178" s="198" t="inlineStr">
        <is>
          <t>Western Europe</t>
        </is>
      </c>
      <c r="BA178" s="199" t="inlineStr">
        <is>
          <t>The company (PAR: TAM) was acquired by Finora and Milchior, Tarica and Lindemann families at a valuation of EUR 354.48 million on August 7, 2017.</t>
        </is>
      </c>
      <c r="BB178" s="200" t="inlineStr">
        <is>
          <t/>
        </is>
      </c>
      <c r="BC178" s="201" t="inlineStr">
        <is>
          <t/>
        </is>
      </c>
      <c r="BD178" s="202" t="inlineStr">
        <is>
          <t>Finora</t>
        </is>
      </c>
      <c r="BE178" s="203" t="inlineStr">
        <is>
          <t>CITA Investissement, Fitema Participations</t>
        </is>
      </c>
      <c r="BF178" s="204" t="inlineStr">
        <is>
          <t/>
        </is>
      </c>
      <c r="BG178" s="205" t="inlineStr">
        <is>
          <t/>
        </is>
      </c>
      <c r="BH178" s="206" t="inlineStr">
        <is>
          <t>CITA Investissement(www.cita-invest.com)</t>
        </is>
      </c>
      <c r="BI178" s="207" t="inlineStr">
        <is>
          <t/>
        </is>
      </c>
      <c r="BJ178" s="208" t="inlineStr">
        <is>
          <t/>
        </is>
      </c>
      <c r="BK178" s="209" t="inlineStr">
        <is>
          <t/>
        </is>
      </c>
      <c r="BL178" s="210" t="n">
        <v>35065.0</v>
      </c>
      <c r="BM178" s="211" t="inlineStr">
        <is>
          <t/>
        </is>
      </c>
      <c r="BN178" s="212" t="inlineStr">
        <is>
          <t/>
        </is>
      </c>
      <c r="BO178" s="213" t="inlineStr">
        <is>
          <t/>
        </is>
      </c>
      <c r="BP178" s="214" t="inlineStr">
        <is>
          <t/>
        </is>
      </c>
      <c r="BQ178" s="215" t="inlineStr">
        <is>
          <t>PE Growth/Expansion</t>
        </is>
      </c>
      <c r="BR178" s="216" t="inlineStr">
        <is>
          <t/>
        </is>
      </c>
      <c r="BS178" s="217" t="inlineStr">
        <is>
          <t/>
        </is>
      </c>
      <c r="BT178" s="218" t="inlineStr">
        <is>
          <t>Private Equity</t>
        </is>
      </c>
      <c r="BU178" s="219" t="inlineStr">
        <is>
          <t/>
        </is>
      </c>
      <c r="BV178" s="220" t="inlineStr">
        <is>
          <t/>
        </is>
      </c>
      <c r="BW178" s="221" t="inlineStr">
        <is>
          <t/>
        </is>
      </c>
      <c r="BX178" s="222" t="inlineStr">
        <is>
          <t>Completed</t>
        </is>
      </c>
      <c r="BY178" s="223" t="n">
        <v>42954.0</v>
      </c>
      <c r="BZ178" s="224" t="inlineStr">
        <is>
          <t/>
        </is>
      </c>
      <c r="CA178" s="225" t="inlineStr">
        <is>
          <t/>
        </is>
      </c>
      <c r="CB178" s="226" t="n">
        <v>418.72</v>
      </c>
      <c r="CC178" s="227" t="inlineStr">
        <is>
          <t>Estimated</t>
        </is>
      </c>
      <c r="CD178" s="228" t="inlineStr">
        <is>
          <t>Merger/Acquisition</t>
        </is>
      </c>
      <c r="CE178" s="229" t="inlineStr">
        <is>
          <t>Public to Private</t>
        </is>
      </c>
      <c r="CF178" s="230" t="inlineStr">
        <is>
          <t/>
        </is>
      </c>
      <c r="CG178" s="231" t="inlineStr">
        <is>
          <t>Corporate</t>
        </is>
      </c>
      <c r="CH178" s="232" t="inlineStr">
        <is>
          <t/>
        </is>
      </c>
      <c r="CI178" s="233" t="inlineStr">
        <is>
          <t/>
        </is>
      </c>
      <c r="CJ178" s="234" t="inlineStr">
        <is>
          <t/>
        </is>
      </c>
      <c r="CK178" s="235" t="inlineStr">
        <is>
          <t>Completed</t>
        </is>
      </c>
      <c r="CL178" s="236" t="inlineStr">
        <is>
          <t/>
        </is>
      </c>
      <c r="CM178" s="237" t="inlineStr">
        <is>
          <t/>
        </is>
      </c>
      <c r="CN178" s="238" t="inlineStr">
        <is>
          <t/>
        </is>
      </c>
      <c r="CO178" s="239" t="inlineStr">
        <is>
          <t/>
        </is>
      </c>
      <c r="CP178" s="240" t="inlineStr">
        <is>
          <t/>
        </is>
      </c>
      <c r="CQ178" s="241" t="inlineStr">
        <is>
          <t/>
        </is>
      </c>
      <c r="CR178" s="242" t="inlineStr">
        <is>
          <t/>
        </is>
      </c>
      <c r="CS178" s="243" t="inlineStr">
        <is>
          <t/>
        </is>
      </c>
      <c r="CT178" s="244" t="inlineStr">
        <is>
          <t/>
        </is>
      </c>
      <c r="CU178" s="245" t="inlineStr">
        <is>
          <t/>
        </is>
      </c>
      <c r="CV178" s="246" t="inlineStr">
        <is>
          <t/>
        </is>
      </c>
      <c r="CW178" s="247" t="inlineStr">
        <is>
          <t/>
        </is>
      </c>
      <c r="CX178" s="248" t="inlineStr">
        <is>
          <t/>
        </is>
      </c>
      <c r="CY178" s="249" t="inlineStr">
        <is>
          <t/>
        </is>
      </c>
      <c r="CZ178" s="250" t="inlineStr">
        <is>
          <t/>
        </is>
      </c>
      <c r="DA178" s="251" t="inlineStr">
        <is>
          <t/>
        </is>
      </c>
      <c r="DB178" s="252" t="inlineStr">
        <is>
          <t/>
        </is>
      </c>
      <c r="DC178" s="253" t="inlineStr">
        <is>
          <t/>
        </is>
      </c>
      <c r="DD178" s="254" t="inlineStr">
        <is>
          <t/>
        </is>
      </c>
      <c r="DE178" s="255" t="inlineStr">
        <is>
          <t/>
        </is>
      </c>
      <c r="DF178" s="256" t="inlineStr">
        <is>
          <t/>
        </is>
      </c>
      <c r="DG178" s="257" t="inlineStr">
        <is>
          <t/>
        </is>
      </c>
      <c r="DH178" s="258" t="inlineStr">
        <is>
          <t/>
        </is>
      </c>
      <c r="DI178" s="259" t="inlineStr">
        <is>
          <t/>
        </is>
      </c>
      <c r="DJ178" s="260" t="inlineStr">
        <is>
          <t/>
        </is>
      </c>
      <c r="DK178" s="261" t="inlineStr">
        <is>
          <t/>
        </is>
      </c>
      <c r="DL178" s="262" t="inlineStr">
        <is>
          <t/>
        </is>
      </c>
      <c r="DM178" s="263" t="inlineStr">
        <is>
          <t/>
        </is>
      </c>
      <c r="DN178" s="264" t="inlineStr">
        <is>
          <t/>
        </is>
      </c>
      <c r="DO178" s="265" t="inlineStr">
        <is>
          <t/>
        </is>
      </c>
      <c r="DP178" s="266" t="inlineStr">
        <is>
          <t/>
        </is>
      </c>
      <c r="DQ178" s="267" t="inlineStr">
        <is>
          <t/>
        </is>
      </c>
      <c r="DR178" s="268" t="inlineStr">
        <is>
          <t/>
        </is>
      </c>
      <c r="DS178" s="269" t="inlineStr">
        <is>
          <t/>
        </is>
      </c>
      <c r="DT178" s="270" t="inlineStr">
        <is>
          <t/>
        </is>
      </c>
      <c r="DU178" s="271" t="inlineStr">
        <is>
          <t/>
        </is>
      </c>
      <c r="DV178" s="272" t="inlineStr">
        <is>
          <t/>
        </is>
      </c>
      <c r="DW178" s="273" t="inlineStr">
        <is>
          <t/>
        </is>
      </c>
      <c r="DX178" s="274" t="inlineStr">
        <is>
          <t/>
        </is>
      </c>
      <c r="DY178" s="275" t="inlineStr">
        <is>
          <t>PitchBook Research</t>
        </is>
      </c>
      <c r="DZ178" s="276" t="n">
        <v>43448.0</v>
      </c>
      <c r="EA178" s="277" t="n">
        <v>418.72</v>
      </c>
      <c r="EB178" s="278" t="n">
        <v>42954.0</v>
      </c>
      <c r="EC178" s="279" t="inlineStr">
        <is>
          <t>Merger/Acquisition</t>
        </is>
      </c>
      <c r="ED178" s="548">
        <f>HYPERLINK("https://my.pitchbook.com?c=98715-88", "View company online")</f>
      </c>
    </row>
    <row r="179">
      <c r="A179" s="13" t="inlineStr">
        <is>
          <t>63588-25</t>
        </is>
      </c>
      <c r="B179" s="14" t="inlineStr">
        <is>
          <t>TSI Holdings (TKS: 3608)</t>
        </is>
      </c>
      <c r="C179" s="15" t="inlineStr">
        <is>
          <t/>
        </is>
      </c>
      <c r="D179" s="16" t="inlineStr">
        <is>
          <t/>
        </is>
      </c>
      <c r="E179" s="17" t="inlineStr">
        <is>
          <t>63588-25</t>
        </is>
      </c>
      <c r="F179" s="18" t="inlineStr">
        <is>
          <t>TSI Holdings Co Ltd is an apparel manufacturer that owns and licenses dozens of brands that it sells through department stores, other retail stores and shopping centers, and e-commerce channels. More than 90% of the company's sales are in Japan, with the remainder coming from China and other parts of Asia. TSI's highest selling brands, which collectively account for more than half of the company's total revenue, include nano, Natural Beauty Basic, Margaret Howell, Pearly Gates, Rose Bud, Stussy, Proportion Body Dressing, Free's Mart, Human Woman, and Callaway Apparel.</t>
        </is>
      </c>
      <c r="G179" s="19" t="inlineStr">
        <is>
          <t>Consumer Products and Services (B2C)</t>
        </is>
      </c>
      <c r="H179" s="20" t="inlineStr">
        <is>
          <t>Apparel and Accessories</t>
        </is>
      </c>
      <c r="I179" s="21" t="inlineStr">
        <is>
          <t>Clothing</t>
        </is>
      </c>
      <c r="J179" s="22" t="inlineStr">
        <is>
          <t>Clothing*</t>
        </is>
      </c>
      <c r="K179" s="23" t="inlineStr">
        <is>
          <t>Manufacturing</t>
        </is>
      </c>
      <c r="L179" s="24" t="inlineStr">
        <is>
          <t/>
        </is>
      </c>
      <c r="M179" s="25" t="inlineStr">
        <is>
          <t>Corporation</t>
        </is>
      </c>
      <c r="N179" s="26" t="inlineStr">
        <is>
          <t/>
        </is>
      </c>
      <c r="O179" s="27" t="inlineStr">
        <is>
          <t>Profitable</t>
        </is>
      </c>
      <c r="P179" s="28" t="inlineStr">
        <is>
          <t>Publicly Held</t>
        </is>
      </c>
      <c r="Q179" s="29" t="inlineStr">
        <is>
          <t>Publicly Listed</t>
        </is>
      </c>
      <c r="R179" s="30" t="inlineStr">
        <is>
          <t>www.tsi-holdings.com</t>
        </is>
      </c>
      <c r="S179" s="31" t="n">
        <v>7004.0</v>
      </c>
      <c r="T179" s="32" t="inlineStr">
        <is>
          <t>2012: 5922, 2013: 5702, 2014: 5709, 2015: 6024, 2016: 6043, 2017: 5839, 2018: 7004</t>
        </is>
      </c>
      <c r="U179" s="33" t="inlineStr">
        <is>
          <t>TKS</t>
        </is>
      </c>
      <c r="V179" s="34" t="inlineStr">
        <is>
          <t>3608</t>
        </is>
      </c>
      <c r="W179" s="35" t="inlineStr">
        <is>
          <t/>
        </is>
      </c>
      <c r="X179" s="36" t="inlineStr">
        <is>
          <t/>
        </is>
      </c>
      <c r="Y179" s="37" t="inlineStr">
        <is>
          <t/>
        </is>
      </c>
      <c r="Z179" s="38" t="inlineStr">
        <is>
          <t/>
        </is>
      </c>
      <c r="AA179" s="39" t="n">
        <v>1426.43</v>
      </c>
      <c r="AB179" s="40" t="n">
        <v>764.52</v>
      </c>
      <c r="AC179" s="41" t="n">
        <v>26.22</v>
      </c>
      <c r="AD179" s="42" t="n">
        <v>630.91</v>
      </c>
      <c r="AE179" s="43" t="n">
        <v>26.39</v>
      </c>
      <c r="AF179" s="44" t="inlineStr">
        <is>
          <t>TTM 3Q2019</t>
        </is>
      </c>
      <c r="AG179" s="45" t="n">
        <v>26.39</v>
      </c>
      <c r="AH179" s="46" t="n">
        <v>562.38</v>
      </c>
      <c r="AI179" s="47" t="n">
        <v>97.52</v>
      </c>
      <c r="AJ179" s="48" t="inlineStr">
        <is>
          <t>68702-05P</t>
        </is>
      </c>
      <c r="AK179" s="49" t="inlineStr">
        <is>
          <t>Tadashi Saito</t>
        </is>
      </c>
      <c r="AL179" s="50" t="inlineStr">
        <is>
          <t>President</t>
        </is>
      </c>
      <c r="AM179" s="51" t="inlineStr">
        <is>
          <t>tsaito@shaklee.com</t>
        </is>
      </c>
      <c r="AN179" s="52" t="inlineStr">
        <is>
          <t>+81 (0)33 340 3622</t>
        </is>
      </c>
      <c r="AO179" s="53" t="inlineStr">
        <is>
          <t>Tokyo, Japan</t>
        </is>
      </c>
      <c r="AP179" s="54" t="inlineStr">
        <is>
          <t>Number 7 1-chome</t>
        </is>
      </c>
      <c r="AQ179" s="55" t="inlineStr">
        <is>
          <t>Chiyoda-ku</t>
        </is>
      </c>
      <c r="AR179" s="56" t="inlineStr">
        <is>
          <t>Tokyo</t>
        </is>
      </c>
      <c r="AS179" s="57" t="inlineStr">
        <is>
          <t/>
        </is>
      </c>
      <c r="AT179" s="58" t="inlineStr">
        <is>
          <t/>
        </is>
      </c>
      <c r="AU179" s="59" t="inlineStr">
        <is>
          <t>Japan</t>
        </is>
      </c>
      <c r="AV179" s="60" t="inlineStr">
        <is>
          <t>+81 (0)35 213 5511</t>
        </is>
      </c>
      <c r="AW179" s="61" t="inlineStr">
        <is>
          <t/>
        </is>
      </c>
      <c r="AX179" s="62" t="inlineStr">
        <is>
          <t/>
        </is>
      </c>
      <c r="AY179" s="63" t="inlineStr">
        <is>
          <t>Asia</t>
        </is>
      </c>
      <c r="AZ179" s="64" t="inlineStr">
        <is>
          <t>East Asia</t>
        </is>
      </c>
      <c r="BA179" s="65" t="inlineStr">
        <is>
          <t/>
        </is>
      </c>
      <c r="BB179" s="66" t="inlineStr">
        <is>
          <t/>
        </is>
      </c>
      <c r="BC179" s="67" t="inlineStr">
        <is>
          <t/>
        </is>
      </c>
      <c r="BD179" s="68" t="inlineStr">
        <is>
          <t/>
        </is>
      </c>
      <c r="BE179" s="69" t="inlineStr">
        <is>
          <t/>
        </is>
      </c>
      <c r="BF179" s="70" t="inlineStr">
        <is>
          <t/>
        </is>
      </c>
      <c r="BG179" s="71" t="inlineStr">
        <is>
          <t/>
        </is>
      </c>
      <c r="BH179" s="72" t="inlineStr">
        <is>
          <t/>
        </is>
      </c>
      <c r="BI179" s="73" t="inlineStr">
        <is>
          <t/>
        </is>
      </c>
      <c r="BJ179" s="74" t="inlineStr">
        <is>
          <t/>
        </is>
      </c>
      <c r="BK179" s="75" t="inlineStr">
        <is>
          <t/>
        </is>
      </c>
      <c r="BL179" s="76" t="inlineStr">
        <is>
          <t/>
        </is>
      </c>
      <c r="BM179" s="77" t="inlineStr">
        <is>
          <t/>
        </is>
      </c>
      <c r="BN179" s="78" t="inlineStr">
        <is>
          <t/>
        </is>
      </c>
      <c r="BO179" s="79" t="inlineStr">
        <is>
          <t/>
        </is>
      </c>
      <c r="BP179" s="80" t="inlineStr">
        <is>
          <t/>
        </is>
      </c>
      <c r="BQ179" s="81" t="inlineStr">
        <is>
          <t/>
        </is>
      </c>
      <c r="BR179" s="82" t="inlineStr">
        <is>
          <t/>
        </is>
      </c>
      <c r="BS179" s="83" t="inlineStr">
        <is>
          <t/>
        </is>
      </c>
      <c r="BT179" s="84" t="inlineStr">
        <is>
          <t/>
        </is>
      </c>
      <c r="BU179" s="85" t="inlineStr">
        <is>
          <t/>
        </is>
      </c>
      <c r="BV179" s="86" t="inlineStr">
        <is>
          <t/>
        </is>
      </c>
      <c r="BW179" s="87" t="inlineStr">
        <is>
          <t/>
        </is>
      </c>
      <c r="BX179" s="88" t="inlineStr">
        <is>
          <t/>
        </is>
      </c>
      <c r="BY179" s="89" t="inlineStr">
        <is>
          <t/>
        </is>
      </c>
      <c r="BZ179" s="90" t="inlineStr">
        <is>
          <t/>
        </is>
      </c>
      <c r="CA179" s="91" t="inlineStr">
        <is>
          <t/>
        </is>
      </c>
      <c r="CB179" s="92" t="inlineStr">
        <is>
          <t/>
        </is>
      </c>
      <c r="CC179" s="93" t="inlineStr">
        <is>
          <t/>
        </is>
      </c>
      <c r="CD179" s="94" t="inlineStr">
        <is>
          <t/>
        </is>
      </c>
      <c r="CE179" s="95" t="inlineStr">
        <is>
          <t/>
        </is>
      </c>
      <c r="CF179" s="96" t="inlineStr">
        <is>
          <t/>
        </is>
      </c>
      <c r="CG179" s="97" t="inlineStr">
        <is>
          <t/>
        </is>
      </c>
      <c r="CH179" s="98" t="inlineStr">
        <is>
          <t/>
        </is>
      </c>
      <c r="CI179" s="99" t="inlineStr">
        <is>
          <t/>
        </is>
      </c>
      <c r="CJ179" s="100" t="inlineStr">
        <is>
          <t/>
        </is>
      </c>
      <c r="CK179" s="101" t="inlineStr">
        <is>
          <t/>
        </is>
      </c>
      <c r="CL179" s="102" t="inlineStr">
        <is>
          <t/>
        </is>
      </c>
      <c r="CM179" s="103" t="inlineStr">
        <is>
          <t/>
        </is>
      </c>
      <c r="CN179" s="104" t="n">
        <v>0.41</v>
      </c>
      <c r="CO179" s="105" t="n">
        <v>93.0</v>
      </c>
      <c r="CP179" s="106" t="n">
        <v>0.05</v>
      </c>
      <c r="CQ179" s="107" t="n">
        <v>12.28</v>
      </c>
      <c r="CR179" s="108" t="n">
        <v>0.87</v>
      </c>
      <c r="CS179" s="109" t="n">
        <v>96.0</v>
      </c>
      <c r="CT179" s="110" t="n">
        <v>-0.04</v>
      </c>
      <c r="CU179" s="111" t="n">
        <v>17.0</v>
      </c>
      <c r="CV179" s="112" t="inlineStr">
        <is>
          <t/>
        </is>
      </c>
      <c r="CW179" s="113" t="inlineStr">
        <is>
          <t/>
        </is>
      </c>
      <c r="CX179" s="114" t="n">
        <v>0.87</v>
      </c>
      <c r="CY179" s="115" t="n">
        <v>97.0</v>
      </c>
      <c r="CZ179" s="116" t="inlineStr">
        <is>
          <t/>
        </is>
      </c>
      <c r="DA179" s="117" t="inlineStr">
        <is>
          <t/>
        </is>
      </c>
      <c r="DB179" s="118" t="n">
        <v>4.46</v>
      </c>
      <c r="DC179" s="119" t="n">
        <v>82.0</v>
      </c>
      <c r="DD179" s="120" t="n">
        <v>1.0</v>
      </c>
      <c r="DE179" s="121" t="n">
        <v>28.76</v>
      </c>
      <c r="DF179" s="122" t="n">
        <v>7.59</v>
      </c>
      <c r="DG179" s="123" t="n">
        <v>88.0</v>
      </c>
      <c r="DH179" s="124" t="n">
        <v>1.33</v>
      </c>
      <c r="DI179" s="125" t="n">
        <v>55.0</v>
      </c>
      <c r="DJ179" s="126" t="inlineStr">
        <is>
          <t/>
        </is>
      </c>
      <c r="DK179" s="127" t="inlineStr">
        <is>
          <t/>
        </is>
      </c>
      <c r="DL179" s="128" t="n">
        <v>7.59</v>
      </c>
      <c r="DM179" s="129" t="n">
        <v>87.0</v>
      </c>
      <c r="DN179" s="130" t="inlineStr">
        <is>
          <t/>
        </is>
      </c>
      <c r="DO179" s="131" t="inlineStr">
        <is>
          <t/>
        </is>
      </c>
      <c r="DP179" s="132" t="inlineStr">
        <is>
          <t/>
        </is>
      </c>
      <c r="DQ179" s="133" t="inlineStr">
        <is>
          <t/>
        </is>
      </c>
      <c r="DR179" s="134" t="inlineStr">
        <is>
          <t/>
        </is>
      </c>
      <c r="DS179" s="135" t="n">
        <v>255.0</v>
      </c>
      <c r="DT179" s="136" t="n">
        <v>5.0</v>
      </c>
      <c r="DU179" s="137" t="n">
        <v>2.0</v>
      </c>
      <c r="DV179" s="138" t="inlineStr">
        <is>
          <t/>
        </is>
      </c>
      <c r="DW179" s="139" t="inlineStr">
        <is>
          <t/>
        </is>
      </c>
      <c r="DX179" s="140" t="inlineStr">
        <is>
          <t/>
        </is>
      </c>
      <c r="DY179" s="141" t="inlineStr">
        <is>
          <t>PitchBook Research</t>
        </is>
      </c>
      <c r="DZ179" s="142" t="n">
        <v>43492.0</v>
      </c>
      <c r="EA179" s="143" t="inlineStr">
        <is>
          <t/>
        </is>
      </c>
      <c r="EB179" s="144" t="inlineStr">
        <is>
          <t/>
        </is>
      </c>
      <c r="EC179" s="145" t="inlineStr">
        <is>
          <t/>
        </is>
      </c>
      <c r="ED179" s="547">
        <f>HYPERLINK("https://my.pitchbook.com?c=63588-25", "View company online")</f>
      </c>
    </row>
    <row r="180">
      <c r="A180" s="147" t="inlineStr">
        <is>
          <t>12804-85</t>
        </is>
      </c>
      <c r="B180" s="148" t="inlineStr">
        <is>
          <t>Bulgari</t>
        </is>
      </c>
      <c r="C180" s="149" t="inlineStr">
        <is>
          <t/>
        </is>
      </c>
      <c r="D180" s="150" t="inlineStr">
        <is>
          <t/>
        </is>
      </c>
      <c r="E180" s="151" t="inlineStr">
        <is>
          <t>12804-85</t>
        </is>
      </c>
      <c r="F180" s="152" t="inlineStr">
        <is>
          <t>Manufacturer and retailer of watches, jewels, perfumes and accessories. The company provides jewels, watches, accessories and fragrances. It also owns hotels and resorts.</t>
        </is>
      </c>
      <c r="G180" s="153" t="inlineStr">
        <is>
          <t>Consumer Products and Services (B2C)</t>
        </is>
      </c>
      <c r="H180" s="154" t="inlineStr">
        <is>
          <t>Apparel and Accessories</t>
        </is>
      </c>
      <c r="I180" s="155" t="inlineStr">
        <is>
          <t>Accessories</t>
        </is>
      </c>
      <c r="J180" s="156" t="inlineStr">
        <is>
          <t>Accessories*, Hotels and Resorts, Luxury Goods, Other Retail</t>
        </is>
      </c>
      <c r="K180" s="157" t="inlineStr">
        <is>
          <t>Manufacturing</t>
        </is>
      </c>
      <c r="L180" s="158" t="inlineStr">
        <is>
          <t>luxury jewelry, perfume, watches</t>
        </is>
      </c>
      <c r="M180" s="159" t="inlineStr">
        <is>
          <t>Corporate Backed or Acquired</t>
        </is>
      </c>
      <c r="N180" s="160" t="inlineStr">
        <is>
          <t/>
        </is>
      </c>
      <c r="O180" s="161" t="inlineStr">
        <is>
          <t>Profitable</t>
        </is>
      </c>
      <c r="P180" s="162" t="inlineStr">
        <is>
          <t>Acquired/Merged (Operating Subsidiary)</t>
        </is>
      </c>
      <c r="Q180" s="163" t="inlineStr">
        <is>
          <t>M&amp;A, Publicly Listed</t>
        </is>
      </c>
      <c r="R180" s="164" t="inlineStr">
        <is>
          <t>www.bulgari.com</t>
        </is>
      </c>
      <c r="S180" s="165" t="n">
        <v>1556.0</v>
      </c>
      <c r="T180" s="166" t="inlineStr">
        <is>
          <t>2003: 1824, 2008: 3847, 2009: 3955, 2010: 3815, 2014: 1556</t>
        </is>
      </c>
      <c r="U180" s="167" t="inlineStr">
        <is>
          <t/>
        </is>
      </c>
      <c r="V180" s="168" t="inlineStr">
        <is>
          <t/>
        </is>
      </c>
      <c r="W180" s="169" t="n">
        <v>1884.0</v>
      </c>
      <c r="X180" s="170" t="inlineStr">
        <is>
          <t>LVMH Moët Hennessy Louis Vuitton</t>
        </is>
      </c>
      <c r="Y180" s="171" t="inlineStr">
        <is>
          <t/>
        </is>
      </c>
      <c r="Z180" s="172" t="inlineStr">
        <is>
          <t>News (New) , Competitor (New) Guccio Gucci</t>
        </is>
      </c>
      <c r="AA180" s="173" t="n">
        <v>1415.88</v>
      </c>
      <c r="AB180" s="174" t="n">
        <v>880.47</v>
      </c>
      <c r="AC180" s="175" t="n">
        <v>50.33</v>
      </c>
      <c r="AD180" s="176" t="n">
        <v>3233.62</v>
      </c>
      <c r="AE180" s="177" t="n">
        <v>202.32</v>
      </c>
      <c r="AF180" s="178" t="inlineStr">
        <is>
          <t>FY 2010</t>
        </is>
      </c>
      <c r="AG180" s="179" t="inlineStr">
        <is>
          <t/>
        </is>
      </c>
      <c r="AH180" s="180" t="inlineStr">
        <is>
          <t/>
        </is>
      </c>
      <c r="AI180" s="181" t="inlineStr">
        <is>
          <t/>
        </is>
      </c>
      <c r="AJ180" s="182" t="inlineStr">
        <is>
          <t>74449-18P</t>
        </is>
      </c>
      <c r="AK180" s="183" t="inlineStr">
        <is>
          <t>Armando Laurenti</t>
        </is>
      </c>
      <c r="AL180" s="184" t="inlineStr">
        <is>
          <t>Chief Information Officer</t>
        </is>
      </c>
      <c r="AM180" s="185" t="inlineStr">
        <is>
          <t>armando.laurenti@bulgari.com</t>
        </is>
      </c>
      <c r="AN180" s="186" t="inlineStr">
        <is>
          <t/>
        </is>
      </c>
      <c r="AO180" s="187" t="inlineStr">
        <is>
          <t>Rome, Italy</t>
        </is>
      </c>
      <c r="AP180" s="188" t="inlineStr">
        <is>
          <t>Via dei Condotti 11</t>
        </is>
      </c>
      <c r="AQ180" s="189" t="inlineStr">
        <is>
          <t/>
        </is>
      </c>
      <c r="AR180" s="190" t="inlineStr">
        <is>
          <t>Rome</t>
        </is>
      </c>
      <c r="AS180" s="191" t="inlineStr">
        <is>
          <t/>
        </is>
      </c>
      <c r="AT180" s="192" t="inlineStr">
        <is>
          <t>00193</t>
        </is>
      </c>
      <c r="AU180" s="193" t="inlineStr">
        <is>
          <t>Italy</t>
        </is>
      </c>
      <c r="AV180" s="194" t="inlineStr">
        <is>
          <t/>
        </is>
      </c>
      <c r="AW180" s="195" t="inlineStr">
        <is>
          <t/>
        </is>
      </c>
      <c r="AX180" s="196" t="inlineStr">
        <is>
          <t/>
        </is>
      </c>
      <c r="AY180" s="197" t="inlineStr">
        <is>
          <t>Europe</t>
        </is>
      </c>
      <c r="AZ180" s="198" t="inlineStr">
        <is>
          <t>Southern Europe</t>
        </is>
      </c>
      <c r="BA180" s="199" t="inlineStr">
        <is>
          <t>The company was acquired by LVMH Moet Hennessy Louis Vuitton (XPAR: MC) for EUR3700 million on March 7, 2011. The company is no longer actively tracked by PitchBook.</t>
        </is>
      </c>
      <c r="BB180" s="200" t="inlineStr">
        <is>
          <t/>
        </is>
      </c>
      <c r="BC180" s="201" t="inlineStr">
        <is>
          <t/>
        </is>
      </c>
      <c r="BD180" s="202" t="inlineStr">
        <is>
          <t>LVMH Moët Hennessy Louis Vuitton</t>
        </is>
      </c>
      <c r="BE180" s="203" t="inlineStr">
        <is>
          <t/>
        </is>
      </c>
      <c r="BF180" s="204" t="inlineStr">
        <is>
          <t/>
        </is>
      </c>
      <c r="BG180" s="205" t="inlineStr">
        <is>
          <t/>
        </is>
      </c>
      <c r="BH180" s="206" t="inlineStr">
        <is>
          <t/>
        </is>
      </c>
      <c r="BI180" s="207" t="inlineStr">
        <is>
          <t/>
        </is>
      </c>
      <c r="BJ180" s="208" t="inlineStr">
        <is>
          <t>Barack Ferrazzano Kirschbaum &amp; Nagelberg(Legal Advisor), CapM(Advisor: General)</t>
        </is>
      </c>
      <c r="BK180" s="209" t="inlineStr">
        <is>
          <t>Bonelli Erede Pappalardo Studio Legale(Legal Advisor), Chiomenti Studio Legale(Legal Advisor), Credit Suisse(Advisor: General), Gide Loyrette Nouel(Legal Advisor), Latham &amp; Watkins(Legal Advisor), Morgan Stanley(Advisor: General)</t>
        </is>
      </c>
      <c r="BL180" s="210" t="n">
        <v>40609.0</v>
      </c>
      <c r="BM180" s="211" t="n">
        <v>5180.51</v>
      </c>
      <c r="BN180" s="212" t="inlineStr">
        <is>
          <t>Actual</t>
        </is>
      </c>
      <c r="BO180" s="213" t="n">
        <v>5180.51</v>
      </c>
      <c r="BP180" s="214" t="inlineStr">
        <is>
          <t>Actual</t>
        </is>
      </c>
      <c r="BQ180" s="215" t="inlineStr">
        <is>
          <t>Merger/Acquisition</t>
        </is>
      </c>
      <c r="BR180" s="216" t="inlineStr">
        <is>
          <t/>
        </is>
      </c>
      <c r="BS180" s="217" t="inlineStr">
        <is>
          <t/>
        </is>
      </c>
      <c r="BT180" s="218" t="inlineStr">
        <is>
          <t>Corporate</t>
        </is>
      </c>
      <c r="BU180" s="219" t="inlineStr">
        <is>
          <t/>
        </is>
      </c>
      <c r="BV180" s="220" t="inlineStr">
        <is>
          <t/>
        </is>
      </c>
      <c r="BW180" s="221" t="inlineStr">
        <is>
          <t/>
        </is>
      </c>
      <c r="BX180" s="222" t="inlineStr">
        <is>
          <t>Completed</t>
        </is>
      </c>
      <c r="BY180" s="223" t="n">
        <v>40609.0</v>
      </c>
      <c r="BZ180" s="224" t="n">
        <v>5180.51</v>
      </c>
      <c r="CA180" s="225" t="inlineStr">
        <is>
          <t>Actual</t>
        </is>
      </c>
      <c r="CB180" s="226" t="n">
        <v>5180.51</v>
      </c>
      <c r="CC180" s="227" t="inlineStr">
        <is>
          <t>Actual</t>
        </is>
      </c>
      <c r="CD180" s="228" t="inlineStr">
        <is>
          <t>Merger/Acquisition</t>
        </is>
      </c>
      <c r="CE180" s="229" t="inlineStr">
        <is>
          <t/>
        </is>
      </c>
      <c r="CF180" s="230" t="inlineStr">
        <is>
          <t/>
        </is>
      </c>
      <c r="CG180" s="231" t="inlineStr">
        <is>
          <t>Corporate</t>
        </is>
      </c>
      <c r="CH180" s="232" t="inlineStr">
        <is>
          <t/>
        </is>
      </c>
      <c r="CI180" s="233" t="inlineStr">
        <is>
          <t/>
        </is>
      </c>
      <c r="CJ180" s="234" t="inlineStr">
        <is>
          <t/>
        </is>
      </c>
      <c r="CK180" s="235" t="inlineStr">
        <is>
          <t>Completed</t>
        </is>
      </c>
      <c r="CL180" s="236" t="inlineStr">
        <is>
          <t/>
        </is>
      </c>
      <c r="CM180" s="237" t="inlineStr">
        <is>
          <t/>
        </is>
      </c>
      <c r="CN180" s="238" t="n">
        <v>1.19</v>
      </c>
      <c r="CO180" s="239" t="n">
        <v>98.0</v>
      </c>
      <c r="CP180" s="240" t="n">
        <v>0.01</v>
      </c>
      <c r="CQ180" s="241" t="n">
        <v>0.67</v>
      </c>
      <c r="CR180" s="242" t="n">
        <v>2.37</v>
      </c>
      <c r="CS180" s="243" t="n">
        <v>99.0</v>
      </c>
      <c r="CT180" s="244" t="n">
        <v>0.01</v>
      </c>
      <c r="CU180" s="245" t="n">
        <v>56.0</v>
      </c>
      <c r="CV180" s="246" t="n">
        <v>4.2</v>
      </c>
      <c r="CW180" s="247" t="n">
        <v>96.0</v>
      </c>
      <c r="CX180" s="248" t="n">
        <v>0.53</v>
      </c>
      <c r="CY180" s="249" t="n">
        <v>94.0</v>
      </c>
      <c r="CZ180" s="250" t="n">
        <v>0.01</v>
      </c>
      <c r="DA180" s="251" t="n">
        <v>63.0</v>
      </c>
      <c r="DB180" s="252" t="n">
        <v>963.77</v>
      </c>
      <c r="DC180" s="253" t="n">
        <v>100.0</v>
      </c>
      <c r="DD180" s="254" t="n">
        <v>25.83</v>
      </c>
      <c r="DE180" s="255" t="n">
        <v>2.75</v>
      </c>
      <c r="DF180" s="256" t="n">
        <v>223.95</v>
      </c>
      <c r="DG180" s="257" t="n">
        <v>100.0</v>
      </c>
      <c r="DH180" s="258" t="n">
        <v>1703.6</v>
      </c>
      <c r="DI180" s="259" t="n">
        <v>100.0</v>
      </c>
      <c r="DJ180" s="260" t="n">
        <v>103.3</v>
      </c>
      <c r="DK180" s="261" t="n">
        <v>97.0</v>
      </c>
      <c r="DL180" s="262" t="n">
        <v>344.59</v>
      </c>
      <c r="DM180" s="263" t="n">
        <v>100.0</v>
      </c>
      <c r="DN180" s="264" t="n">
        <v>1703.6</v>
      </c>
      <c r="DO180" s="265" t="n">
        <v>100.0</v>
      </c>
      <c r="DP180" s="266" t="n">
        <v>73504.0</v>
      </c>
      <c r="DQ180" s="267" t="n">
        <v>1358.0</v>
      </c>
      <c r="DR180" s="268" t="n">
        <v>1.88</v>
      </c>
      <c r="DS180" s="269" t="n">
        <v>11674.0</v>
      </c>
      <c r="DT180" s="270" t="n">
        <v>88.0</v>
      </c>
      <c r="DU180" s="271" t="n">
        <v>0.76</v>
      </c>
      <c r="DV180" s="272" t="n">
        <v>611790.0</v>
      </c>
      <c r="DW180" s="273" t="n">
        <v>-290.0</v>
      </c>
      <c r="DX180" s="274" t="n">
        <v>-0.05</v>
      </c>
      <c r="DY180" s="275" t="inlineStr">
        <is>
          <t>PitchBook Research</t>
        </is>
      </c>
      <c r="DZ180" s="276" t="n">
        <v>43351.0</v>
      </c>
      <c r="EA180" s="277" t="n">
        <v>5180.51</v>
      </c>
      <c r="EB180" s="278" t="n">
        <v>40609.0</v>
      </c>
      <c r="EC180" s="279" t="inlineStr">
        <is>
          <t>Merger/Acquisition</t>
        </is>
      </c>
      <c r="ED180" s="548">
        <f>HYPERLINK("https://my.pitchbook.com?c=12804-85", "View company online")</f>
      </c>
    </row>
    <row r="181">
      <c r="A181" s="13" t="inlineStr">
        <is>
          <t>25344-73</t>
        </is>
      </c>
      <c r="B181" s="14" t="inlineStr">
        <is>
          <t>Delta Galil Industries (TAE: DEGA1)</t>
        </is>
      </c>
      <c r="C181" s="15" t="inlineStr">
        <is>
          <t/>
        </is>
      </c>
      <c r="D181" s="16" t="inlineStr">
        <is>
          <t>Delta Galil</t>
        </is>
      </c>
      <c r="E181" s="17" t="inlineStr">
        <is>
          <t>25344-73</t>
        </is>
      </c>
      <c r="F181" s="18" t="inlineStr">
        <is>
          <t>Delta Galil Industries Ltd designs and manufactures undergarments, socks, children's wear, leisure wear, and active wear. The company is engaged in the design, development, production, marketing and sale of intimate apparel, socks, children's' wear, leisure wear and active wear, as well as in the development, design, marketing, distribution and sale of branded products in the jeans and over wear clothing and ancillary products for women, in five business segments- Delta USA, Global Upper Market, Delta Israel, Schiesser and Delta Premium Brands.</t>
        </is>
      </c>
      <c r="G181" s="19" t="inlineStr">
        <is>
          <t>Consumer Products and Services (B2C)</t>
        </is>
      </c>
      <c r="H181" s="20" t="inlineStr">
        <is>
          <t>Apparel and Accessories</t>
        </is>
      </c>
      <c r="I181" s="21" t="inlineStr">
        <is>
          <t>Clothing</t>
        </is>
      </c>
      <c r="J181" s="22" t="inlineStr">
        <is>
          <t>Clothing*</t>
        </is>
      </c>
      <c r="K181" s="23" t="inlineStr">
        <is>
          <t>Manufacturing</t>
        </is>
      </c>
      <c r="L181" s="24" t="inlineStr">
        <is>
          <t>active wear, children's wear, clothes, socks, undergarments</t>
        </is>
      </c>
      <c r="M181" s="25" t="inlineStr">
        <is>
          <t>Corporation</t>
        </is>
      </c>
      <c r="N181" s="26" t="inlineStr">
        <is>
          <t/>
        </is>
      </c>
      <c r="O181" s="27" t="inlineStr">
        <is>
          <t>Generating Revenue</t>
        </is>
      </c>
      <c r="P181" s="28" t="inlineStr">
        <is>
          <t>Publicly Held</t>
        </is>
      </c>
      <c r="Q181" s="29" t="inlineStr">
        <is>
          <t>Publicly Listed</t>
        </is>
      </c>
      <c r="R181" s="30" t="inlineStr">
        <is>
          <t>www.deltagalil.com</t>
        </is>
      </c>
      <c r="S181" s="31" t="n">
        <v>11670.0</v>
      </c>
      <c r="T181" s="32" t="inlineStr">
        <is>
          <t>1999: 8500, 2000: 10100, 2001: 11000, 2002: 11900, 2003: 12150, 2004: 14200, 2005: 13325, 2006: 11000, 2008: 8340, 2009: 7500, 2010: 6760, 2011: 7130, 2012: 9040, 2013: 8530, 2014: 8500, 2015: 8750, 2016: 10300, 2017: 11670</t>
        </is>
      </c>
      <c r="U181" s="33" t="inlineStr">
        <is>
          <t>TAE</t>
        </is>
      </c>
      <c r="V181" s="34" t="inlineStr">
        <is>
          <t>DEGA1</t>
        </is>
      </c>
      <c r="W181" s="35" t="n">
        <v>1975.0</v>
      </c>
      <c r="X181" s="36" t="inlineStr">
        <is>
          <t/>
        </is>
      </c>
      <c r="Y181" s="37" t="inlineStr">
        <is>
          <t/>
        </is>
      </c>
      <c r="Z181" s="38" t="inlineStr">
        <is>
          <t/>
        </is>
      </c>
      <c r="AA181" s="39" t="n">
        <v>1415.79</v>
      </c>
      <c r="AB181" s="40" t="n">
        <v>538.23</v>
      </c>
      <c r="AC181" s="41" t="n">
        <v>43.9</v>
      </c>
      <c r="AD181" s="42" t="n">
        <v>898.74</v>
      </c>
      <c r="AE181" s="43" t="n">
        <v>103.64</v>
      </c>
      <c r="AF181" s="44" t="inlineStr">
        <is>
          <t>TTM 3Q2018</t>
        </is>
      </c>
      <c r="AG181" s="45" t="n">
        <v>71.87</v>
      </c>
      <c r="AH181" s="46" t="n">
        <v>790.03</v>
      </c>
      <c r="AI181" s="47" t="n">
        <v>362.56</v>
      </c>
      <c r="AJ181" s="48" t="inlineStr">
        <is>
          <t>14340-61P</t>
        </is>
      </c>
      <c r="AK181" s="49" t="inlineStr">
        <is>
          <t>Isaac Dabah</t>
        </is>
      </c>
      <c r="AL181" s="50" t="inlineStr">
        <is>
          <t>Chief Executive Officer</t>
        </is>
      </c>
      <c r="AM181" s="51" t="inlineStr">
        <is>
          <t>isaac.dabah@deltagalil.com</t>
        </is>
      </c>
      <c r="AN181" s="52" t="inlineStr">
        <is>
          <t>+972 (0)76 817 7000</t>
        </is>
      </c>
      <c r="AO181" s="53" t="inlineStr">
        <is>
          <t>Caesarea, Israel</t>
        </is>
      </c>
      <c r="AP181" s="54" t="inlineStr">
        <is>
          <t>45 Ha'Eshel Street</t>
        </is>
      </c>
      <c r="AQ181" s="55" t="inlineStr">
        <is>
          <t/>
        </is>
      </c>
      <c r="AR181" s="56" t="inlineStr">
        <is>
          <t>Caesarea</t>
        </is>
      </c>
      <c r="AS181" s="57" t="inlineStr">
        <is>
          <t/>
        </is>
      </c>
      <c r="AT181" s="58" t="inlineStr">
        <is>
          <t>30889</t>
        </is>
      </c>
      <c r="AU181" s="59" t="inlineStr">
        <is>
          <t>Israel</t>
        </is>
      </c>
      <c r="AV181" s="60" t="inlineStr">
        <is>
          <t>+972 (0)76 817 7000</t>
        </is>
      </c>
      <c r="AW181" s="61" t="inlineStr">
        <is>
          <t>+972 (0)76 817 7284</t>
        </is>
      </c>
      <c r="AX181" s="62" t="inlineStr">
        <is>
          <t/>
        </is>
      </c>
      <c r="AY181" s="63" t="inlineStr">
        <is>
          <t>Middle East</t>
        </is>
      </c>
      <c r="AZ181" s="64" t="inlineStr">
        <is>
          <t>Middle East</t>
        </is>
      </c>
      <c r="BA181" s="65" t="inlineStr">
        <is>
          <t>Mr. Dov Lautman sold a 13.3% stake in the company to Mr. Isaac Dabah on July 2, 2007. After completion of the transaction Mr. Dabah will hold, directly and indirectly, a total of 7,855,115 shares of Delta, constituting 41.9% of Delta shares.</t>
        </is>
      </c>
      <c r="BB181" s="66" t="inlineStr">
        <is>
          <t/>
        </is>
      </c>
      <c r="BC181" s="67" t="inlineStr">
        <is>
          <t/>
        </is>
      </c>
      <c r="BD181" s="68" t="inlineStr">
        <is>
          <t/>
        </is>
      </c>
      <c r="BE181" s="69" t="inlineStr">
        <is>
          <t>Kitchens of Sara Lee</t>
        </is>
      </c>
      <c r="BF181" s="70" t="inlineStr">
        <is>
          <t/>
        </is>
      </c>
      <c r="BG181" s="71" t="inlineStr">
        <is>
          <t/>
        </is>
      </c>
      <c r="BH181" s="72" t="inlineStr">
        <is>
          <t>Kitchens of Sara Lee(www.saralee.com.au)</t>
        </is>
      </c>
      <c r="BI181" s="73" t="inlineStr">
        <is>
          <t/>
        </is>
      </c>
      <c r="BJ181" s="74" t="inlineStr">
        <is>
          <t/>
        </is>
      </c>
      <c r="BK181" s="75" t="inlineStr">
        <is>
          <t/>
        </is>
      </c>
      <c r="BL181" s="76" t="n">
        <v>29952.0</v>
      </c>
      <c r="BM181" s="77" t="inlineStr">
        <is>
          <t/>
        </is>
      </c>
      <c r="BN181" s="78" t="inlineStr">
        <is>
          <t/>
        </is>
      </c>
      <c r="BO181" s="79" t="inlineStr">
        <is>
          <t/>
        </is>
      </c>
      <c r="BP181" s="80" t="inlineStr">
        <is>
          <t/>
        </is>
      </c>
      <c r="BQ181" s="81" t="inlineStr">
        <is>
          <t>IPO</t>
        </is>
      </c>
      <c r="BR181" s="82" t="inlineStr">
        <is>
          <t/>
        </is>
      </c>
      <c r="BS181" s="83" t="inlineStr">
        <is>
          <t/>
        </is>
      </c>
      <c r="BT181" s="84" t="inlineStr">
        <is>
          <t>Public Investment</t>
        </is>
      </c>
      <c r="BU181" s="85" t="inlineStr">
        <is>
          <t/>
        </is>
      </c>
      <c r="BV181" s="86" t="inlineStr">
        <is>
          <t/>
        </is>
      </c>
      <c r="BW181" s="87" t="inlineStr">
        <is>
          <t/>
        </is>
      </c>
      <c r="BX181" s="88" t="inlineStr">
        <is>
          <t>Completed</t>
        </is>
      </c>
      <c r="BY181" s="89" t="n">
        <v>39265.0</v>
      </c>
      <c r="BZ181" s="90" t="n">
        <v>21.25</v>
      </c>
      <c r="CA181" s="91" t="inlineStr">
        <is>
          <t>Estimated</t>
        </is>
      </c>
      <c r="CB181" s="92" t="n">
        <v>21.25</v>
      </c>
      <c r="CC181" s="93" t="inlineStr">
        <is>
          <t>Estimated</t>
        </is>
      </c>
      <c r="CD181" s="94" t="inlineStr">
        <is>
          <t>Secondary Transaction - Private</t>
        </is>
      </c>
      <c r="CE181" s="95" t="inlineStr">
        <is>
          <t/>
        </is>
      </c>
      <c r="CF181" s="96" t="inlineStr">
        <is>
          <t/>
        </is>
      </c>
      <c r="CG181" s="97" t="inlineStr">
        <is>
          <t>Individual</t>
        </is>
      </c>
      <c r="CH181" s="98" t="inlineStr">
        <is>
          <t/>
        </is>
      </c>
      <c r="CI181" s="99" t="inlineStr">
        <is>
          <t/>
        </is>
      </c>
      <c r="CJ181" s="100" t="inlineStr">
        <is>
          <t/>
        </is>
      </c>
      <c r="CK181" s="101" t="inlineStr">
        <is>
          <t>Completed</t>
        </is>
      </c>
      <c r="CL181" s="102" t="inlineStr">
        <is>
          <t/>
        </is>
      </c>
      <c r="CM181" s="103" t="inlineStr">
        <is>
          <t/>
        </is>
      </c>
      <c r="CN181" s="104" t="n">
        <v>0.0</v>
      </c>
      <c r="CO181" s="105" t="n">
        <v>18.0</v>
      </c>
      <c r="CP181" s="106" t="n">
        <v>0.0</v>
      </c>
      <c r="CQ181" s="107" t="n">
        <v>0.0</v>
      </c>
      <c r="CR181" s="108" t="n">
        <v>0.0</v>
      </c>
      <c r="CS181" s="109" t="n">
        <v>14.0</v>
      </c>
      <c r="CT181" s="110" t="inlineStr">
        <is>
          <t/>
        </is>
      </c>
      <c r="CU181" s="111" t="inlineStr">
        <is>
          <t/>
        </is>
      </c>
      <c r="CV181" s="112" t="n">
        <v>0.0</v>
      </c>
      <c r="CW181" s="113" t="n">
        <v>33.0</v>
      </c>
      <c r="CX181" s="114" t="inlineStr">
        <is>
          <t/>
        </is>
      </c>
      <c r="CY181" s="115" t="inlineStr">
        <is>
          <t/>
        </is>
      </c>
      <c r="CZ181" s="116" t="inlineStr">
        <is>
          <t/>
        </is>
      </c>
      <c r="DA181" s="117" t="inlineStr">
        <is>
          <t/>
        </is>
      </c>
      <c r="DB181" s="118" t="n">
        <v>0.18</v>
      </c>
      <c r="DC181" s="119" t="n">
        <v>14.0</v>
      </c>
      <c r="DD181" s="120" t="n">
        <v>0.0</v>
      </c>
      <c r="DE181" s="121" t="n">
        <v>0.0</v>
      </c>
      <c r="DF181" s="122" t="n">
        <v>0.18</v>
      </c>
      <c r="DG181" s="123" t="n">
        <v>14.0</v>
      </c>
      <c r="DH181" s="124" t="inlineStr">
        <is>
          <t/>
        </is>
      </c>
      <c r="DI181" s="125" t="inlineStr">
        <is>
          <t/>
        </is>
      </c>
      <c r="DJ181" s="126" t="n">
        <v>0.18</v>
      </c>
      <c r="DK181" s="127" t="n">
        <v>12.0</v>
      </c>
      <c r="DL181" s="128" t="inlineStr">
        <is>
          <t/>
        </is>
      </c>
      <c r="DM181" s="129" t="inlineStr">
        <is>
          <t/>
        </is>
      </c>
      <c r="DN181" s="130" t="inlineStr">
        <is>
          <t/>
        </is>
      </c>
      <c r="DO181" s="131" t="inlineStr">
        <is>
          <t/>
        </is>
      </c>
      <c r="DP181" s="132" t="n">
        <v>137.0</v>
      </c>
      <c r="DQ181" s="133" t="n">
        <v>-73.0</v>
      </c>
      <c r="DR181" s="134" t="n">
        <v>-34.76</v>
      </c>
      <c r="DS181" s="135" t="inlineStr">
        <is>
          <t/>
        </is>
      </c>
      <c r="DT181" s="136" t="inlineStr">
        <is>
          <t/>
        </is>
      </c>
      <c r="DU181" s="137" t="inlineStr">
        <is>
          <t/>
        </is>
      </c>
      <c r="DV181" s="138" t="inlineStr">
        <is>
          <t/>
        </is>
      </c>
      <c r="DW181" s="139" t="inlineStr">
        <is>
          <t/>
        </is>
      </c>
      <c r="DX181" s="140" t="inlineStr">
        <is>
          <t/>
        </is>
      </c>
      <c r="DY181" s="141" t="inlineStr">
        <is>
          <t>PitchBook Research</t>
        </is>
      </c>
      <c r="DZ181" s="142" t="n">
        <v>43530.0</v>
      </c>
      <c r="EA181" s="143" t="n">
        <v>21.25</v>
      </c>
      <c r="EB181" s="144" t="n">
        <v>39265.0</v>
      </c>
      <c r="EC181" s="145" t="inlineStr">
        <is>
          <t>Secondary Transaction - Private</t>
        </is>
      </c>
      <c r="ED181" s="547">
        <f>HYPERLINK("https://my.pitchbook.com?c=25344-73", "View company online")</f>
      </c>
    </row>
    <row r="182">
      <c r="A182" s="147" t="inlineStr">
        <is>
          <t>135522-55</t>
        </is>
      </c>
      <c r="B182" s="148" t="inlineStr">
        <is>
          <t>Greater Toronto Airports Authority</t>
        </is>
      </c>
      <c r="C182" s="149" t="inlineStr">
        <is>
          <t/>
        </is>
      </c>
      <c r="D182" s="150" t="inlineStr">
        <is>
          <t/>
        </is>
      </c>
      <c r="E182" s="151" t="inlineStr">
        <is>
          <t>135522-55</t>
        </is>
      </c>
      <c r="F182" s="152" t="inlineStr">
        <is>
          <t>Provider of freight forwarder, airport services, flight search, and customer service. The company operates within the industries of air, other commercial services, and other services (b2c non-financial).</t>
        </is>
      </c>
      <c r="G182" s="153" t="inlineStr">
        <is>
          <t>Business Products and Services (B2B)</t>
        </is>
      </c>
      <c r="H182" s="154" t="inlineStr">
        <is>
          <t>Commercial Services</t>
        </is>
      </c>
      <c r="I182" s="155" t="inlineStr">
        <is>
          <t>Other Commercial Services</t>
        </is>
      </c>
      <c r="J182" s="156" t="inlineStr">
        <is>
          <t>Clothing, Other Commercial Services*</t>
        </is>
      </c>
      <c r="K182" s="157" t="inlineStr">
        <is>
          <t>Industrials</t>
        </is>
      </c>
      <c r="L182" s="158" t="inlineStr">
        <is>
          <t>airport service, customer service, flight search</t>
        </is>
      </c>
      <c r="M182" s="159" t="inlineStr">
        <is>
          <t>Corporation</t>
        </is>
      </c>
      <c r="N182" s="160" t="inlineStr">
        <is>
          <t/>
        </is>
      </c>
      <c r="O182" s="161" t="inlineStr">
        <is>
          <t/>
        </is>
      </c>
      <c r="P182" s="162" t="inlineStr">
        <is>
          <t>Privately Held (no backing)</t>
        </is>
      </c>
      <c r="Q182" s="163" t="inlineStr">
        <is>
          <t>Other Private Companies</t>
        </is>
      </c>
      <c r="R182" s="164" t="inlineStr">
        <is>
          <t>torontopearson.com</t>
        </is>
      </c>
      <c r="S182" s="165" t="inlineStr">
        <is>
          <t/>
        </is>
      </c>
      <c r="T182" s="166" t="inlineStr">
        <is>
          <t/>
        </is>
      </c>
      <c r="U182" s="167" t="inlineStr">
        <is>
          <t/>
        </is>
      </c>
      <c r="V182" s="168" t="inlineStr">
        <is>
          <t/>
        </is>
      </c>
      <c r="W182" s="169" t="n">
        <v>2012.0</v>
      </c>
      <c r="X182" s="170" t="inlineStr">
        <is>
          <t/>
        </is>
      </c>
      <c r="Y182" s="171" t="inlineStr">
        <is>
          <t/>
        </is>
      </c>
      <c r="Z182" s="172" t="inlineStr">
        <is>
          <t/>
        </is>
      </c>
      <c r="AA182" s="173" t="n">
        <v>1415.2</v>
      </c>
      <c r="AB182" s="174" t="inlineStr">
        <is>
          <t/>
        </is>
      </c>
      <c r="AC182" s="175" t="inlineStr">
        <is>
          <t/>
        </is>
      </c>
      <c r="AD182" s="176" t="inlineStr">
        <is>
          <t/>
        </is>
      </c>
      <c r="AE182" s="177" t="inlineStr">
        <is>
          <t/>
        </is>
      </c>
      <c r="AF182" s="178" t="inlineStr">
        <is>
          <t>FY 2018</t>
        </is>
      </c>
      <c r="AG182" s="179" t="inlineStr">
        <is>
          <t/>
        </is>
      </c>
      <c r="AH182" s="180" t="inlineStr">
        <is>
          <t/>
        </is>
      </c>
      <c r="AI182" s="181" t="inlineStr">
        <is>
          <t/>
        </is>
      </c>
      <c r="AJ182" s="182" t="inlineStr">
        <is>
          <t>34673-77P</t>
        </is>
      </c>
      <c r="AK182" s="183" t="inlineStr">
        <is>
          <t>Ian Clarke</t>
        </is>
      </c>
      <c r="AL182" s="184" t="inlineStr">
        <is>
          <t>Chief Financial Officer</t>
        </is>
      </c>
      <c r="AM182" s="185" t="inlineStr">
        <is>
          <t>clarke@mapleleafs.com</t>
        </is>
      </c>
      <c r="AN182" s="186" t="inlineStr">
        <is>
          <t/>
        </is>
      </c>
      <c r="AO182" s="187" t="inlineStr">
        <is>
          <t/>
        </is>
      </c>
      <c r="AP182" s="188" t="inlineStr">
        <is>
          <t/>
        </is>
      </c>
      <c r="AQ182" s="189" t="inlineStr">
        <is>
          <t/>
        </is>
      </c>
      <c r="AR182" s="190" t="inlineStr">
        <is>
          <t/>
        </is>
      </c>
      <c r="AS182" s="191" t="inlineStr">
        <is>
          <t/>
        </is>
      </c>
      <c r="AT182" s="192" t="inlineStr">
        <is>
          <t/>
        </is>
      </c>
      <c r="AU182" s="193" t="inlineStr">
        <is>
          <t/>
        </is>
      </c>
      <c r="AV182" s="194" t="inlineStr">
        <is>
          <t/>
        </is>
      </c>
      <c r="AW182" s="195" t="inlineStr">
        <is>
          <t/>
        </is>
      </c>
      <c r="AX182" s="196" t="inlineStr">
        <is>
          <t/>
        </is>
      </c>
      <c r="AY182" s="197" t="inlineStr">
        <is>
          <t/>
        </is>
      </c>
      <c r="AZ182" s="198" t="inlineStr">
        <is>
          <t/>
        </is>
      </c>
      <c r="BA182" s="199" t="inlineStr">
        <is>
          <t/>
        </is>
      </c>
      <c r="BB182" s="200" t="inlineStr">
        <is>
          <t/>
        </is>
      </c>
      <c r="BC182" s="201" t="inlineStr">
        <is>
          <t/>
        </is>
      </c>
      <c r="BD182" s="202" t="inlineStr">
        <is>
          <t/>
        </is>
      </c>
      <c r="BE182" s="203" t="inlineStr">
        <is>
          <t/>
        </is>
      </c>
      <c r="BF182" s="204" t="inlineStr">
        <is>
          <t/>
        </is>
      </c>
      <c r="BG182" s="205" t="inlineStr">
        <is>
          <t/>
        </is>
      </c>
      <c r="BH182" s="206" t="inlineStr">
        <is>
          <t/>
        </is>
      </c>
      <c r="BI182" s="207" t="inlineStr">
        <is>
          <t/>
        </is>
      </c>
      <c r="BJ182" s="208" t="inlineStr">
        <is>
          <t>Blair Franklin Capital Partners(Advisor: General)</t>
        </is>
      </c>
      <c r="BK182" s="209" t="inlineStr">
        <is>
          <t/>
        </is>
      </c>
      <c r="BL182" s="210" t="inlineStr">
        <is>
          <t/>
        </is>
      </c>
      <c r="BM182" s="211" t="inlineStr">
        <is>
          <t/>
        </is>
      </c>
      <c r="BN182" s="212" t="inlineStr">
        <is>
          <t/>
        </is>
      </c>
      <c r="BO182" s="213" t="inlineStr">
        <is>
          <t/>
        </is>
      </c>
      <c r="BP182" s="214" t="inlineStr">
        <is>
          <t/>
        </is>
      </c>
      <c r="BQ182" s="215" t="inlineStr">
        <is>
          <t/>
        </is>
      </c>
      <c r="BR182" s="216" t="inlineStr">
        <is>
          <t/>
        </is>
      </c>
      <c r="BS182" s="217" t="inlineStr">
        <is>
          <t/>
        </is>
      </c>
      <c r="BT182" s="218" t="inlineStr">
        <is>
          <t/>
        </is>
      </c>
      <c r="BU182" s="219" t="inlineStr">
        <is>
          <t/>
        </is>
      </c>
      <c r="BV182" s="220" t="inlineStr">
        <is>
          <t/>
        </is>
      </c>
      <c r="BW182" s="221" t="inlineStr">
        <is>
          <t/>
        </is>
      </c>
      <c r="BX182" s="222" t="inlineStr">
        <is>
          <t/>
        </is>
      </c>
      <c r="BY182" s="223" t="inlineStr">
        <is>
          <t/>
        </is>
      </c>
      <c r="BZ182" s="224" t="inlineStr">
        <is>
          <t/>
        </is>
      </c>
      <c r="CA182" s="225" t="inlineStr">
        <is>
          <t/>
        </is>
      </c>
      <c r="CB182" s="226" t="inlineStr">
        <is>
          <t/>
        </is>
      </c>
      <c r="CC182" s="227" t="inlineStr">
        <is>
          <t/>
        </is>
      </c>
      <c r="CD182" s="228" t="inlineStr">
        <is>
          <t/>
        </is>
      </c>
      <c r="CE182" s="229" t="inlineStr">
        <is>
          <t/>
        </is>
      </c>
      <c r="CF182" s="230" t="inlineStr">
        <is>
          <t/>
        </is>
      </c>
      <c r="CG182" s="231" t="inlineStr">
        <is>
          <t/>
        </is>
      </c>
      <c r="CH182" s="232" t="inlineStr">
        <is>
          <t/>
        </is>
      </c>
      <c r="CI182" s="233" t="inlineStr">
        <is>
          <t/>
        </is>
      </c>
      <c r="CJ182" s="234" t="inlineStr">
        <is>
          <t/>
        </is>
      </c>
      <c r="CK182" s="235" t="inlineStr">
        <is>
          <t/>
        </is>
      </c>
      <c r="CL182" s="236" t="inlineStr">
        <is>
          <t/>
        </is>
      </c>
      <c r="CM182" s="237" t="inlineStr">
        <is>
          <t/>
        </is>
      </c>
      <c r="CN182" s="238" t="n">
        <v>-0.1</v>
      </c>
      <c r="CO182" s="239" t="n">
        <v>12.0</v>
      </c>
      <c r="CP182" s="240" t="n">
        <v>0.04</v>
      </c>
      <c r="CQ182" s="241" t="n">
        <v>30.12</v>
      </c>
      <c r="CR182" s="242" t="n">
        <v>-0.6</v>
      </c>
      <c r="CS182" s="243" t="n">
        <v>8.0</v>
      </c>
      <c r="CT182" s="244" t="n">
        <v>0.39</v>
      </c>
      <c r="CU182" s="245" t="n">
        <v>93.0</v>
      </c>
      <c r="CV182" s="246" t="n">
        <v>-0.25</v>
      </c>
      <c r="CW182" s="247" t="n">
        <v>31.0</v>
      </c>
      <c r="CX182" s="248" t="n">
        <v>-0.94</v>
      </c>
      <c r="CY182" s="249" t="n">
        <v>4.0</v>
      </c>
      <c r="CZ182" s="250" t="n">
        <v>0.39</v>
      </c>
      <c r="DA182" s="251" t="n">
        <v>93.0</v>
      </c>
      <c r="DB182" s="252" t="n">
        <v>122.33</v>
      </c>
      <c r="DC182" s="253" t="n">
        <v>99.0</v>
      </c>
      <c r="DD182" s="254" t="n">
        <v>9.39</v>
      </c>
      <c r="DE182" s="255" t="n">
        <v>8.31</v>
      </c>
      <c r="DF182" s="256" t="n">
        <v>81.71</v>
      </c>
      <c r="DG182" s="257" t="n">
        <v>99.0</v>
      </c>
      <c r="DH182" s="258" t="n">
        <v>162.96</v>
      </c>
      <c r="DI182" s="259" t="n">
        <v>98.0</v>
      </c>
      <c r="DJ182" s="260" t="n">
        <v>26.56</v>
      </c>
      <c r="DK182" s="261" t="n">
        <v>93.0</v>
      </c>
      <c r="DL182" s="262" t="n">
        <v>136.85</v>
      </c>
      <c r="DM182" s="263" t="n">
        <v>100.0</v>
      </c>
      <c r="DN182" s="264" t="n">
        <v>162.96</v>
      </c>
      <c r="DO182" s="265" t="n">
        <v>99.0</v>
      </c>
      <c r="DP182" s="266" t="n">
        <v>18944.0</v>
      </c>
      <c r="DQ182" s="267" t="n">
        <v>-73.0</v>
      </c>
      <c r="DR182" s="268" t="n">
        <v>-0.38</v>
      </c>
      <c r="DS182" s="269" t="n">
        <v>4637.0</v>
      </c>
      <c r="DT182" s="270" t="n">
        <v>43.0</v>
      </c>
      <c r="DU182" s="271" t="n">
        <v>0.94</v>
      </c>
      <c r="DV182" s="272" t="n">
        <v>58387.0</v>
      </c>
      <c r="DW182" s="273" t="n">
        <v>294.0</v>
      </c>
      <c r="DX182" s="274" t="n">
        <v>0.51</v>
      </c>
      <c r="DY182" s="275" t="inlineStr">
        <is>
          <t>Technology Generated</t>
        </is>
      </c>
      <c r="DZ182" s="276" t="n">
        <v>43529.0</v>
      </c>
      <c r="EA182" s="277" t="inlineStr">
        <is>
          <t/>
        </is>
      </c>
      <c r="EB182" s="278" t="inlineStr">
        <is>
          <t/>
        </is>
      </c>
      <c r="EC182" s="279" t="inlineStr">
        <is>
          <t/>
        </is>
      </c>
      <c r="ED182" s="548">
        <f>HYPERLINK("https://my.pitchbook.com?c=135522-55", "View company online")</f>
      </c>
    </row>
    <row r="183">
      <c r="A183" s="13" t="inlineStr">
        <is>
          <t>11647-09</t>
        </is>
      </c>
      <c r="B183" s="14" t="inlineStr">
        <is>
          <t>Sola International</t>
        </is>
      </c>
      <c r="C183" s="15" t="inlineStr">
        <is>
          <t/>
        </is>
      </c>
      <c r="D183" s="16" t="inlineStr">
        <is>
          <t/>
        </is>
      </c>
      <c r="E183" s="17" t="inlineStr">
        <is>
          <t>11647-09</t>
        </is>
      </c>
      <c r="F183" s="18" t="inlineStr">
        <is>
          <t>Manufacturer of eyeglass lenses. The company engages in the production and distribution of plastic lenses in the United States, Europe, Asia, Australia and South America.</t>
        </is>
      </c>
      <c r="G183" s="19" t="inlineStr">
        <is>
          <t>Consumer Products and Services (B2C)</t>
        </is>
      </c>
      <c r="H183" s="20" t="inlineStr">
        <is>
          <t>Apparel and Accessories</t>
        </is>
      </c>
      <c r="I183" s="21" t="inlineStr">
        <is>
          <t>Accessories</t>
        </is>
      </c>
      <c r="J183" s="22" t="inlineStr">
        <is>
          <t>Accessories*</t>
        </is>
      </c>
      <c r="K183" s="23" t="inlineStr">
        <is>
          <t>Manufacturing</t>
        </is>
      </c>
      <c r="L183" s="24" t="inlineStr">
        <is>
          <t/>
        </is>
      </c>
      <c r="M183" s="25" t="inlineStr">
        <is>
          <t>Formerly PE-Backed</t>
        </is>
      </c>
      <c r="N183" s="26" t="n">
        <v>3.76</v>
      </c>
      <c r="O183" s="27" t="inlineStr">
        <is>
          <t>Generating Revenue</t>
        </is>
      </c>
      <c r="P183" s="28" t="inlineStr">
        <is>
          <t>Acquired/Merged</t>
        </is>
      </c>
      <c r="Q183" s="29" t="inlineStr">
        <is>
          <t>Private Equity, Publicly Listed</t>
        </is>
      </c>
      <c r="R183" s="30" t="inlineStr">
        <is>
          <t>www.sola.com</t>
        </is>
      </c>
      <c r="S183" s="31" t="n">
        <v>6634.0</v>
      </c>
      <c r="T183" s="32" t="inlineStr">
        <is>
          <t>1960: 9, 1995: 5500, 1996: 5800, 1997: 7500, 1998: 7800, 1999: 7450, 2000: 7300, 2001: 7080, 2002: 6983, 2003: 6791, 2004: 6634</t>
        </is>
      </c>
      <c r="U183" s="33" t="inlineStr">
        <is>
          <t/>
        </is>
      </c>
      <c r="V183" s="34" t="inlineStr">
        <is>
          <t/>
        </is>
      </c>
      <c r="W183" s="35" t="n">
        <v>1960.0</v>
      </c>
      <c r="X183" s="36" t="inlineStr">
        <is>
          <t/>
        </is>
      </c>
      <c r="Y183" s="37" t="inlineStr">
        <is>
          <t/>
        </is>
      </c>
      <c r="Z183" s="38" t="inlineStr">
        <is>
          <t/>
        </is>
      </c>
      <c r="AA183" s="39" t="n">
        <v>1400.34</v>
      </c>
      <c r="AB183" s="40" t="inlineStr">
        <is>
          <t/>
        </is>
      </c>
      <c r="AC183" s="41" t="inlineStr">
        <is>
          <t/>
        </is>
      </c>
      <c r="AD183" s="42" t="inlineStr">
        <is>
          <t/>
        </is>
      </c>
      <c r="AE183" s="43" t="inlineStr">
        <is>
          <t/>
        </is>
      </c>
      <c r="AF183" s="44" t="inlineStr">
        <is>
          <t>FY 2006</t>
        </is>
      </c>
      <c r="AG183" s="45" t="inlineStr">
        <is>
          <t/>
        </is>
      </c>
      <c r="AH183" s="46" t="inlineStr">
        <is>
          <t/>
        </is>
      </c>
      <c r="AI183" s="47" t="inlineStr">
        <is>
          <t/>
        </is>
      </c>
      <c r="AJ183" s="48" t="inlineStr">
        <is>
          <t/>
        </is>
      </c>
      <c r="AK183" s="49" t="inlineStr">
        <is>
          <t/>
        </is>
      </c>
      <c r="AL183" s="50" t="inlineStr">
        <is>
          <t/>
        </is>
      </c>
      <c r="AM183" s="51" t="inlineStr">
        <is>
          <t/>
        </is>
      </c>
      <c r="AN183" s="52" t="inlineStr">
        <is>
          <t/>
        </is>
      </c>
      <c r="AO183" s="53" t="inlineStr">
        <is>
          <t>San Diego, CA</t>
        </is>
      </c>
      <c r="AP183" s="54" t="inlineStr">
        <is>
          <t>10590 West Ocean Air Drive</t>
        </is>
      </c>
      <c r="AQ183" s="55" t="inlineStr">
        <is>
          <t>Suite 300</t>
        </is>
      </c>
      <c r="AR183" s="56" t="inlineStr">
        <is>
          <t>San Diego</t>
        </is>
      </c>
      <c r="AS183" s="57" t="inlineStr">
        <is>
          <t>California</t>
        </is>
      </c>
      <c r="AT183" s="58" t="inlineStr">
        <is>
          <t>92130</t>
        </is>
      </c>
      <c r="AU183" s="59" t="inlineStr">
        <is>
          <t>United States</t>
        </is>
      </c>
      <c r="AV183" s="60" t="inlineStr">
        <is>
          <t>+1 (858) 509-9899</t>
        </is>
      </c>
      <c r="AW183" s="61" t="inlineStr">
        <is>
          <t/>
        </is>
      </c>
      <c r="AX183" s="62" t="inlineStr">
        <is>
          <t>info@sola.com</t>
        </is>
      </c>
      <c r="AY183" s="63" t="inlineStr">
        <is>
          <t>Americas</t>
        </is>
      </c>
      <c r="AZ183" s="64" t="inlineStr">
        <is>
          <t>North America</t>
        </is>
      </c>
      <c r="BA183" s="65" t="inlineStr">
        <is>
          <t>The company was merged with eyeglass business of Carl Zeiss to form Carl Zeiss Vision on April 11, 2005. The company is no longer actively tracked by PitchBook.</t>
        </is>
      </c>
      <c r="BB183" s="66" t="inlineStr">
        <is>
          <t/>
        </is>
      </c>
      <c r="BC183" s="67" t="inlineStr">
        <is>
          <t/>
        </is>
      </c>
      <c r="BD183" s="68" t="inlineStr">
        <is>
          <t>Carl Zeiss Vision Holding</t>
        </is>
      </c>
      <c r="BE183" s="69" t="inlineStr">
        <is>
          <t>AEA Investors, EQT, ZEISS International</t>
        </is>
      </c>
      <c r="BF183" s="70" t="inlineStr">
        <is>
          <t/>
        </is>
      </c>
      <c r="BG183" s="71" t="inlineStr">
        <is>
          <t/>
        </is>
      </c>
      <c r="BH183" s="72" t="inlineStr">
        <is>
          <t>AEA Investors(www.aeainvestors.com), EQT(www.eqtpartners.com), ZEISS International(www.zeiss.com)</t>
        </is>
      </c>
      <c r="BI183" s="73" t="inlineStr">
        <is>
          <t/>
        </is>
      </c>
      <c r="BJ183" s="74" t="inlineStr">
        <is>
          <t/>
        </is>
      </c>
      <c r="BK183" s="75" t="inlineStr">
        <is>
          <t>Cahill Gordon &amp; Reindel(Legal Advisor), Credit Suisse(Debt Financing), Deutsche Bank(Debt Financing), Drinker Biddle &amp; Reath(Legal Advisor), Lovells(Legal Advisor), Morgan Stanley(Advisor: General), PwC(Auditor), UBS(Advisor: General)</t>
        </is>
      </c>
      <c r="BL183" s="76" t="n">
        <v>34304.0</v>
      </c>
      <c r="BM183" s="77" t="inlineStr">
        <is>
          <t/>
        </is>
      </c>
      <c r="BN183" s="78" t="inlineStr">
        <is>
          <t/>
        </is>
      </c>
      <c r="BO183" s="79" t="inlineStr">
        <is>
          <t/>
        </is>
      </c>
      <c r="BP183" s="80" t="inlineStr">
        <is>
          <t/>
        </is>
      </c>
      <c r="BQ183" s="81" t="inlineStr">
        <is>
          <t>PE Growth/Expansion</t>
        </is>
      </c>
      <c r="BR183" s="82" t="inlineStr">
        <is>
          <t/>
        </is>
      </c>
      <c r="BS183" s="83" t="inlineStr">
        <is>
          <t/>
        </is>
      </c>
      <c r="BT183" s="84" t="inlineStr">
        <is>
          <t>Private Equity</t>
        </is>
      </c>
      <c r="BU183" s="85" t="inlineStr">
        <is>
          <t/>
        </is>
      </c>
      <c r="BV183" s="86" t="inlineStr">
        <is>
          <t/>
        </is>
      </c>
      <c r="BW183" s="87" t="inlineStr">
        <is>
          <t/>
        </is>
      </c>
      <c r="BX183" s="88" t="inlineStr">
        <is>
          <t>Completed</t>
        </is>
      </c>
      <c r="BY183" s="89" t="n">
        <v>38453.0</v>
      </c>
      <c r="BZ183" s="90" t="inlineStr">
        <is>
          <t/>
        </is>
      </c>
      <c r="CA183" s="91" t="inlineStr">
        <is>
          <t/>
        </is>
      </c>
      <c r="CB183" s="92" t="inlineStr">
        <is>
          <t/>
        </is>
      </c>
      <c r="CC183" s="93" t="inlineStr">
        <is>
          <t/>
        </is>
      </c>
      <c r="CD183" s="94" t="inlineStr">
        <is>
          <t>Merger of Equals</t>
        </is>
      </c>
      <c r="CE183" s="95" t="inlineStr">
        <is>
          <t/>
        </is>
      </c>
      <c r="CF183" s="96" t="inlineStr">
        <is>
          <t/>
        </is>
      </c>
      <c r="CG183" s="97" t="inlineStr">
        <is>
          <t>Corporate</t>
        </is>
      </c>
      <c r="CH183" s="98" t="inlineStr">
        <is>
          <t/>
        </is>
      </c>
      <c r="CI183" s="99" t="inlineStr">
        <is>
          <t/>
        </is>
      </c>
      <c r="CJ183" s="100" t="inlineStr">
        <is>
          <t/>
        </is>
      </c>
      <c r="CK183" s="101" t="inlineStr">
        <is>
          <t>Completed</t>
        </is>
      </c>
      <c r="CL183" s="102" t="n">
        <v>38453.0</v>
      </c>
      <c r="CM183" s="103" t="inlineStr">
        <is>
          <t/>
        </is>
      </c>
      <c r="CN183" s="104" t="inlineStr">
        <is>
          <t/>
        </is>
      </c>
      <c r="CO183" s="105" t="inlineStr">
        <is>
          <t/>
        </is>
      </c>
      <c r="CP183" s="106" t="inlineStr">
        <is>
          <t/>
        </is>
      </c>
      <c r="CQ183" s="107" t="inlineStr">
        <is>
          <t/>
        </is>
      </c>
      <c r="CR183" s="108" t="inlineStr">
        <is>
          <t/>
        </is>
      </c>
      <c r="CS183" s="109" t="inlineStr">
        <is>
          <t/>
        </is>
      </c>
      <c r="CT183" s="110" t="inlineStr">
        <is>
          <t/>
        </is>
      </c>
      <c r="CU183" s="111" t="inlineStr">
        <is>
          <t/>
        </is>
      </c>
      <c r="CV183" s="112" t="inlineStr">
        <is>
          <t/>
        </is>
      </c>
      <c r="CW183" s="113" t="inlineStr">
        <is>
          <t/>
        </is>
      </c>
      <c r="CX183" s="114" t="inlineStr">
        <is>
          <t/>
        </is>
      </c>
      <c r="CY183" s="115" t="inlineStr">
        <is>
          <t/>
        </is>
      </c>
      <c r="CZ183" s="116" t="inlineStr">
        <is>
          <t/>
        </is>
      </c>
      <c r="DA183" s="117" t="inlineStr">
        <is>
          <t/>
        </is>
      </c>
      <c r="DB183" s="118" t="inlineStr">
        <is>
          <t/>
        </is>
      </c>
      <c r="DC183" s="119" t="inlineStr">
        <is>
          <t/>
        </is>
      </c>
      <c r="DD183" s="120" t="inlineStr">
        <is>
          <t/>
        </is>
      </c>
      <c r="DE183" s="121" t="inlineStr">
        <is>
          <t/>
        </is>
      </c>
      <c r="DF183" s="122" t="inlineStr">
        <is>
          <t/>
        </is>
      </c>
      <c r="DG183" s="123" t="inlineStr">
        <is>
          <t/>
        </is>
      </c>
      <c r="DH183" s="124" t="inlineStr">
        <is>
          <t/>
        </is>
      </c>
      <c r="DI183" s="125" t="inlineStr">
        <is>
          <t/>
        </is>
      </c>
      <c r="DJ183" s="126" t="inlineStr">
        <is>
          <t/>
        </is>
      </c>
      <c r="DK183" s="127" t="inlineStr">
        <is>
          <t/>
        </is>
      </c>
      <c r="DL183" s="128" t="inlineStr">
        <is>
          <t/>
        </is>
      </c>
      <c r="DM183" s="129" t="inlineStr">
        <is>
          <t/>
        </is>
      </c>
      <c r="DN183" s="130" t="inlineStr">
        <is>
          <t/>
        </is>
      </c>
      <c r="DO183" s="131" t="inlineStr">
        <is>
          <t/>
        </is>
      </c>
      <c r="DP183" s="132" t="inlineStr">
        <is>
          <t/>
        </is>
      </c>
      <c r="DQ183" s="133" t="inlineStr">
        <is>
          <t/>
        </is>
      </c>
      <c r="DR183" s="134" t="inlineStr">
        <is>
          <t/>
        </is>
      </c>
      <c r="DS183" s="135" t="inlineStr">
        <is>
          <t/>
        </is>
      </c>
      <c r="DT183" s="136" t="inlineStr">
        <is>
          <t/>
        </is>
      </c>
      <c r="DU183" s="137" t="inlineStr">
        <is>
          <t/>
        </is>
      </c>
      <c r="DV183" s="138" t="inlineStr">
        <is>
          <t/>
        </is>
      </c>
      <c r="DW183" s="139" t="inlineStr">
        <is>
          <t/>
        </is>
      </c>
      <c r="DX183" s="140" t="inlineStr">
        <is>
          <t/>
        </is>
      </c>
      <c r="DY183" s="141" t="inlineStr">
        <is>
          <t>PitchBook Research</t>
        </is>
      </c>
      <c r="DZ183" s="142" t="n">
        <v>43351.0</v>
      </c>
      <c r="EA183" s="143" t="n">
        <v>1985.0</v>
      </c>
      <c r="EB183" s="144" t="n">
        <v>38453.0</v>
      </c>
      <c r="EC183" s="145" t="inlineStr">
        <is>
          <t>Buyout/LBO</t>
        </is>
      </c>
      <c r="ED183" s="547">
        <f>HYPERLINK("https://my.pitchbook.com?c=11647-09", "View company online")</f>
      </c>
    </row>
    <row r="184">
      <c r="A184" s="147" t="inlineStr">
        <is>
          <t>62158-87</t>
        </is>
      </c>
      <c r="B184" s="148" t="inlineStr">
        <is>
          <t>Dockers</t>
        </is>
      </c>
      <c r="C184" s="149" t="inlineStr">
        <is>
          <t/>
        </is>
      </c>
      <c r="D184" s="150" t="inlineStr">
        <is>
          <t/>
        </is>
      </c>
      <c r="E184" s="151" t="inlineStr">
        <is>
          <t>62158-87</t>
        </is>
      </c>
      <c r="F184" s="152" t="inlineStr">
        <is>
          <t>Operator of an online store intended sell khadi based apparel. The company's online store provides shirts, sweat shirts, T-shirts, jackets and other well-crafted clothing range, enabling clients to avail the products at a reasonable rate.</t>
        </is>
      </c>
      <c r="G184" s="153" t="inlineStr">
        <is>
          <t>Consumer Products and Services (B2C)</t>
        </is>
      </c>
      <c r="H184" s="154" t="inlineStr">
        <is>
          <t>Retail</t>
        </is>
      </c>
      <c r="I184" s="155" t="inlineStr">
        <is>
          <t>Internet Retail</t>
        </is>
      </c>
      <c r="J184" s="156" t="inlineStr">
        <is>
          <t>Clothing, Information Services (B2C), Internet Retail*</t>
        </is>
      </c>
      <c r="K184" s="157" t="inlineStr">
        <is>
          <t>E-Commerce, TMT</t>
        </is>
      </c>
      <c r="L184" s="158" t="inlineStr">
        <is>
          <t>clothing, mono labels, online clothes</t>
        </is>
      </c>
      <c r="M184" s="159" t="inlineStr">
        <is>
          <t>Venture Capital-Backed</t>
        </is>
      </c>
      <c r="N184" s="160" t="inlineStr">
        <is>
          <t/>
        </is>
      </c>
      <c r="O184" s="161" t="inlineStr">
        <is>
          <t>Generating Revenue</t>
        </is>
      </c>
      <c r="P184" s="162" t="inlineStr">
        <is>
          <t>Privately Held (backing)</t>
        </is>
      </c>
      <c r="Q184" s="163" t="inlineStr">
        <is>
          <t>Venture Capital</t>
        </is>
      </c>
      <c r="R184" s="164" t="inlineStr">
        <is>
          <t>www.dockers.com</t>
        </is>
      </c>
      <c r="S184" s="165" t="inlineStr">
        <is>
          <t/>
        </is>
      </c>
      <c r="T184" s="166" t="inlineStr">
        <is>
          <t/>
        </is>
      </c>
      <c r="U184" s="167" t="inlineStr">
        <is>
          <t/>
        </is>
      </c>
      <c r="V184" s="168" t="inlineStr">
        <is>
          <t/>
        </is>
      </c>
      <c r="W184" s="169" t="n">
        <v>1986.0</v>
      </c>
      <c r="X184" s="170" t="inlineStr">
        <is>
          <t/>
        </is>
      </c>
      <c r="Y184" s="171" t="inlineStr">
        <is>
          <t/>
        </is>
      </c>
      <c r="Z184" s="172" t="inlineStr">
        <is>
          <t>Competitor (New) Primary Kids</t>
        </is>
      </c>
      <c r="AA184" s="173" t="n">
        <v>1400.0</v>
      </c>
      <c r="AB184" s="174" t="inlineStr">
        <is>
          <t/>
        </is>
      </c>
      <c r="AC184" s="175" t="inlineStr">
        <is>
          <t/>
        </is>
      </c>
      <c r="AD184" s="176" t="inlineStr">
        <is>
          <t/>
        </is>
      </c>
      <c r="AE184" s="177" t="inlineStr">
        <is>
          <t/>
        </is>
      </c>
      <c r="AF184" s="178" t="inlineStr">
        <is>
          <t>FY 2013</t>
        </is>
      </c>
      <c r="AG184" s="179" t="inlineStr">
        <is>
          <t/>
        </is>
      </c>
      <c r="AH184" s="180" t="inlineStr">
        <is>
          <t/>
        </is>
      </c>
      <c r="AI184" s="181" t="inlineStr">
        <is>
          <t/>
        </is>
      </c>
      <c r="AJ184" s="182" t="inlineStr">
        <is>
          <t>134072-20P</t>
        </is>
      </c>
      <c r="AK184" s="183" t="inlineStr">
        <is>
          <t>Adrienne Shaw</t>
        </is>
      </c>
      <c r="AL184" s="184" t="inlineStr">
        <is>
          <t>Vice President &amp; Chief Marketing Officer</t>
        </is>
      </c>
      <c r="AM184" s="185" t="inlineStr">
        <is>
          <t>adrienne.shaw@dockers.com</t>
        </is>
      </c>
      <c r="AN184" s="186" t="inlineStr">
        <is>
          <t>+49 (0)18 6629 0606 4</t>
        </is>
      </c>
      <c r="AO184" s="187" t="inlineStr">
        <is>
          <t>Neu-Isenburg, Germany</t>
        </is>
      </c>
      <c r="AP184" s="188" t="inlineStr">
        <is>
          <t>Martin-Behaim-Straße 12</t>
        </is>
      </c>
      <c r="AQ184" s="189" t="inlineStr">
        <is>
          <t/>
        </is>
      </c>
      <c r="AR184" s="190" t="inlineStr">
        <is>
          <t>Neu-Isenburg</t>
        </is>
      </c>
      <c r="AS184" s="191" t="inlineStr">
        <is>
          <t/>
        </is>
      </c>
      <c r="AT184" s="192" t="inlineStr">
        <is>
          <t>63263</t>
        </is>
      </c>
      <c r="AU184" s="193" t="inlineStr">
        <is>
          <t>Germany</t>
        </is>
      </c>
      <c r="AV184" s="194" t="inlineStr">
        <is>
          <t>+49 (0)18 6629 0606 4</t>
        </is>
      </c>
      <c r="AW184" s="195" t="inlineStr">
        <is>
          <t>+49 (0)61 0232 3982 9</t>
        </is>
      </c>
      <c r="AX184" s="196" t="inlineStr">
        <is>
          <t>service@dockersshop.com</t>
        </is>
      </c>
      <c r="AY184" s="197" t="inlineStr">
        <is>
          <t>Europe</t>
        </is>
      </c>
      <c r="AZ184" s="198" t="inlineStr">
        <is>
          <t>Western Europe</t>
        </is>
      </c>
      <c r="BA184" s="199" t="inlineStr">
        <is>
          <t>The company raised an undisclosed amount of venture funding from Media Ventures and Levi Strauss &amp; Co. on January 28, 2010.</t>
        </is>
      </c>
      <c r="BB184" s="200" t="inlineStr">
        <is>
          <t>Levi Strauss &amp; Co., Media Ventures</t>
        </is>
      </c>
      <c r="BC184" s="201" t="n">
        <v>2.0</v>
      </c>
      <c r="BD184" s="202" t="inlineStr">
        <is>
          <t/>
        </is>
      </c>
      <c r="BE184" s="203" t="inlineStr">
        <is>
          <t/>
        </is>
      </c>
      <c r="BF184" s="204" t="inlineStr">
        <is>
          <t/>
        </is>
      </c>
      <c r="BG184" s="205" t="inlineStr">
        <is>
          <t>Levi Strauss &amp; Co.(www.levistrauss.com), Media Ventures(www.mediaventures.de)</t>
        </is>
      </c>
      <c r="BH184" s="206" t="inlineStr">
        <is>
          <t/>
        </is>
      </c>
      <c r="BI184" s="207" t="inlineStr">
        <is>
          <t/>
        </is>
      </c>
      <c r="BJ184" s="208" t="inlineStr">
        <is>
          <t/>
        </is>
      </c>
      <c r="BK184" s="209" t="inlineStr">
        <is>
          <t/>
        </is>
      </c>
      <c r="BL184" s="210" t="n">
        <v>40206.0</v>
      </c>
      <c r="BM184" s="211" t="inlineStr">
        <is>
          <t/>
        </is>
      </c>
      <c r="BN184" s="212" t="inlineStr">
        <is>
          <t/>
        </is>
      </c>
      <c r="BO184" s="213" t="inlineStr">
        <is>
          <t/>
        </is>
      </c>
      <c r="BP184" s="214" t="inlineStr">
        <is>
          <t/>
        </is>
      </c>
      <c r="BQ184" s="215" t="inlineStr">
        <is>
          <t>Later Stage VC</t>
        </is>
      </c>
      <c r="BR184" s="216" t="inlineStr">
        <is>
          <t/>
        </is>
      </c>
      <c r="BS184" s="217" t="inlineStr">
        <is>
          <t/>
        </is>
      </c>
      <c r="BT184" s="218" t="inlineStr">
        <is>
          <t>Venture Capital</t>
        </is>
      </c>
      <c r="BU184" s="219" t="inlineStr">
        <is>
          <t/>
        </is>
      </c>
      <c r="BV184" s="220" t="inlineStr">
        <is>
          <t/>
        </is>
      </c>
      <c r="BW184" s="221" t="inlineStr">
        <is>
          <t/>
        </is>
      </c>
      <c r="BX184" s="222" t="inlineStr">
        <is>
          <t>Completed</t>
        </is>
      </c>
      <c r="BY184" s="223" t="n">
        <v>40206.0</v>
      </c>
      <c r="BZ184" s="224" t="inlineStr">
        <is>
          <t/>
        </is>
      </c>
      <c r="CA184" s="225" t="inlineStr">
        <is>
          <t/>
        </is>
      </c>
      <c r="CB184" s="226" t="inlineStr">
        <is>
          <t/>
        </is>
      </c>
      <c r="CC184" s="227" t="inlineStr">
        <is>
          <t/>
        </is>
      </c>
      <c r="CD184" s="228" t="inlineStr">
        <is>
          <t>Later Stage VC</t>
        </is>
      </c>
      <c r="CE184" s="229" t="inlineStr">
        <is>
          <t/>
        </is>
      </c>
      <c r="CF184" s="230" t="inlineStr">
        <is>
          <t/>
        </is>
      </c>
      <c r="CG184" s="231" t="inlineStr">
        <is>
          <t>Venture Capital</t>
        </is>
      </c>
      <c r="CH184" s="232" t="inlineStr">
        <is>
          <t/>
        </is>
      </c>
      <c r="CI184" s="233" t="inlineStr">
        <is>
          <t/>
        </is>
      </c>
      <c r="CJ184" s="234" t="inlineStr">
        <is>
          <t/>
        </is>
      </c>
      <c r="CK184" s="235" t="inlineStr">
        <is>
          <t>Completed</t>
        </is>
      </c>
      <c r="CL184" s="236" t="inlineStr">
        <is>
          <t/>
        </is>
      </c>
      <c r="CM184" s="237" t="inlineStr">
        <is>
          <t/>
        </is>
      </c>
      <c r="CN184" s="238" t="n">
        <v>0.6</v>
      </c>
      <c r="CO184" s="239" t="n">
        <v>95.0</v>
      </c>
      <c r="CP184" s="240" t="n">
        <v>0.0</v>
      </c>
      <c r="CQ184" s="241" t="n">
        <v>0.59</v>
      </c>
      <c r="CR184" s="242" t="n">
        <v>1.23</v>
      </c>
      <c r="CS184" s="243" t="n">
        <v>98.0</v>
      </c>
      <c r="CT184" s="244" t="n">
        <v>-0.03</v>
      </c>
      <c r="CU184" s="245" t="n">
        <v>20.0</v>
      </c>
      <c r="CV184" s="246" t="n">
        <v>1.23</v>
      </c>
      <c r="CW184" s="247" t="n">
        <v>88.0</v>
      </c>
      <c r="CX184" s="248" t="inlineStr">
        <is>
          <t/>
        </is>
      </c>
      <c r="CY184" s="249" t="inlineStr">
        <is>
          <t/>
        </is>
      </c>
      <c r="CZ184" s="250" t="n">
        <v>-0.03</v>
      </c>
      <c r="DA184" s="251" t="n">
        <v>23.0</v>
      </c>
      <c r="DB184" s="252" t="n">
        <v>95.18</v>
      </c>
      <c r="DC184" s="253" t="n">
        <v>99.0</v>
      </c>
      <c r="DD184" s="254" t="n">
        <v>0.09</v>
      </c>
      <c r="DE184" s="255" t="n">
        <v>0.1</v>
      </c>
      <c r="DF184" s="256" t="n">
        <v>156.01</v>
      </c>
      <c r="DG184" s="257" t="n">
        <v>100.0</v>
      </c>
      <c r="DH184" s="258" t="n">
        <v>34.35</v>
      </c>
      <c r="DI184" s="259" t="n">
        <v>94.0</v>
      </c>
      <c r="DJ184" s="260" t="n">
        <v>156.01</v>
      </c>
      <c r="DK184" s="261" t="n">
        <v>98.0</v>
      </c>
      <c r="DL184" s="262" t="inlineStr">
        <is>
          <t/>
        </is>
      </c>
      <c r="DM184" s="263" t="inlineStr">
        <is>
          <t/>
        </is>
      </c>
      <c r="DN184" s="264" t="n">
        <v>34.35</v>
      </c>
      <c r="DO184" s="265" t="n">
        <v>95.0</v>
      </c>
      <c r="DP184" s="266" t="n">
        <v>111764.0</v>
      </c>
      <c r="DQ184" s="267" t="n">
        <v>-4746.0</v>
      </c>
      <c r="DR184" s="268" t="n">
        <v>-4.07</v>
      </c>
      <c r="DS184" s="269" t="inlineStr">
        <is>
          <t/>
        </is>
      </c>
      <c r="DT184" s="270" t="inlineStr">
        <is>
          <t/>
        </is>
      </c>
      <c r="DU184" s="271" t="inlineStr">
        <is>
          <t/>
        </is>
      </c>
      <c r="DV184" s="272" t="n">
        <v>12332.0</v>
      </c>
      <c r="DW184" s="273" t="n">
        <v>-4.0</v>
      </c>
      <c r="DX184" s="274" t="n">
        <v>-0.03</v>
      </c>
      <c r="DY184" s="275" t="inlineStr">
        <is>
          <t>PitchBook Research</t>
        </is>
      </c>
      <c r="DZ184" s="276" t="n">
        <v>43448.0</v>
      </c>
      <c r="EA184" s="277" t="inlineStr">
        <is>
          <t/>
        </is>
      </c>
      <c r="EB184" s="278" t="inlineStr">
        <is>
          <t/>
        </is>
      </c>
      <c r="EC184" s="279" t="inlineStr">
        <is>
          <t/>
        </is>
      </c>
      <c r="ED184" s="548">
        <f>HYPERLINK("https://my.pitchbook.com?c=62158-87", "View company online")</f>
      </c>
    </row>
    <row r="185">
      <c r="A185" s="13" t="inlineStr">
        <is>
          <t>169693-48</t>
        </is>
      </c>
      <c r="B185" s="14" t="inlineStr">
        <is>
          <t>GE Auto Service Leasing</t>
        </is>
      </c>
      <c r="C185" s="15" t="inlineStr">
        <is>
          <t/>
        </is>
      </c>
      <c r="D185" s="16" t="inlineStr">
        <is>
          <t/>
        </is>
      </c>
      <c r="E185" s="17" t="inlineStr">
        <is>
          <t>169693-48</t>
        </is>
      </c>
      <c r="F185" s="18" t="inlineStr">
        <is>
          <t>Provider of automobile leasing services. The company's automobile leasing services offers used vehicles of German and foreign brands, enabling private individuals and businesses to get international purchase options, online contract conclusion and around the clock availability options.</t>
        </is>
      </c>
      <c r="G185" s="19" t="inlineStr">
        <is>
          <t>Consumer Products and Services (B2C)</t>
        </is>
      </c>
      <c r="H185" s="20" t="inlineStr">
        <is>
          <t>Retail</t>
        </is>
      </c>
      <c r="I185" s="21" t="inlineStr">
        <is>
          <t>Specialty Retail</t>
        </is>
      </c>
      <c r="J185" s="22" t="inlineStr">
        <is>
          <t>Luxury Goods, Other Commercial Services, Specialty Retail*</t>
        </is>
      </c>
      <c r="K185" s="23" t="inlineStr">
        <is>
          <t/>
        </is>
      </c>
      <c r="L185" s="24" t="inlineStr">
        <is>
          <t>automobile financing, automobile leasing, automobile purchasing, used car</t>
        </is>
      </c>
      <c r="M185" s="25" t="inlineStr">
        <is>
          <t>Corporate Backed or Acquired</t>
        </is>
      </c>
      <c r="N185" s="26" t="inlineStr">
        <is>
          <t/>
        </is>
      </c>
      <c r="O185" s="27" t="inlineStr">
        <is>
          <t>Generating Revenue</t>
        </is>
      </c>
      <c r="P185" s="28" t="inlineStr">
        <is>
          <t>Acquired/Merged</t>
        </is>
      </c>
      <c r="Q185" s="29" t="inlineStr">
        <is>
          <t>M&amp;A</t>
        </is>
      </c>
      <c r="R185" s="30" t="inlineStr">
        <is>
          <t>www.ge-cars.de</t>
        </is>
      </c>
      <c r="S185" s="31" t="inlineStr">
        <is>
          <t/>
        </is>
      </c>
      <c r="T185" s="32" t="inlineStr">
        <is>
          <t/>
        </is>
      </c>
      <c r="U185" s="33" t="inlineStr">
        <is>
          <t/>
        </is>
      </c>
      <c r="V185" s="34" t="inlineStr">
        <is>
          <t/>
        </is>
      </c>
      <c r="W185" s="35" t="n">
        <v>1969.0</v>
      </c>
      <c r="X185" s="36" t="inlineStr">
        <is>
          <t/>
        </is>
      </c>
      <c r="Y185" s="37" t="inlineStr">
        <is>
          <t/>
        </is>
      </c>
      <c r="Z185" s="38" t="inlineStr">
        <is>
          <t/>
        </is>
      </c>
      <c r="AA185" s="39" t="n">
        <v>1389.88</v>
      </c>
      <c r="AB185" s="40" t="n">
        <v>0.0</v>
      </c>
      <c r="AC185" s="41" t="inlineStr">
        <is>
          <t/>
        </is>
      </c>
      <c r="AD185" s="42" t="inlineStr">
        <is>
          <t/>
        </is>
      </c>
      <c r="AE185" s="43" t="n">
        <v>502.44</v>
      </c>
      <c r="AF185" s="44" t="inlineStr">
        <is>
          <t>FY 2008</t>
        </is>
      </c>
      <c r="AG185" s="45" t="inlineStr">
        <is>
          <t/>
        </is>
      </c>
      <c r="AH185" s="46" t="inlineStr">
        <is>
          <t/>
        </is>
      </c>
      <c r="AI185" s="47" t="inlineStr">
        <is>
          <t/>
        </is>
      </c>
      <c r="AJ185" s="48" t="inlineStr">
        <is>
          <t>155500-93P</t>
        </is>
      </c>
      <c r="AK185" s="49" t="inlineStr">
        <is>
          <t>Andreas Lackner</t>
        </is>
      </c>
      <c r="AL185" s="50" t="inlineStr">
        <is>
          <t>Chief Executive Officer</t>
        </is>
      </c>
      <c r="AM185" s="51" t="inlineStr">
        <is>
          <t/>
        </is>
      </c>
      <c r="AN185" s="52" t="inlineStr">
        <is>
          <t/>
        </is>
      </c>
      <c r="AO185" s="53" t="inlineStr">
        <is>
          <t>Oberhaching, Germany</t>
        </is>
      </c>
      <c r="AP185" s="54" t="inlineStr">
        <is>
          <t>Bajuwarenring 5</t>
        </is>
      </c>
      <c r="AQ185" s="55" t="inlineStr">
        <is>
          <t/>
        </is>
      </c>
      <c r="AR185" s="56" t="inlineStr">
        <is>
          <t>Oberhaching</t>
        </is>
      </c>
      <c r="AS185" s="57" t="inlineStr">
        <is>
          <t/>
        </is>
      </c>
      <c r="AT185" s="58" t="inlineStr">
        <is>
          <t>82041</t>
        </is>
      </c>
      <c r="AU185" s="59" t="inlineStr">
        <is>
          <t>Germany</t>
        </is>
      </c>
      <c r="AV185" s="60" t="inlineStr">
        <is>
          <t/>
        </is>
      </c>
      <c r="AW185" s="61" t="inlineStr">
        <is>
          <t/>
        </is>
      </c>
      <c r="AX185" s="62" t="inlineStr">
        <is>
          <t/>
        </is>
      </c>
      <c r="AY185" s="63" t="inlineStr">
        <is>
          <t>Europe</t>
        </is>
      </c>
      <c r="AZ185" s="64" t="inlineStr">
        <is>
          <t>Western Europe</t>
        </is>
      </c>
      <c r="BA185" s="65" t="inlineStr">
        <is>
          <t>The company was acquired by Arval Deutschland, a subsidiary of BNP Paribas (PAR: BNP), for an undisclosed amount on January 1, 2016. The company is no longer actively tracked by PitchBook.</t>
        </is>
      </c>
      <c r="BB185" s="66" t="inlineStr">
        <is>
          <t/>
        </is>
      </c>
      <c r="BC185" s="67" t="inlineStr">
        <is>
          <t/>
        </is>
      </c>
      <c r="BD185" s="68" t="inlineStr">
        <is>
          <t>Arval Deutschland</t>
        </is>
      </c>
      <c r="BE185" s="69" t="inlineStr">
        <is>
          <t/>
        </is>
      </c>
      <c r="BF185" s="70" t="inlineStr">
        <is>
          <t/>
        </is>
      </c>
      <c r="BG185" s="71" t="inlineStr">
        <is>
          <t/>
        </is>
      </c>
      <c r="BH185" s="72" t="inlineStr">
        <is>
          <t/>
        </is>
      </c>
      <c r="BI185" s="73" t="inlineStr">
        <is>
          <t/>
        </is>
      </c>
      <c r="BJ185" s="74" t="inlineStr">
        <is>
          <t/>
        </is>
      </c>
      <c r="BK185" s="75" t="inlineStr">
        <is>
          <t/>
        </is>
      </c>
      <c r="BL185" s="76" t="n">
        <v>42370.0</v>
      </c>
      <c r="BM185" s="77" t="inlineStr">
        <is>
          <t/>
        </is>
      </c>
      <c r="BN185" s="78" t="inlineStr">
        <is>
          <t/>
        </is>
      </c>
      <c r="BO185" s="79" t="inlineStr">
        <is>
          <t/>
        </is>
      </c>
      <c r="BP185" s="80" t="inlineStr">
        <is>
          <t/>
        </is>
      </c>
      <c r="BQ185" s="81" t="inlineStr">
        <is>
          <t>Merger/Acquisition</t>
        </is>
      </c>
      <c r="BR185" s="82" t="inlineStr">
        <is>
          <t/>
        </is>
      </c>
      <c r="BS185" s="83" t="inlineStr">
        <is>
          <t/>
        </is>
      </c>
      <c r="BT185" s="84" t="inlineStr">
        <is>
          <t>Corporate</t>
        </is>
      </c>
      <c r="BU185" s="85" t="inlineStr">
        <is>
          <t/>
        </is>
      </c>
      <c r="BV185" s="86" t="inlineStr">
        <is>
          <t/>
        </is>
      </c>
      <c r="BW185" s="87" t="inlineStr">
        <is>
          <t/>
        </is>
      </c>
      <c r="BX185" s="88" t="inlineStr">
        <is>
          <t>Completed</t>
        </is>
      </c>
      <c r="BY185" s="89" t="n">
        <v>42370.0</v>
      </c>
      <c r="BZ185" s="90" t="inlineStr">
        <is>
          <t/>
        </is>
      </c>
      <c r="CA185" s="91" t="inlineStr">
        <is>
          <t/>
        </is>
      </c>
      <c r="CB185" s="92" t="inlineStr">
        <is>
          <t/>
        </is>
      </c>
      <c r="CC185" s="93" t="inlineStr">
        <is>
          <t/>
        </is>
      </c>
      <c r="CD185" s="94" t="inlineStr">
        <is>
          <t>Merger/Acquisition</t>
        </is>
      </c>
      <c r="CE185" s="95" t="inlineStr">
        <is>
          <t/>
        </is>
      </c>
      <c r="CF185" s="96" t="inlineStr">
        <is>
          <t/>
        </is>
      </c>
      <c r="CG185" s="97" t="inlineStr">
        <is>
          <t>Corporate</t>
        </is>
      </c>
      <c r="CH185" s="98" t="inlineStr">
        <is>
          <t/>
        </is>
      </c>
      <c r="CI185" s="99" t="inlineStr">
        <is>
          <t/>
        </is>
      </c>
      <c r="CJ185" s="100" t="inlineStr">
        <is>
          <t/>
        </is>
      </c>
      <c r="CK185" s="101" t="inlineStr">
        <is>
          <t>Completed</t>
        </is>
      </c>
      <c r="CL185" s="102" t="inlineStr">
        <is>
          <t/>
        </is>
      </c>
      <c r="CM185" s="103" t="inlineStr">
        <is>
          <t/>
        </is>
      </c>
      <c r="CN185" s="104" t="inlineStr">
        <is>
          <t/>
        </is>
      </c>
      <c r="CO185" s="105" t="inlineStr">
        <is>
          <t/>
        </is>
      </c>
      <c r="CP185" s="106" t="inlineStr">
        <is>
          <t/>
        </is>
      </c>
      <c r="CQ185" s="107" t="inlineStr">
        <is>
          <t/>
        </is>
      </c>
      <c r="CR185" s="108" t="inlineStr">
        <is>
          <t/>
        </is>
      </c>
      <c r="CS185" s="109" t="inlineStr">
        <is>
          <t/>
        </is>
      </c>
      <c r="CT185" s="110" t="inlineStr">
        <is>
          <t/>
        </is>
      </c>
      <c r="CU185" s="111" t="inlineStr">
        <is>
          <t/>
        </is>
      </c>
      <c r="CV185" s="112" t="inlineStr">
        <is>
          <t/>
        </is>
      </c>
      <c r="CW185" s="113" t="inlineStr">
        <is>
          <t/>
        </is>
      </c>
      <c r="CX185" s="114" t="inlineStr">
        <is>
          <t/>
        </is>
      </c>
      <c r="CY185" s="115" t="inlineStr">
        <is>
          <t/>
        </is>
      </c>
      <c r="CZ185" s="116" t="inlineStr">
        <is>
          <t/>
        </is>
      </c>
      <c r="DA185" s="117" t="inlineStr">
        <is>
          <t/>
        </is>
      </c>
      <c r="DB185" s="118" t="inlineStr">
        <is>
          <t/>
        </is>
      </c>
      <c r="DC185" s="119" t="inlineStr">
        <is>
          <t/>
        </is>
      </c>
      <c r="DD185" s="120" t="inlineStr">
        <is>
          <t/>
        </is>
      </c>
      <c r="DE185" s="121" t="inlineStr">
        <is>
          <t/>
        </is>
      </c>
      <c r="DF185" s="122" t="inlineStr">
        <is>
          <t/>
        </is>
      </c>
      <c r="DG185" s="123" t="inlineStr">
        <is>
          <t/>
        </is>
      </c>
      <c r="DH185" s="124" t="inlineStr">
        <is>
          <t/>
        </is>
      </c>
      <c r="DI185" s="125" t="inlineStr">
        <is>
          <t/>
        </is>
      </c>
      <c r="DJ185" s="126" t="inlineStr">
        <is>
          <t/>
        </is>
      </c>
      <c r="DK185" s="127" t="inlineStr">
        <is>
          <t/>
        </is>
      </c>
      <c r="DL185" s="128" t="inlineStr">
        <is>
          <t/>
        </is>
      </c>
      <c r="DM185" s="129" t="inlineStr">
        <is>
          <t/>
        </is>
      </c>
      <c r="DN185" s="130" t="inlineStr">
        <is>
          <t/>
        </is>
      </c>
      <c r="DO185" s="131" t="inlineStr">
        <is>
          <t/>
        </is>
      </c>
      <c r="DP185" s="132" t="inlineStr">
        <is>
          <t/>
        </is>
      </c>
      <c r="DQ185" s="133" t="inlineStr">
        <is>
          <t/>
        </is>
      </c>
      <c r="DR185" s="134" t="inlineStr">
        <is>
          <t/>
        </is>
      </c>
      <c r="DS185" s="135" t="inlineStr">
        <is>
          <t/>
        </is>
      </c>
      <c r="DT185" s="136" t="inlineStr">
        <is>
          <t/>
        </is>
      </c>
      <c r="DU185" s="137" t="inlineStr">
        <is>
          <t/>
        </is>
      </c>
      <c r="DV185" s="138" t="inlineStr">
        <is>
          <t/>
        </is>
      </c>
      <c r="DW185" s="139" t="inlineStr">
        <is>
          <t/>
        </is>
      </c>
      <c r="DX185" s="140" t="inlineStr">
        <is>
          <t/>
        </is>
      </c>
      <c r="DY185" s="141" t="inlineStr">
        <is>
          <t>PitchBook Research</t>
        </is>
      </c>
      <c r="DZ185" s="142" t="n">
        <v>43469.0</v>
      </c>
      <c r="EA185" s="143" t="inlineStr">
        <is>
          <t/>
        </is>
      </c>
      <c r="EB185" s="144" t="inlineStr">
        <is>
          <t/>
        </is>
      </c>
      <c r="EC185" s="145" t="inlineStr">
        <is>
          <t/>
        </is>
      </c>
      <c r="ED185" s="547">
        <f>HYPERLINK("https://my.pitchbook.com?c=169693-48", "View company online")</f>
      </c>
    </row>
    <row r="186">
      <c r="A186" s="147" t="inlineStr">
        <is>
          <t>11757-07</t>
        </is>
      </c>
      <c r="B186" s="148" t="inlineStr">
        <is>
          <t>Kate Spade &amp; Company</t>
        </is>
      </c>
      <c r="C186" s="149" t="inlineStr">
        <is>
          <t/>
        </is>
      </c>
      <c r="D186" s="150" t="inlineStr">
        <is>
          <t>Kate Spade</t>
        </is>
      </c>
      <c r="E186" s="151" t="inlineStr">
        <is>
          <t>11757-07</t>
        </is>
      </c>
      <c r="F186" s="152" t="inlineStr">
        <is>
          <t>Designer and manufacturer of apparel and accessories. The company offers a variety of products including briefcases, handbags, fashion accessories, jewelry, footwear, fragrances, swimwear, watches, tabletop products, bedding, housewares, lighting products, and other related products.</t>
        </is>
      </c>
      <c r="G186" s="153" t="inlineStr">
        <is>
          <t>Consumer Products and Services (B2C)</t>
        </is>
      </c>
      <c r="H186" s="154" t="inlineStr">
        <is>
          <t>Apparel and Accessories</t>
        </is>
      </c>
      <c r="I186" s="155" t="inlineStr">
        <is>
          <t>Clothing</t>
        </is>
      </c>
      <c r="J186" s="156" t="inlineStr">
        <is>
          <t>Accessories, Clothing*, Home Furnishings</t>
        </is>
      </c>
      <c r="K186" s="157" t="inlineStr">
        <is>
          <t>Manufacturing</t>
        </is>
      </c>
      <c r="L186" s="158" t="inlineStr">
        <is>
          <t>children's wear, desktop accessories, jewelry designer, loungewear, women apparel</t>
        </is>
      </c>
      <c r="M186" s="159" t="inlineStr">
        <is>
          <t>Corporate Backed or Acquired</t>
        </is>
      </c>
      <c r="N186" s="160" t="inlineStr">
        <is>
          <t/>
        </is>
      </c>
      <c r="O186" s="161" t="inlineStr">
        <is>
          <t>Profitable</t>
        </is>
      </c>
      <c r="P186" s="162" t="inlineStr">
        <is>
          <t>Acquired/Merged (Operating Subsidiary)</t>
        </is>
      </c>
      <c r="Q186" s="163" t="inlineStr">
        <is>
          <t>M&amp;A, Private Equity, Publicly Listed</t>
        </is>
      </c>
      <c r="R186" s="164" t="inlineStr">
        <is>
          <t>www.katespadeandcompany.com</t>
        </is>
      </c>
      <c r="S186" s="165" t="n">
        <v>3900.0</v>
      </c>
      <c r="T186" s="166" t="inlineStr">
        <is>
          <t>1989: 5400, 1990: 4880, 1991: 7000, 1992: 7400, 1993: 7400, 1994: 8000, 1995: 7400, 1996: 7100, 1997: 7300, 1998: 7000, 1999: 7700, 2000: 8300, 2001: 10400, 2002: 12000, 2004: 13000, 2005: 14500, 2006: 17000, 2007: 16500, 2008: 15000, 2010: 11500, 2011: 11300, 2012: 5800, 2013: 6800, 2015: 3500, 2016: 3900</t>
        </is>
      </c>
      <c r="U186" s="167" t="inlineStr">
        <is>
          <t/>
        </is>
      </c>
      <c r="V186" s="168" t="inlineStr">
        <is>
          <t/>
        </is>
      </c>
      <c r="W186" s="169" t="n">
        <v>1976.0</v>
      </c>
      <c r="X186" s="170" t="inlineStr">
        <is>
          <t>Tapestry (New York)</t>
        </is>
      </c>
      <c r="Y186" s="171" t="inlineStr">
        <is>
          <t/>
        </is>
      </c>
      <c r="Z186" s="172" t="inlineStr">
        <is>
          <t>Competitor (New) BCBG Max Azria Group, Competitor (New) Kendra Scott, Competitor (New) Rag &amp; bone Holdings</t>
        </is>
      </c>
      <c r="AA186" s="173" t="n">
        <v>1378.28</v>
      </c>
      <c r="AB186" s="174" t="n">
        <v>828.9</v>
      </c>
      <c r="AC186" s="175" t="n">
        <v>143.31</v>
      </c>
      <c r="AD186" s="176" t="n">
        <v>2895.07</v>
      </c>
      <c r="AE186" s="177" t="n">
        <v>215.62</v>
      </c>
      <c r="AF186" s="178" t="inlineStr">
        <is>
          <t>TTM 1Q2017</t>
        </is>
      </c>
      <c r="AG186" s="179" t="inlineStr">
        <is>
          <t/>
        </is>
      </c>
      <c r="AH186" s="180" t="inlineStr">
        <is>
          <t/>
        </is>
      </c>
      <c r="AI186" s="181" t="inlineStr">
        <is>
          <t/>
        </is>
      </c>
      <c r="AJ186" s="182" t="inlineStr">
        <is>
          <t>60136-12P</t>
        </is>
      </c>
      <c r="AK186" s="183" t="inlineStr">
        <is>
          <t>Craig Leavitt</t>
        </is>
      </c>
      <c r="AL186" s="184" t="inlineStr">
        <is>
          <t>Chief Executive Officer &amp; Board Member</t>
        </is>
      </c>
      <c r="AM186" s="185" t="inlineStr">
        <is>
          <t/>
        </is>
      </c>
      <c r="AN186" s="186" t="inlineStr">
        <is>
          <t/>
        </is>
      </c>
      <c r="AO186" s="187" t="inlineStr">
        <is>
          <t>New York, NY</t>
        </is>
      </c>
      <c r="AP186" s="188" t="inlineStr">
        <is>
          <t>2 Park Avenue</t>
        </is>
      </c>
      <c r="AQ186" s="189" t="inlineStr">
        <is>
          <t/>
        </is>
      </c>
      <c r="AR186" s="190" t="inlineStr">
        <is>
          <t>New York</t>
        </is>
      </c>
      <c r="AS186" s="191" t="inlineStr">
        <is>
          <t>New York</t>
        </is>
      </c>
      <c r="AT186" s="192" t="inlineStr">
        <is>
          <t>10016</t>
        </is>
      </c>
      <c r="AU186" s="193" t="inlineStr">
        <is>
          <t>United States</t>
        </is>
      </c>
      <c r="AV186" s="194" t="inlineStr">
        <is>
          <t/>
        </is>
      </c>
      <c r="AW186" s="195" t="inlineStr">
        <is>
          <t/>
        </is>
      </c>
      <c r="AX186" s="196" t="inlineStr">
        <is>
          <t/>
        </is>
      </c>
      <c r="AY186" s="197" t="inlineStr">
        <is>
          <t>Americas</t>
        </is>
      </c>
      <c r="AZ186" s="198" t="inlineStr">
        <is>
          <t>North America</t>
        </is>
      </c>
      <c r="BA186" s="199" t="inlineStr">
        <is>
          <t>The company was acquired by Coach (NTSE: COH) for $1.6 billion on July 10, 2017. Through this acquisition, Coach will strengthen its overall platform and provide an additional vehicle for driving long-term, sustainable growth. Following the merger, Kate Spade &amp; Company will be a wholly owned subsidiary of Coach and its shares will be de-listed from the New York Stock Exchange. The deal was supported through $1.2 billion of bridge financing from Bank of America and other lenders.</t>
        </is>
      </c>
      <c r="BB186" s="200" t="inlineStr">
        <is>
          <t/>
        </is>
      </c>
      <c r="BC186" s="201" t="inlineStr">
        <is>
          <t/>
        </is>
      </c>
      <c r="BD186" s="202" t="inlineStr">
        <is>
          <t>Tapestry (New York)</t>
        </is>
      </c>
      <c r="BE186" s="203" t="inlineStr">
        <is>
          <t>Caerus Investors, Liz Claiborne</t>
        </is>
      </c>
      <c r="BF186" s="204" t="inlineStr">
        <is>
          <t>Capri Holdings, Kohlberg Kravis Roberts, Permira, Warburg Pincus</t>
        </is>
      </c>
      <c r="BG186" s="205" t="inlineStr">
        <is>
          <t/>
        </is>
      </c>
      <c r="BH186" s="206" t="inlineStr">
        <is>
          <t>Caerus Investors(www.caerusinvestors.com), Liz Claiborne(www.lizclaiborne.com)</t>
        </is>
      </c>
      <c r="BI186" s="207" t="inlineStr">
        <is>
          <t>Capri Holdings(www.michaelkors.com), Kohlberg Kravis Roberts(www.kkr.com), Permira(www.permira.com), Warburg Pincus(www.warburgpincus.com)</t>
        </is>
      </c>
      <c r="BJ186" s="208" t="inlineStr">
        <is>
          <t>Brock Capital Group(Advisor: General), Telsey Advisory Group(Advisor: General)</t>
        </is>
      </c>
      <c r="BK186" s="209" t="inlineStr">
        <is>
          <t>Bank of America Merrill Lynch(Debt Financing), Corporate Capital Trust(Debt Financing), Paul, Weiss, Rifkind, Wharton &amp; Garrison(Legal Advisor), Perella Weinberg Partners(Advisor: General)</t>
        </is>
      </c>
      <c r="BL186" s="210" t="n">
        <v>29746.0</v>
      </c>
      <c r="BM186" s="211" t="inlineStr">
        <is>
          <t/>
        </is>
      </c>
      <c r="BN186" s="212" t="inlineStr">
        <is>
          <t/>
        </is>
      </c>
      <c r="BO186" s="213" t="inlineStr">
        <is>
          <t/>
        </is>
      </c>
      <c r="BP186" s="214" t="inlineStr">
        <is>
          <t/>
        </is>
      </c>
      <c r="BQ186" s="215" t="inlineStr">
        <is>
          <t>IPO</t>
        </is>
      </c>
      <c r="BR186" s="216" t="inlineStr">
        <is>
          <t/>
        </is>
      </c>
      <c r="BS186" s="217" t="inlineStr">
        <is>
          <t/>
        </is>
      </c>
      <c r="BT186" s="218" t="inlineStr">
        <is>
          <t>Public Investment</t>
        </is>
      </c>
      <c r="BU186" s="219" t="inlineStr">
        <is>
          <t/>
        </is>
      </c>
      <c r="BV186" s="220" t="inlineStr">
        <is>
          <t/>
        </is>
      </c>
      <c r="BW186" s="221" t="inlineStr">
        <is>
          <t/>
        </is>
      </c>
      <c r="BX186" s="222" t="inlineStr">
        <is>
          <t>Completed</t>
        </is>
      </c>
      <c r="BY186" s="223" t="n">
        <v>42926.0</v>
      </c>
      <c r="BZ186" s="224" t="n">
        <v>1600.0</v>
      </c>
      <c r="CA186" s="225" t="inlineStr">
        <is>
          <t>Actual</t>
        </is>
      </c>
      <c r="CB186" s="226" t="n">
        <v>1600.0</v>
      </c>
      <c r="CC186" s="227" t="inlineStr">
        <is>
          <t>Actual</t>
        </is>
      </c>
      <c r="CD186" s="228" t="inlineStr">
        <is>
          <t>Merger/Acquisition</t>
        </is>
      </c>
      <c r="CE186" s="229" t="inlineStr">
        <is>
          <t/>
        </is>
      </c>
      <c r="CF186" s="230" t="inlineStr">
        <is>
          <t/>
        </is>
      </c>
      <c r="CG186" s="231" t="inlineStr">
        <is>
          <t>Corporate</t>
        </is>
      </c>
      <c r="CH186" s="232" t="inlineStr">
        <is>
          <t>Bridge</t>
        </is>
      </c>
      <c r="CI186" s="233" t="inlineStr">
        <is>
          <t/>
        </is>
      </c>
      <c r="CJ186" s="234" t="inlineStr">
        <is>
          <t/>
        </is>
      </c>
      <c r="CK186" s="235" t="inlineStr">
        <is>
          <t>Completed</t>
        </is>
      </c>
      <c r="CL186" s="236" t="n">
        <v>42926.0</v>
      </c>
      <c r="CM186" s="237" t="n">
        <v>1200.0</v>
      </c>
      <c r="CN186" s="238" t="n">
        <v>-0.33</v>
      </c>
      <c r="CO186" s="239" t="n">
        <v>8.0</v>
      </c>
      <c r="CP186" s="240" t="n">
        <v>0.0</v>
      </c>
      <c r="CQ186" s="241" t="n">
        <v>0.3</v>
      </c>
      <c r="CR186" s="242" t="n">
        <v>-0.33</v>
      </c>
      <c r="CS186" s="243" t="n">
        <v>10.0</v>
      </c>
      <c r="CT186" s="244" t="inlineStr">
        <is>
          <t/>
        </is>
      </c>
      <c r="CU186" s="245" t="inlineStr">
        <is>
          <t/>
        </is>
      </c>
      <c r="CV186" s="246" t="inlineStr">
        <is>
          <t/>
        </is>
      </c>
      <c r="CW186" s="247" t="inlineStr">
        <is>
          <t/>
        </is>
      </c>
      <c r="CX186" s="248" t="n">
        <v>-0.33</v>
      </c>
      <c r="CY186" s="249" t="n">
        <v>7.0</v>
      </c>
      <c r="CZ186" s="250" t="inlineStr">
        <is>
          <t/>
        </is>
      </c>
      <c r="DA186" s="251" t="inlineStr">
        <is>
          <t/>
        </is>
      </c>
      <c r="DB186" s="252" t="n">
        <v>9.76</v>
      </c>
      <c r="DC186" s="253" t="n">
        <v>90.0</v>
      </c>
      <c r="DD186" s="254" t="n">
        <v>2.41</v>
      </c>
      <c r="DE186" s="255" t="n">
        <v>32.75</v>
      </c>
      <c r="DF186" s="256" t="n">
        <v>9.76</v>
      </c>
      <c r="DG186" s="257" t="n">
        <v>90.0</v>
      </c>
      <c r="DH186" s="258" t="inlineStr">
        <is>
          <t/>
        </is>
      </c>
      <c r="DI186" s="259" t="inlineStr">
        <is>
          <t/>
        </is>
      </c>
      <c r="DJ186" s="260" t="inlineStr">
        <is>
          <t/>
        </is>
      </c>
      <c r="DK186" s="261" t="inlineStr">
        <is>
          <t/>
        </is>
      </c>
      <c r="DL186" s="262" t="n">
        <v>9.76</v>
      </c>
      <c r="DM186" s="263" t="n">
        <v>89.0</v>
      </c>
      <c r="DN186" s="264" t="inlineStr">
        <is>
          <t/>
        </is>
      </c>
      <c r="DO186" s="265" t="inlineStr">
        <is>
          <t/>
        </is>
      </c>
      <c r="DP186" s="266" t="n">
        <v>110.0</v>
      </c>
      <c r="DQ186" s="267" t="n">
        <v>-93.0</v>
      </c>
      <c r="DR186" s="268" t="n">
        <v>-45.81</v>
      </c>
      <c r="DS186" s="269" t="n">
        <v>331.0</v>
      </c>
      <c r="DT186" s="270" t="n">
        <v>1.0</v>
      </c>
      <c r="DU186" s="271" t="n">
        <v>0.3</v>
      </c>
      <c r="DV186" s="272" t="inlineStr">
        <is>
          <t/>
        </is>
      </c>
      <c r="DW186" s="273" t="inlineStr">
        <is>
          <t/>
        </is>
      </c>
      <c r="DX186" s="274" t="inlineStr">
        <is>
          <t/>
        </is>
      </c>
      <c r="DY186" s="275" t="inlineStr">
        <is>
          <t>PitchBook Research</t>
        </is>
      </c>
      <c r="DZ186" s="276" t="n">
        <v>43480.0</v>
      </c>
      <c r="EA186" s="277" t="n">
        <v>1600.0</v>
      </c>
      <c r="EB186" s="278" t="n">
        <v>42926.0</v>
      </c>
      <c r="EC186" s="279" t="inlineStr">
        <is>
          <t>Merger/Acquisition</t>
        </is>
      </c>
      <c r="ED186" s="548">
        <f>HYPERLINK("https://my.pitchbook.com?c=11757-07", "View company online")</f>
      </c>
    </row>
    <row r="187">
      <c r="A187" s="13" t="inlineStr">
        <is>
          <t>110982-79</t>
        </is>
      </c>
      <c r="B187" s="14" t="inlineStr">
        <is>
          <t>Intres</t>
        </is>
      </c>
      <c r="C187" s="15" t="inlineStr">
        <is>
          <t>Topkring</t>
        </is>
      </c>
      <c r="D187" s="16" t="inlineStr">
        <is>
          <t/>
        </is>
      </c>
      <c r="E187" s="17" t="inlineStr">
        <is>
          <t>110982-79</t>
        </is>
      </c>
      <c r="F187" s="18" t="inlineStr">
        <is>
          <t>Operator of online fashion, sportswear and household furnishing retailer. The company provides payment platforms and marketing for private labels and franchises in the fashion, housing and sport retail industries.</t>
        </is>
      </c>
      <c r="G187" s="19" t="inlineStr">
        <is>
          <t>Business Products and Services (B2B)</t>
        </is>
      </c>
      <c r="H187" s="20" t="inlineStr">
        <is>
          <t>Commercial Products</t>
        </is>
      </c>
      <c r="I187" s="21" t="inlineStr">
        <is>
          <t>Distributors/Wholesale</t>
        </is>
      </c>
      <c r="J187" s="22" t="inlineStr">
        <is>
          <t>Accessories, Clothing, Distributors/Wholesale*, Internet Retail</t>
        </is>
      </c>
      <c r="K187" s="23" t="inlineStr">
        <is>
          <t>Industrials</t>
        </is>
      </c>
      <c r="L187" s="24" t="inlineStr">
        <is>
          <t>household furnishing, sportswear</t>
        </is>
      </c>
      <c r="M187" s="25" t="inlineStr">
        <is>
          <t>Formerly PE-Backed</t>
        </is>
      </c>
      <c r="N187" s="26" t="inlineStr">
        <is>
          <t/>
        </is>
      </c>
      <c r="O187" s="27" t="inlineStr">
        <is>
          <t>Generating Revenue</t>
        </is>
      </c>
      <c r="P187" s="28" t="inlineStr">
        <is>
          <t>Acquired/Merged</t>
        </is>
      </c>
      <c r="Q187" s="29" t="inlineStr">
        <is>
          <t>Private Equity</t>
        </is>
      </c>
      <c r="R187" s="30" t="inlineStr">
        <is>
          <t>www.intres.nl</t>
        </is>
      </c>
      <c r="S187" s="31" t="inlineStr">
        <is>
          <t/>
        </is>
      </c>
      <c r="T187" s="32" t="inlineStr">
        <is>
          <t/>
        </is>
      </c>
      <c r="U187" s="33" t="inlineStr">
        <is>
          <t/>
        </is>
      </c>
      <c r="V187" s="34" t="inlineStr">
        <is>
          <t/>
        </is>
      </c>
      <c r="W187" s="35" t="n">
        <v>1964.0</v>
      </c>
      <c r="X187" s="36" t="inlineStr">
        <is>
          <t/>
        </is>
      </c>
      <c r="Y187" s="37" t="inlineStr">
        <is>
          <t/>
        </is>
      </c>
      <c r="Z187" s="38" t="inlineStr">
        <is>
          <t/>
        </is>
      </c>
      <c r="AA187" s="39" t="n">
        <v>1375.79</v>
      </c>
      <c r="AB187" s="40" t="inlineStr">
        <is>
          <t/>
        </is>
      </c>
      <c r="AC187" s="41" t="inlineStr">
        <is>
          <t/>
        </is>
      </c>
      <c r="AD187" s="42" t="inlineStr">
        <is>
          <t/>
        </is>
      </c>
      <c r="AE187" s="43" t="inlineStr">
        <is>
          <t/>
        </is>
      </c>
      <c r="AF187" s="44" t="inlineStr">
        <is>
          <t>FY 2008</t>
        </is>
      </c>
      <c r="AG187" s="45" t="inlineStr">
        <is>
          <t/>
        </is>
      </c>
      <c r="AH187" s="46" t="inlineStr">
        <is>
          <t/>
        </is>
      </c>
      <c r="AI187" s="47" t="inlineStr">
        <is>
          <t/>
        </is>
      </c>
      <c r="AJ187" s="48" t="inlineStr">
        <is>
          <t/>
        </is>
      </c>
      <c r="AK187" s="49" t="inlineStr">
        <is>
          <t/>
        </is>
      </c>
      <c r="AL187" s="50" t="inlineStr">
        <is>
          <t/>
        </is>
      </c>
      <c r="AM187" s="51" t="inlineStr">
        <is>
          <t/>
        </is>
      </c>
      <c r="AN187" s="52" t="inlineStr">
        <is>
          <t/>
        </is>
      </c>
      <c r="AO187" s="53" t="inlineStr">
        <is>
          <t>Hoevelaken, Netherlands</t>
        </is>
      </c>
      <c r="AP187" s="54" t="inlineStr">
        <is>
          <t>Koninginneweg 1</t>
        </is>
      </c>
      <c r="AQ187" s="55" t="inlineStr">
        <is>
          <t/>
        </is>
      </c>
      <c r="AR187" s="56" t="inlineStr">
        <is>
          <t>Hoevelaken</t>
        </is>
      </c>
      <c r="AS187" s="57" t="inlineStr">
        <is>
          <t/>
        </is>
      </c>
      <c r="AT187" s="58" t="inlineStr">
        <is>
          <t>3871 JZ</t>
        </is>
      </c>
      <c r="AU187" s="59" t="inlineStr">
        <is>
          <t>Netherlands</t>
        </is>
      </c>
      <c r="AV187" s="60" t="inlineStr">
        <is>
          <t>+31 (0)33 253 2911</t>
        </is>
      </c>
      <c r="AW187" s="61" t="inlineStr">
        <is>
          <t>+31 (0)33 253 2299</t>
        </is>
      </c>
      <c r="AX187" s="62" t="inlineStr">
        <is>
          <t/>
        </is>
      </c>
      <c r="AY187" s="63" t="inlineStr">
        <is>
          <t>Europe</t>
        </is>
      </c>
      <c r="AZ187" s="64" t="inlineStr">
        <is>
          <t>Western Europe</t>
        </is>
      </c>
      <c r="BA187" s="65" t="inlineStr">
        <is>
          <t>The company was acquired by Euretco, via its financial sponsor Avedon Capital Partners, through an LBO of an undisclosed amount on July 3, 2012.</t>
        </is>
      </c>
      <c r="BB187" s="66" t="inlineStr">
        <is>
          <t/>
        </is>
      </c>
      <c r="BC187" s="67" t="inlineStr">
        <is>
          <t/>
        </is>
      </c>
      <c r="BD187" s="68" t="inlineStr">
        <is>
          <t>Euretco</t>
        </is>
      </c>
      <c r="BE187" s="69" t="inlineStr">
        <is>
          <t/>
        </is>
      </c>
      <c r="BF187" s="70" t="inlineStr">
        <is>
          <t>Avedon Capital Partners</t>
        </is>
      </c>
      <c r="BG187" s="71" t="inlineStr">
        <is>
          <t/>
        </is>
      </c>
      <c r="BH187" s="72" t="inlineStr">
        <is>
          <t/>
        </is>
      </c>
      <c r="BI187" s="73" t="inlineStr">
        <is>
          <t>Avedon Capital Partners(www.avedoncapital.com)</t>
        </is>
      </c>
      <c r="BJ187" s="74" t="inlineStr">
        <is>
          <t/>
        </is>
      </c>
      <c r="BK187" s="75" t="inlineStr">
        <is>
          <t>AKD(Legal Advisor), Daiwa Corporate Advisory(Advisor: General), Ingen Housz(Legal Advisor), PhiDelphi Corporate Finance(Advisor: General)</t>
        </is>
      </c>
      <c r="BL187" s="76" t="n">
        <v>41093.0</v>
      </c>
      <c r="BM187" s="77" t="inlineStr">
        <is>
          <t/>
        </is>
      </c>
      <c r="BN187" s="78" t="inlineStr">
        <is>
          <t/>
        </is>
      </c>
      <c r="BO187" s="79" t="inlineStr">
        <is>
          <t/>
        </is>
      </c>
      <c r="BP187" s="80" t="inlineStr">
        <is>
          <t/>
        </is>
      </c>
      <c r="BQ187" s="81" t="inlineStr">
        <is>
          <t>Buyout/LBO</t>
        </is>
      </c>
      <c r="BR187" s="82" t="inlineStr">
        <is>
          <t>Add-on</t>
        </is>
      </c>
      <c r="BS187" s="83" t="inlineStr">
        <is>
          <t/>
        </is>
      </c>
      <c r="BT187" s="84" t="inlineStr">
        <is>
          <t>Private Equity</t>
        </is>
      </c>
      <c r="BU187" s="85" t="inlineStr">
        <is>
          <t/>
        </is>
      </c>
      <c r="BV187" s="86" t="inlineStr">
        <is>
          <t/>
        </is>
      </c>
      <c r="BW187" s="87" t="inlineStr">
        <is>
          <t/>
        </is>
      </c>
      <c r="BX187" s="88" t="inlineStr">
        <is>
          <t>Completed</t>
        </is>
      </c>
      <c r="BY187" s="89" t="n">
        <v>41093.0</v>
      </c>
      <c r="BZ187" s="90" t="inlineStr">
        <is>
          <t/>
        </is>
      </c>
      <c r="CA187" s="91" t="inlineStr">
        <is>
          <t/>
        </is>
      </c>
      <c r="CB187" s="92" t="inlineStr">
        <is>
          <t/>
        </is>
      </c>
      <c r="CC187" s="93" t="inlineStr">
        <is>
          <t/>
        </is>
      </c>
      <c r="CD187" s="94" t="inlineStr">
        <is>
          <t>Buyout/LBO</t>
        </is>
      </c>
      <c r="CE187" s="95" t="inlineStr">
        <is>
          <t>Add-on</t>
        </is>
      </c>
      <c r="CF187" s="96" t="inlineStr">
        <is>
          <t/>
        </is>
      </c>
      <c r="CG187" s="97" t="inlineStr">
        <is>
          <t>Private Equity</t>
        </is>
      </c>
      <c r="CH187" s="98" t="inlineStr">
        <is>
          <t/>
        </is>
      </c>
      <c r="CI187" s="99" t="inlineStr">
        <is>
          <t/>
        </is>
      </c>
      <c r="CJ187" s="100" t="inlineStr">
        <is>
          <t/>
        </is>
      </c>
      <c r="CK187" s="101" t="inlineStr">
        <is>
          <t>Completed</t>
        </is>
      </c>
      <c r="CL187" s="102" t="inlineStr">
        <is>
          <t/>
        </is>
      </c>
      <c r="CM187" s="103" t="inlineStr">
        <is>
          <t/>
        </is>
      </c>
      <c r="CN187" s="104" t="inlineStr">
        <is>
          <t/>
        </is>
      </c>
      <c r="CO187" s="105" t="inlineStr">
        <is>
          <t/>
        </is>
      </c>
      <c r="CP187" s="106" t="inlineStr">
        <is>
          <t/>
        </is>
      </c>
      <c r="CQ187" s="107" t="inlineStr">
        <is>
          <t/>
        </is>
      </c>
      <c r="CR187" s="108" t="inlineStr">
        <is>
          <t/>
        </is>
      </c>
      <c r="CS187" s="109" t="inlineStr">
        <is>
          <t/>
        </is>
      </c>
      <c r="CT187" s="110" t="inlineStr">
        <is>
          <t/>
        </is>
      </c>
      <c r="CU187" s="111" t="inlineStr">
        <is>
          <t/>
        </is>
      </c>
      <c r="CV187" s="112" t="inlineStr">
        <is>
          <t/>
        </is>
      </c>
      <c r="CW187" s="113" t="inlineStr">
        <is>
          <t/>
        </is>
      </c>
      <c r="CX187" s="114" t="inlineStr">
        <is>
          <t/>
        </is>
      </c>
      <c r="CY187" s="115" t="inlineStr">
        <is>
          <t/>
        </is>
      </c>
      <c r="CZ187" s="116" t="inlineStr">
        <is>
          <t/>
        </is>
      </c>
      <c r="DA187" s="117" t="inlineStr">
        <is>
          <t/>
        </is>
      </c>
      <c r="DB187" s="118" t="inlineStr">
        <is>
          <t/>
        </is>
      </c>
      <c r="DC187" s="119" t="inlineStr">
        <is>
          <t/>
        </is>
      </c>
      <c r="DD187" s="120" t="inlineStr">
        <is>
          <t/>
        </is>
      </c>
      <c r="DE187" s="121" t="inlineStr">
        <is>
          <t/>
        </is>
      </c>
      <c r="DF187" s="122" t="inlineStr">
        <is>
          <t/>
        </is>
      </c>
      <c r="DG187" s="123" t="inlineStr">
        <is>
          <t/>
        </is>
      </c>
      <c r="DH187" s="124" t="inlineStr">
        <is>
          <t/>
        </is>
      </c>
      <c r="DI187" s="125" t="inlineStr">
        <is>
          <t/>
        </is>
      </c>
      <c r="DJ187" s="126" t="inlineStr">
        <is>
          <t/>
        </is>
      </c>
      <c r="DK187" s="127" t="inlineStr">
        <is>
          <t/>
        </is>
      </c>
      <c r="DL187" s="128" t="inlineStr">
        <is>
          <t/>
        </is>
      </c>
      <c r="DM187" s="129" t="inlineStr">
        <is>
          <t/>
        </is>
      </c>
      <c r="DN187" s="130" t="inlineStr">
        <is>
          <t/>
        </is>
      </c>
      <c r="DO187" s="131" t="inlineStr">
        <is>
          <t/>
        </is>
      </c>
      <c r="DP187" s="132" t="inlineStr">
        <is>
          <t/>
        </is>
      </c>
      <c r="DQ187" s="133" t="inlineStr">
        <is>
          <t/>
        </is>
      </c>
      <c r="DR187" s="134" t="inlineStr">
        <is>
          <t/>
        </is>
      </c>
      <c r="DS187" s="135" t="inlineStr">
        <is>
          <t/>
        </is>
      </c>
      <c r="DT187" s="136" t="inlineStr">
        <is>
          <t/>
        </is>
      </c>
      <c r="DU187" s="137" t="inlineStr">
        <is>
          <t/>
        </is>
      </c>
      <c r="DV187" s="138" t="inlineStr">
        <is>
          <t/>
        </is>
      </c>
      <c r="DW187" s="139" t="inlineStr">
        <is>
          <t/>
        </is>
      </c>
      <c r="DX187" s="140" t="inlineStr">
        <is>
          <t/>
        </is>
      </c>
      <c r="DY187" s="141" t="inlineStr">
        <is>
          <t>PitchBook Research</t>
        </is>
      </c>
      <c r="DZ187" s="142" t="n">
        <v>43351.0</v>
      </c>
      <c r="EA187" s="143" t="inlineStr">
        <is>
          <t/>
        </is>
      </c>
      <c r="EB187" s="144" t="inlineStr">
        <is>
          <t/>
        </is>
      </c>
      <c r="EC187" s="145" t="inlineStr">
        <is>
          <t/>
        </is>
      </c>
      <c r="ED187" s="547">
        <f>HYPERLINK("https://my.pitchbook.com?c=110982-79", "View company online")</f>
      </c>
    </row>
    <row r="188">
      <c r="A188" s="147" t="inlineStr">
        <is>
          <t>54364-78</t>
        </is>
      </c>
      <c r="B188" s="148" t="inlineStr">
        <is>
          <t>Stitch Fix (NAS: SFIX)</t>
        </is>
      </c>
      <c r="C188" s="149" t="inlineStr">
        <is>
          <t/>
        </is>
      </c>
      <c r="D188" s="150" t="inlineStr">
        <is>
          <t/>
        </is>
      </c>
      <c r="E188" s="151" t="inlineStr">
        <is>
          <t>54364-78</t>
        </is>
      </c>
      <c r="F188" s="152" t="inlineStr">
        <is>
          <t>Stitch Fix Inc is a US-based company which offers personal style service for men and women. The company engages in delivering one-to-one personalization to clients through the combination of data science and human judgment. It provides shipment service called A FIX where the stylist's hand selects items from several merchandises with analysis of client and merchandise data to provide a personalized shipment of apparel, shoes, and accessories suited to client's needs. The company offers products across categories, brands, product types and price points including Women's, Petite, Maternity, Men's and Plus. It also offers various product types, including denim, dresses, blouses, skirts, shoes, jewelry and handbags and sells merchandise across a various range of price points.</t>
        </is>
      </c>
      <c r="G188" s="153" t="inlineStr">
        <is>
          <t>Consumer Products and Services (B2C)</t>
        </is>
      </c>
      <c r="H188" s="154" t="inlineStr">
        <is>
          <t>Retail</t>
        </is>
      </c>
      <c r="I188" s="155" t="inlineStr">
        <is>
          <t>Internet Retail</t>
        </is>
      </c>
      <c r="J188" s="156" t="inlineStr">
        <is>
          <t>Accessories, Clothing, Internet Retail*</t>
        </is>
      </c>
      <c r="K188" s="157" t="inlineStr">
        <is>
          <t>E-Commerce, Mobile, TMT</t>
        </is>
      </c>
      <c r="L188" s="158" t="inlineStr">
        <is>
          <t>e-store, online stylist, personal styling, shopping app, styling shopping, web shopping</t>
        </is>
      </c>
      <c r="M188" s="159" t="inlineStr">
        <is>
          <t>Formerly VC-backed</t>
        </is>
      </c>
      <c r="N188" s="160" t="n">
        <v>47.55</v>
      </c>
      <c r="O188" s="161" t="inlineStr">
        <is>
          <t>Profitable</t>
        </is>
      </c>
      <c r="P188" s="162" t="inlineStr">
        <is>
          <t>Publicly Held</t>
        </is>
      </c>
      <c r="Q188" s="163" t="inlineStr">
        <is>
          <t>Publicly Listed, Venture Capital</t>
        </is>
      </c>
      <c r="R188" s="164" t="inlineStr">
        <is>
          <t>www.stitchfix.com</t>
        </is>
      </c>
      <c r="S188" s="165" t="n">
        <v>6600.0</v>
      </c>
      <c r="T188" s="166" t="inlineStr">
        <is>
          <t>2016: 5000, 2017: 5800, 2018: 6600</t>
        </is>
      </c>
      <c r="U188" s="167" t="inlineStr">
        <is>
          <t>NAS</t>
        </is>
      </c>
      <c r="V188" s="168" t="inlineStr">
        <is>
          <t>SFIX</t>
        </is>
      </c>
      <c r="W188" s="169" t="n">
        <v>2011.0</v>
      </c>
      <c r="X188" s="170" t="inlineStr">
        <is>
          <t/>
        </is>
      </c>
      <c r="Y188" s="171" t="inlineStr">
        <is>
          <t>News (New) </t>
        </is>
      </c>
      <c r="Z188" s="172" t="inlineStr">
        <is>
          <t>News (New) </t>
        </is>
      </c>
      <c r="AA188" s="173" t="n">
        <v>1371.55</v>
      </c>
      <c r="AB188" s="174" t="n">
        <v>607.94</v>
      </c>
      <c r="AC188" s="175" t="n">
        <v>50.43</v>
      </c>
      <c r="AD188" s="176" t="n">
        <v>1976.3</v>
      </c>
      <c r="AE188" s="177" t="n">
        <v>57.83</v>
      </c>
      <c r="AF188" s="178" t="inlineStr">
        <is>
          <t>TTM 2Q2019</t>
        </is>
      </c>
      <c r="AG188" s="179" t="n">
        <v>45.72</v>
      </c>
      <c r="AH188" s="180" t="n">
        <v>2745.17</v>
      </c>
      <c r="AI188" s="181" t="n">
        <v>-276.86</v>
      </c>
      <c r="AJ188" s="182" t="inlineStr">
        <is>
          <t>43982-20P</t>
        </is>
      </c>
      <c r="AK188" s="183" t="inlineStr">
        <is>
          <t>Katrina Lake</t>
        </is>
      </c>
      <c r="AL188" s="184" t="inlineStr">
        <is>
          <t>Co-Founder, Chief Executive Officer &amp; Board Member</t>
        </is>
      </c>
      <c r="AM188" s="185" t="inlineStr">
        <is>
          <t>klake@stitchfix.com</t>
        </is>
      </c>
      <c r="AN188" s="186" t="inlineStr">
        <is>
          <t/>
        </is>
      </c>
      <c r="AO188" s="187" t="inlineStr">
        <is>
          <t>San Francisco, CA</t>
        </is>
      </c>
      <c r="AP188" s="188" t="inlineStr">
        <is>
          <t>1 Montgomery Street</t>
        </is>
      </c>
      <c r="AQ188" s="189" t="inlineStr">
        <is>
          <t>Suite 1500</t>
        </is>
      </c>
      <c r="AR188" s="190" t="inlineStr">
        <is>
          <t>San Francisco</t>
        </is>
      </c>
      <c r="AS188" s="191" t="inlineStr">
        <is>
          <t>California</t>
        </is>
      </c>
      <c r="AT188" s="192" t="inlineStr">
        <is>
          <t>94104</t>
        </is>
      </c>
      <c r="AU188" s="193" t="inlineStr">
        <is>
          <t>United States</t>
        </is>
      </c>
      <c r="AV188" s="194" t="inlineStr">
        <is>
          <t/>
        </is>
      </c>
      <c r="AW188" s="195" t="inlineStr">
        <is>
          <t/>
        </is>
      </c>
      <c r="AX188" s="196" t="inlineStr">
        <is>
          <t>hello@stitchfix.com</t>
        </is>
      </c>
      <c r="AY188" s="197" t="inlineStr">
        <is>
          <t>Americas</t>
        </is>
      </c>
      <c r="AZ188" s="198" t="inlineStr">
        <is>
          <t>North America</t>
        </is>
      </c>
      <c r="BA188" s="199" t="inlineStr">
        <is>
          <t>The company raised $120 million in its initial public offering on the NASDAQ stock exchange under the ticker symbol of SFIX on November 17, 2017. A total of 8,000,000 shares were sold at a price of $15 per share. After the offering, there was a total of 95,411,815 outstanding shares (excluding the over-allotment option) priced at $15 per share, valuing the company at $1.43 billion. The total proceeds, before expenses, to the company was 120 million. The underwriters were granted an option to purchase up to an additional 1,200,000 shares from the company to cover over-allotments, if any. The company intends to use the proceeds from the offering for general corporate purposes, including working capital, operating expenses and capital expenditures.</t>
        </is>
      </c>
      <c r="BB188" s="200" t="inlineStr">
        <is>
          <t/>
        </is>
      </c>
      <c r="BC188" s="201" t="inlineStr">
        <is>
          <t/>
        </is>
      </c>
      <c r="BD188" s="202" t="inlineStr">
        <is>
          <t/>
        </is>
      </c>
      <c r="BE188" s="203" t="inlineStr">
        <is>
          <t>Baseline Ventures, Benchmark Capital, Lightspeed Venture Partners, Structure Capital, Western Technology Investment</t>
        </is>
      </c>
      <c r="BF188" s="204" t="inlineStr">
        <is>
          <t/>
        </is>
      </c>
      <c r="BG188" s="205" t="inlineStr">
        <is>
          <t/>
        </is>
      </c>
      <c r="BH188" s="206" t="inlineStr">
        <is>
          <t>Baseline Ventures(www.baselinev.com), Benchmark Capital(www.benchmark.com), Lightspeed Venture Partners(www.lsvp.com), Structure Capital(www.structure.vc), Western Technology Investment(www.westerntech.com)</t>
        </is>
      </c>
      <c r="BI188" s="207" t="inlineStr">
        <is>
          <t/>
        </is>
      </c>
      <c r="BJ188" s="208" t="inlineStr">
        <is>
          <t>Academy Securities(Lead Manager or Arranger), Cooley(Legal Advisor), Rich Talent Group(Consulting)</t>
        </is>
      </c>
      <c r="BK188" s="209" t="inlineStr">
        <is>
          <t>Barclays Investment Bank(Underwriter), Cooley(Legal Advisor), Deloitte(Accounting), J.P. Morgan(Underwriter), Piper Jaffray(Underwriter), RBC Capital Markets(Underwriter), Stifel Financial(Underwriter), The Goldman Sachs Group(Underwriter), Western Technology Investment(Debt Financing), William Blair &amp; Company(Underwriter)</t>
        </is>
      </c>
      <c r="BL188" s="210" t="n">
        <v>40644.0</v>
      </c>
      <c r="BM188" s="211" t="n">
        <v>0.8</v>
      </c>
      <c r="BN188" s="212" t="inlineStr">
        <is>
          <t>Actual</t>
        </is>
      </c>
      <c r="BO188" s="213" t="n">
        <v>4.03</v>
      </c>
      <c r="BP188" s="214" t="inlineStr">
        <is>
          <t>Actual</t>
        </is>
      </c>
      <c r="BQ188" s="215" t="inlineStr">
        <is>
          <t>Seed Round</t>
        </is>
      </c>
      <c r="BR188" s="216" t="inlineStr">
        <is>
          <t>Seed Round</t>
        </is>
      </c>
      <c r="BS188" s="217" t="inlineStr">
        <is>
          <t/>
        </is>
      </c>
      <c r="BT188" s="218" t="inlineStr">
        <is>
          <t>Venture Capital</t>
        </is>
      </c>
      <c r="BU188" s="219" t="inlineStr">
        <is>
          <t/>
        </is>
      </c>
      <c r="BV188" s="220" t="inlineStr">
        <is>
          <t/>
        </is>
      </c>
      <c r="BW188" s="221" t="inlineStr">
        <is>
          <t/>
        </is>
      </c>
      <c r="BX188" s="222" t="inlineStr">
        <is>
          <t>Completed</t>
        </is>
      </c>
      <c r="BY188" s="223" t="n">
        <v>43056.0</v>
      </c>
      <c r="BZ188" s="224" t="n">
        <v>120.0</v>
      </c>
      <c r="CA188" s="225" t="inlineStr">
        <is>
          <t>Actual</t>
        </is>
      </c>
      <c r="CB188" s="226" t="n">
        <v>1431.18</v>
      </c>
      <c r="CC188" s="227" t="inlineStr">
        <is>
          <t>Estimated</t>
        </is>
      </c>
      <c r="CD188" s="228" t="inlineStr">
        <is>
          <t>IPO</t>
        </is>
      </c>
      <c r="CE188" s="229" t="inlineStr">
        <is>
          <t/>
        </is>
      </c>
      <c r="CF188" s="230" t="inlineStr">
        <is>
          <t/>
        </is>
      </c>
      <c r="CG188" s="231" t="inlineStr">
        <is>
          <t>Public Investment</t>
        </is>
      </c>
      <c r="CH188" s="232" t="inlineStr">
        <is>
          <t/>
        </is>
      </c>
      <c r="CI188" s="233" t="inlineStr">
        <is>
          <t/>
        </is>
      </c>
      <c r="CJ188" s="234" t="inlineStr">
        <is>
          <t/>
        </is>
      </c>
      <c r="CK188" s="235" t="inlineStr">
        <is>
          <t>Completed</t>
        </is>
      </c>
      <c r="CL188" s="236" t="n">
        <v>41801.0</v>
      </c>
      <c r="CM188" s="237" t="n">
        <v>5.0</v>
      </c>
      <c r="CN188" s="238" t="n">
        <v>-0.16</v>
      </c>
      <c r="CO188" s="239" t="n">
        <v>10.0</v>
      </c>
      <c r="CP188" s="240" t="n">
        <v>0.06</v>
      </c>
      <c r="CQ188" s="241" t="n">
        <v>27.72</v>
      </c>
      <c r="CR188" s="242" t="n">
        <v>-1.69</v>
      </c>
      <c r="CS188" s="243" t="n">
        <v>4.0</v>
      </c>
      <c r="CT188" s="244" t="n">
        <v>0.1</v>
      </c>
      <c r="CU188" s="245" t="n">
        <v>73.0</v>
      </c>
      <c r="CV188" s="246" t="n">
        <v>-4.0</v>
      </c>
      <c r="CW188" s="247" t="n">
        <v>12.0</v>
      </c>
      <c r="CX188" s="248" t="n">
        <v>0.62</v>
      </c>
      <c r="CY188" s="249" t="n">
        <v>95.0</v>
      </c>
      <c r="CZ188" s="250" t="n">
        <v>0.1</v>
      </c>
      <c r="DA188" s="251" t="n">
        <v>76.0</v>
      </c>
      <c r="DB188" s="252" t="n">
        <v>305.27</v>
      </c>
      <c r="DC188" s="253" t="n">
        <v>100.0</v>
      </c>
      <c r="DD188" s="254" t="n">
        <v>12.66</v>
      </c>
      <c r="DE188" s="255" t="n">
        <v>4.33</v>
      </c>
      <c r="DF188" s="256" t="n">
        <v>535.82</v>
      </c>
      <c r="DG188" s="257" t="n">
        <v>100.0</v>
      </c>
      <c r="DH188" s="258" t="n">
        <v>223.76</v>
      </c>
      <c r="DI188" s="259" t="n">
        <v>99.0</v>
      </c>
      <c r="DJ188" s="260" t="n">
        <v>855.02</v>
      </c>
      <c r="DK188" s="261" t="n">
        <v>100.0</v>
      </c>
      <c r="DL188" s="262" t="n">
        <v>216.62</v>
      </c>
      <c r="DM188" s="263" t="n">
        <v>100.0</v>
      </c>
      <c r="DN188" s="264" t="n">
        <v>223.76</v>
      </c>
      <c r="DO188" s="265" t="n">
        <v>99.0</v>
      </c>
      <c r="DP188" s="266" t="n">
        <v>610480.0</v>
      </c>
      <c r="DQ188" s="267" t="n">
        <v>-7684.0</v>
      </c>
      <c r="DR188" s="268" t="n">
        <v>-1.24</v>
      </c>
      <c r="DS188" s="269" t="n">
        <v>7325.0</v>
      </c>
      <c r="DT188" s="270" t="n">
        <v>78.0</v>
      </c>
      <c r="DU188" s="271" t="n">
        <v>1.08</v>
      </c>
      <c r="DV188" s="272" t="n">
        <v>80309.0</v>
      </c>
      <c r="DW188" s="273" t="n">
        <v>31.0</v>
      </c>
      <c r="DX188" s="274" t="n">
        <v>0.04</v>
      </c>
      <c r="DY188" s="275" t="inlineStr">
        <is>
          <t>PitchBook Research</t>
        </is>
      </c>
      <c r="DZ188" s="276" t="n">
        <v>43516.0</v>
      </c>
      <c r="EA188" s="277" t="n">
        <v>1431.18</v>
      </c>
      <c r="EB188" s="278" t="n">
        <v>43056.0</v>
      </c>
      <c r="EC188" s="279" t="inlineStr">
        <is>
          <t>IPO</t>
        </is>
      </c>
      <c r="ED188" s="548">
        <f>HYPERLINK("https://my.pitchbook.com?c=54364-78", "View company online")</f>
      </c>
    </row>
    <row r="189">
      <c r="A189" s="13" t="inlineStr">
        <is>
          <t>97526-17</t>
        </is>
      </c>
      <c r="B189" s="14" t="inlineStr">
        <is>
          <t>Shanghai La Chapelle Fashion Company (HKG: 06116)</t>
        </is>
      </c>
      <c r="C189" s="15" t="inlineStr">
        <is>
          <t/>
        </is>
      </c>
      <c r="D189" s="16" t="inlineStr">
        <is>
          <t>La Chapelle</t>
        </is>
      </c>
      <c r="E189" s="17" t="inlineStr">
        <is>
          <t>97526-17</t>
        </is>
      </c>
      <c r="F189" s="18" t="inlineStr">
        <is>
          <t>Shanghai La Chapelle Fashion Co Ltd operates as a multi-brand fashion group in China. It offers product such as Tops, Bottoms, Dresses and accessories related to it under the brands La Chapelle, Puella, 7m, Candie's, La Babite, Vougeek, Pote, MARC ECKO, La Chapelle Kids and UlifeStyle (OTHERMIX, OTHERCRAZY, JACK WALK and O.T.R. Business activity of the group is functioned through online, retail platform, and others. The La Chapelle brand generates maximum revenue for the company.</t>
        </is>
      </c>
      <c r="G189" s="19" t="inlineStr">
        <is>
          <t>Consumer Products and Services (B2C)</t>
        </is>
      </c>
      <c r="H189" s="20" t="inlineStr">
        <is>
          <t>Apparel and Accessories</t>
        </is>
      </c>
      <c r="I189" s="21" t="inlineStr">
        <is>
          <t>Clothing</t>
        </is>
      </c>
      <c r="J189" s="22" t="inlineStr">
        <is>
          <t>Clothing*, Distributors/Wholesale (B2C)</t>
        </is>
      </c>
      <c r="K189" s="23" t="inlineStr">
        <is>
          <t/>
        </is>
      </c>
      <c r="L189" s="24" t="inlineStr">
        <is>
          <t>apparel, apparel product, casual wear, fashion, fashion clothing, long dresses, womens wear</t>
        </is>
      </c>
      <c r="M189" s="25" t="inlineStr">
        <is>
          <t>Corporate Backed or Acquired</t>
        </is>
      </c>
      <c r="N189" s="26" t="n">
        <v>282.57</v>
      </c>
      <c r="O189" s="27" t="inlineStr">
        <is>
          <t>Profitable</t>
        </is>
      </c>
      <c r="P189" s="28" t="inlineStr">
        <is>
          <t>Publicly Held</t>
        </is>
      </c>
      <c r="Q189" s="29" t="inlineStr">
        <is>
          <t>M&amp;A, Private Equity, Publicly Listed, Venture Capital</t>
        </is>
      </c>
      <c r="R189" s="30" t="inlineStr">
        <is>
          <t>www.lachapelle.cn</t>
        </is>
      </c>
      <c r="S189" s="31" t="n">
        <v>36263.0</v>
      </c>
      <c r="T189" s="32" t="inlineStr">
        <is>
          <t>2014: 32750, 2015: 33478, 2016: 39289, 2017: 38356</t>
        </is>
      </c>
      <c r="U189" s="33" t="inlineStr">
        <is>
          <t>HKG</t>
        </is>
      </c>
      <c r="V189" s="34" t="inlineStr">
        <is>
          <t>06116</t>
        </is>
      </c>
      <c r="W189" s="35" t="n">
        <v>1998.0</v>
      </c>
      <c r="X189" s="36" t="inlineStr">
        <is>
          <t/>
        </is>
      </c>
      <c r="Y189" s="37" t="inlineStr">
        <is>
          <t/>
        </is>
      </c>
      <c r="Z189" s="38" t="inlineStr">
        <is>
          <t/>
        </is>
      </c>
      <c r="AA189" s="39" t="n">
        <v>1371.18</v>
      </c>
      <c r="AB189" s="40" t="n">
        <v>830.83</v>
      </c>
      <c r="AC189" s="41" t="n">
        <v>60.86</v>
      </c>
      <c r="AD189" s="42" t="n">
        <v>1003.85</v>
      </c>
      <c r="AE189" s="43" t="n">
        <v>96.93</v>
      </c>
      <c r="AF189" s="44" t="inlineStr">
        <is>
          <t>TTM 3Q2018</t>
        </is>
      </c>
      <c r="AG189" s="45" t="n">
        <v>87.95</v>
      </c>
      <c r="AH189" s="46" t="n">
        <v>588.1</v>
      </c>
      <c r="AI189" s="47" t="n">
        <v>288.48</v>
      </c>
      <c r="AJ189" s="48" t="inlineStr">
        <is>
          <t>161966-53P</t>
        </is>
      </c>
      <c r="AK189" s="49" t="inlineStr">
        <is>
          <t>Yu Qiang</t>
        </is>
      </c>
      <c r="AL189" s="50" t="inlineStr">
        <is>
          <t>Executive Director</t>
        </is>
      </c>
      <c r="AM189" s="51" t="inlineStr">
        <is>
          <t>yu.qiang@lachapelle.cn</t>
        </is>
      </c>
      <c r="AN189" s="52" t="inlineStr">
        <is>
          <t>+86 (0)121 6195 5100</t>
        </is>
      </c>
      <c r="AO189" s="53" t="inlineStr">
        <is>
          <t>Shanghai, China</t>
        </is>
      </c>
      <c r="AP189" s="54" t="inlineStr">
        <is>
          <t>Room 3300, Level 3, Block 1</t>
        </is>
      </c>
      <c r="AQ189" s="55" t="inlineStr">
        <is>
          <t>270 Cao Xi Road, Xuhui District</t>
        </is>
      </c>
      <c r="AR189" s="56" t="inlineStr">
        <is>
          <t>Shanghai</t>
        </is>
      </c>
      <c r="AS189" s="57" t="inlineStr">
        <is>
          <t/>
        </is>
      </c>
      <c r="AT189" s="58" t="inlineStr">
        <is>
          <t>200235</t>
        </is>
      </c>
      <c r="AU189" s="59" t="inlineStr">
        <is>
          <t>China</t>
        </is>
      </c>
      <c r="AV189" s="60" t="inlineStr">
        <is>
          <t>+86 (0)121 6195 5100</t>
        </is>
      </c>
      <c r="AW189" s="61" t="inlineStr">
        <is>
          <t/>
        </is>
      </c>
      <c r="AX189" s="62" t="inlineStr">
        <is>
          <t>lacs@lachapelle.cn</t>
        </is>
      </c>
      <c r="AY189" s="63" t="inlineStr">
        <is>
          <t>Asia</t>
        </is>
      </c>
      <c r="AZ189" s="64" t="inlineStr">
        <is>
          <t>East Asia</t>
        </is>
      </c>
      <c r="BA189" s="65" t="inlineStr">
        <is>
          <t>The company (HKG:06116) received HKD 122 million of development capital from Orchid Asia on October 27, 2014 through a private placement.</t>
        </is>
      </c>
      <c r="BB189" s="66" t="inlineStr">
        <is>
          <t>Chow Tai Fook</t>
        </is>
      </c>
      <c r="BC189" s="67" t="n">
        <v>1.0</v>
      </c>
      <c r="BD189" s="68" t="inlineStr">
        <is>
          <t/>
        </is>
      </c>
      <c r="BE189" s="69" t="inlineStr">
        <is>
          <t>Asia Alternatives, Boxin Capital, Legend Capital, Orchid Asia Group Management, The Goldman Sachs Group</t>
        </is>
      </c>
      <c r="BF189" s="70" t="inlineStr">
        <is>
          <t/>
        </is>
      </c>
      <c r="BG189" s="71" t="inlineStr">
        <is>
          <t>Chow Tai Fook(www.chowtaifook.com)</t>
        </is>
      </c>
      <c r="BH189" s="72" t="inlineStr">
        <is>
          <t>Asia Alternatives(www.asiaalt.com), Boxin Capital(www.boxincapital.com), Legend Capital(www.legendcapital.com.cn), Orchid Asia Group Management(www.orchidasia.com), The Goldman Sachs Group(www.goldmansachs.com)</t>
        </is>
      </c>
      <c r="BI189" s="73" t="inlineStr">
        <is>
          <t/>
        </is>
      </c>
      <c r="BJ189" s="74" t="inlineStr">
        <is>
          <t/>
        </is>
      </c>
      <c r="BK189" s="75" t="inlineStr">
        <is>
          <t>China International Capital Corporation(Underwriter), CITIC Securities Corporate Finance (HK)(Underwriter), Grandall Law Firm(Legal Advisor), Haitong International Securities Group(Underwriter), Linklaters(Legal Advisor), Prudential Financial (Global Commodities Business)(Underwriter), PwC(Accounting), VMS Securities(Underwriter)</t>
        </is>
      </c>
      <c r="BL189" s="76" t="inlineStr">
        <is>
          <t/>
        </is>
      </c>
      <c r="BM189" s="77" t="inlineStr">
        <is>
          <t/>
        </is>
      </c>
      <c r="BN189" s="78" t="inlineStr">
        <is>
          <t/>
        </is>
      </c>
      <c r="BO189" s="79" t="inlineStr">
        <is>
          <t/>
        </is>
      </c>
      <c r="BP189" s="80" t="inlineStr">
        <is>
          <t/>
        </is>
      </c>
      <c r="BQ189" s="81" t="inlineStr">
        <is>
          <t>PE Growth/Expansion</t>
        </is>
      </c>
      <c r="BR189" s="82" t="inlineStr">
        <is>
          <t/>
        </is>
      </c>
      <c r="BS189" s="83" t="inlineStr">
        <is>
          <t/>
        </is>
      </c>
      <c r="BT189" s="84" t="inlineStr">
        <is>
          <t>Private Equity</t>
        </is>
      </c>
      <c r="BU189" s="85" t="inlineStr">
        <is>
          <t/>
        </is>
      </c>
      <c r="BV189" s="86" t="inlineStr">
        <is>
          <t/>
        </is>
      </c>
      <c r="BW189" s="87" t="inlineStr">
        <is>
          <t/>
        </is>
      </c>
      <c r="BX189" s="88" t="inlineStr">
        <is>
          <t>Completed</t>
        </is>
      </c>
      <c r="BY189" s="89" t="n">
        <v>41939.0</v>
      </c>
      <c r="BZ189" s="90" t="n">
        <v>15.73</v>
      </c>
      <c r="CA189" s="91" t="inlineStr">
        <is>
          <t>Actual</t>
        </is>
      </c>
      <c r="CB189" s="92" t="n">
        <v>409.5</v>
      </c>
      <c r="CC189" s="93" t="inlineStr">
        <is>
          <t>Estimated</t>
        </is>
      </c>
      <c r="CD189" s="94" t="inlineStr">
        <is>
          <t>PIPE</t>
        </is>
      </c>
      <c r="CE189" s="95" t="inlineStr">
        <is>
          <t/>
        </is>
      </c>
      <c r="CF189" s="96" t="inlineStr">
        <is>
          <t/>
        </is>
      </c>
      <c r="CG189" s="97" t="inlineStr">
        <is>
          <t>Private Equity</t>
        </is>
      </c>
      <c r="CH189" s="98" t="inlineStr">
        <is>
          <t/>
        </is>
      </c>
      <c r="CI189" s="99" t="inlineStr">
        <is>
          <t/>
        </is>
      </c>
      <c r="CJ189" s="100" t="inlineStr">
        <is>
          <t/>
        </is>
      </c>
      <c r="CK189" s="101" t="inlineStr">
        <is>
          <t>Completed</t>
        </is>
      </c>
      <c r="CL189" s="102" t="inlineStr">
        <is>
          <t/>
        </is>
      </c>
      <c r="CM189" s="103" t="inlineStr">
        <is>
          <t/>
        </is>
      </c>
      <c r="CN189" s="104" t="n">
        <v>0.0</v>
      </c>
      <c r="CO189" s="105" t="n">
        <v>18.0</v>
      </c>
      <c r="CP189" s="106" t="n">
        <v>0.18</v>
      </c>
      <c r="CQ189" s="107" t="n">
        <v>102.68</v>
      </c>
      <c r="CR189" s="108" t="n">
        <v>0.0</v>
      </c>
      <c r="CS189" s="109" t="n">
        <v>14.0</v>
      </c>
      <c r="CT189" s="110" t="inlineStr">
        <is>
          <t/>
        </is>
      </c>
      <c r="CU189" s="111" t="inlineStr">
        <is>
          <t/>
        </is>
      </c>
      <c r="CV189" s="112" t="inlineStr">
        <is>
          <t/>
        </is>
      </c>
      <c r="CW189" s="113" t="inlineStr">
        <is>
          <t/>
        </is>
      </c>
      <c r="CX189" s="114" t="n">
        <v>0.0</v>
      </c>
      <c r="CY189" s="115" t="n">
        <v>11.0</v>
      </c>
      <c r="CZ189" s="116" t="inlineStr">
        <is>
          <t/>
        </is>
      </c>
      <c r="DA189" s="117" t="inlineStr">
        <is>
          <t/>
        </is>
      </c>
      <c r="DB189" s="118" t="n">
        <v>14.44</v>
      </c>
      <c r="DC189" s="119" t="n">
        <v>93.0</v>
      </c>
      <c r="DD189" s="120" t="n">
        <v>3.73</v>
      </c>
      <c r="DE189" s="121" t="n">
        <v>34.82</v>
      </c>
      <c r="DF189" s="122" t="n">
        <v>14.44</v>
      </c>
      <c r="DG189" s="123" t="n">
        <v>92.0</v>
      </c>
      <c r="DH189" s="124" t="inlineStr">
        <is>
          <t/>
        </is>
      </c>
      <c r="DI189" s="125" t="inlineStr">
        <is>
          <t/>
        </is>
      </c>
      <c r="DJ189" s="126" t="inlineStr">
        <is>
          <t/>
        </is>
      </c>
      <c r="DK189" s="127" t="inlineStr">
        <is>
          <t/>
        </is>
      </c>
      <c r="DL189" s="128" t="n">
        <v>14.44</v>
      </c>
      <c r="DM189" s="129" t="n">
        <v>91.0</v>
      </c>
      <c r="DN189" s="130" t="inlineStr">
        <is>
          <t/>
        </is>
      </c>
      <c r="DO189" s="131" t="inlineStr">
        <is>
          <t/>
        </is>
      </c>
      <c r="DP189" s="132" t="inlineStr">
        <is>
          <t/>
        </is>
      </c>
      <c r="DQ189" s="133" t="inlineStr">
        <is>
          <t/>
        </is>
      </c>
      <c r="DR189" s="134" t="inlineStr">
        <is>
          <t/>
        </is>
      </c>
      <c r="DS189" s="135" t="n">
        <v>487.0</v>
      </c>
      <c r="DT189" s="136" t="n">
        <v>8.0</v>
      </c>
      <c r="DU189" s="137" t="n">
        <v>1.67</v>
      </c>
      <c r="DV189" s="138" t="inlineStr">
        <is>
          <t/>
        </is>
      </c>
      <c r="DW189" s="139" t="inlineStr">
        <is>
          <t/>
        </is>
      </c>
      <c r="DX189" s="140" t="inlineStr">
        <is>
          <t/>
        </is>
      </c>
      <c r="DY189" s="141" t="inlineStr">
        <is>
          <t>PitchBook Research</t>
        </is>
      </c>
      <c r="DZ189" s="142" t="n">
        <v>43493.0</v>
      </c>
      <c r="EA189" s="143" t="n">
        <v>409.5</v>
      </c>
      <c r="EB189" s="144" t="n">
        <v>41939.0</v>
      </c>
      <c r="EC189" s="145" t="inlineStr">
        <is>
          <t>PIPE</t>
        </is>
      </c>
      <c r="ED189" s="547">
        <f>HYPERLINK("https://my.pitchbook.com?c=97526-17", "View company online")</f>
      </c>
    </row>
    <row r="190">
      <c r="A190" s="147" t="inlineStr">
        <is>
          <t>11083-42</t>
        </is>
      </c>
      <c r="B190" s="148" t="inlineStr">
        <is>
          <t>Value City Department Stores</t>
        </is>
      </c>
      <c r="C190" s="149" t="inlineStr">
        <is>
          <t/>
        </is>
      </c>
      <c r="D190" s="150" t="inlineStr">
        <is>
          <t/>
        </is>
      </c>
      <c r="E190" s="151" t="inlineStr">
        <is>
          <t>11083-42</t>
        </is>
      </c>
      <c r="F190" s="152" t="inlineStr">
        <is>
          <t>Operator of off-price department store in the United States. The company offers the budget shoppers fashion merchandise including family apparel, shoes, jewelry, home fashions and more in an easy-to-shop environment and at bargain prices.</t>
        </is>
      </c>
      <c r="G190" s="153" t="inlineStr">
        <is>
          <t>Consumer Products and Services (B2C)</t>
        </is>
      </c>
      <c r="H190" s="154" t="inlineStr">
        <is>
          <t>Retail</t>
        </is>
      </c>
      <c r="I190" s="155" t="inlineStr">
        <is>
          <t>Department Stores</t>
        </is>
      </c>
      <c r="J190" s="156" t="inlineStr">
        <is>
          <t>Accessories, Clothing, Department Stores*</t>
        </is>
      </c>
      <c r="K190" s="157" t="inlineStr">
        <is>
          <t/>
        </is>
      </c>
      <c r="L190" s="158" t="inlineStr">
        <is>
          <t>fashion merchandise, home fashion</t>
        </is>
      </c>
      <c r="M190" s="159" t="inlineStr">
        <is>
          <t>Formerly PE-Backed</t>
        </is>
      </c>
      <c r="N190" s="160" t="inlineStr">
        <is>
          <t/>
        </is>
      </c>
      <c r="O190" s="161" t="inlineStr">
        <is>
          <t>Bankruptcy: Admin/Reorg</t>
        </is>
      </c>
      <c r="P190" s="162" t="inlineStr">
        <is>
          <t>Privately Held (backing)</t>
        </is>
      </c>
      <c r="Q190" s="163" t="inlineStr">
        <is>
          <t>Debt Financed, Private Equity</t>
        </is>
      </c>
      <c r="R190" s="164" t="inlineStr">
        <is>
          <t>www.valuecity.com</t>
        </is>
      </c>
      <c r="S190" s="165" t="n">
        <v>8600.0</v>
      </c>
      <c r="T190" s="166" t="inlineStr">
        <is>
          <t>2008: 8600</t>
        </is>
      </c>
      <c r="U190" s="167" t="inlineStr">
        <is>
          <t/>
        </is>
      </c>
      <c r="V190" s="168" t="inlineStr">
        <is>
          <t/>
        </is>
      </c>
      <c r="W190" s="169" t="n">
        <v>1917.0</v>
      </c>
      <c r="X190" s="170" t="inlineStr">
        <is>
          <t>Retail Ventures</t>
        </is>
      </c>
      <c r="Y190" s="171" t="inlineStr">
        <is>
          <t/>
        </is>
      </c>
      <c r="Z190" s="172" t="inlineStr">
        <is>
          <t/>
        </is>
      </c>
      <c r="AA190" s="173" t="n">
        <v>1361.13</v>
      </c>
      <c r="AB190" s="174" t="inlineStr">
        <is>
          <t/>
        </is>
      </c>
      <c r="AC190" s="175" t="inlineStr">
        <is>
          <t/>
        </is>
      </c>
      <c r="AD190" s="176" t="inlineStr">
        <is>
          <t/>
        </is>
      </c>
      <c r="AE190" s="177" t="inlineStr">
        <is>
          <t/>
        </is>
      </c>
      <c r="AF190" s="178" t="inlineStr">
        <is>
          <t>FY 2007</t>
        </is>
      </c>
      <c r="AG190" s="179" t="inlineStr">
        <is>
          <t/>
        </is>
      </c>
      <c r="AH190" s="180" t="inlineStr">
        <is>
          <t/>
        </is>
      </c>
      <c r="AI190" s="181" t="inlineStr">
        <is>
          <t/>
        </is>
      </c>
      <c r="AJ190" s="182" t="inlineStr">
        <is>
          <t/>
        </is>
      </c>
      <c r="AK190" s="183" t="inlineStr">
        <is>
          <t/>
        </is>
      </c>
      <c r="AL190" s="184" t="inlineStr">
        <is>
          <t/>
        </is>
      </c>
      <c r="AM190" s="185" t="inlineStr">
        <is>
          <t/>
        </is>
      </c>
      <c r="AN190" s="186" t="inlineStr">
        <is>
          <t/>
        </is>
      </c>
      <c r="AO190" s="187" t="inlineStr">
        <is>
          <t>Columbus, OH</t>
        </is>
      </c>
      <c r="AP190" s="188" t="inlineStr">
        <is>
          <t>3241 Westerville Road</t>
        </is>
      </c>
      <c r="AQ190" s="189" t="inlineStr">
        <is>
          <t/>
        </is>
      </c>
      <c r="AR190" s="190" t="inlineStr">
        <is>
          <t>Columbus</t>
        </is>
      </c>
      <c r="AS190" s="191" t="inlineStr">
        <is>
          <t>Ohio</t>
        </is>
      </c>
      <c r="AT190" s="192" t="inlineStr">
        <is>
          <t>43224</t>
        </is>
      </c>
      <c r="AU190" s="193" t="inlineStr">
        <is>
          <t>United States</t>
        </is>
      </c>
      <c r="AV190" s="194" t="inlineStr">
        <is>
          <t>+1 (614) 471-4722</t>
        </is>
      </c>
      <c r="AW190" s="195" t="inlineStr">
        <is>
          <t>+1 (614) 337-4887</t>
        </is>
      </c>
      <c r="AX190" s="196" t="inlineStr">
        <is>
          <t/>
        </is>
      </c>
      <c r="AY190" s="197" t="inlineStr">
        <is>
          <t>Americas</t>
        </is>
      </c>
      <c r="AZ190" s="198" t="inlineStr">
        <is>
          <t>North America</t>
        </is>
      </c>
      <c r="BA190" s="199" t="inlineStr">
        <is>
          <t>The company filed for chapter 11 bankruptcy on October 28, 2008. The company is no longer actively tracked by PitchBook.</t>
        </is>
      </c>
      <c r="BB190" s="200" t="inlineStr">
        <is>
          <t/>
        </is>
      </c>
      <c r="BC190" s="201" t="inlineStr">
        <is>
          <t/>
        </is>
      </c>
      <c r="BD190" s="202" t="inlineStr">
        <is>
          <t>Schottenstein Stores</t>
        </is>
      </c>
      <c r="BE190" s="203" t="inlineStr">
        <is>
          <t>Crystal Capital Partners, Emerald Capital Group</t>
        </is>
      </c>
      <c r="BF190" s="204" t="inlineStr">
        <is>
          <t/>
        </is>
      </c>
      <c r="BG190" s="205" t="inlineStr">
        <is>
          <t/>
        </is>
      </c>
      <c r="BH190" s="206" t="inlineStr">
        <is>
          <t>Crystal Capital Partners(www.crystalfunds.com), Emerald Capital Group(www.emeraldcapitalgroup.com)</t>
        </is>
      </c>
      <c r="BI190" s="207" t="inlineStr">
        <is>
          <t/>
        </is>
      </c>
      <c r="BJ190" s="208" t="inlineStr">
        <is>
          <t/>
        </is>
      </c>
      <c r="BK190" s="209" t="inlineStr">
        <is>
          <t>Bowditch-Pacific(Legal Advisor), National City Business Credit(Debt Financing), Skadden, Arps, Slate, Meagher &amp; Flom(Legal Advisor)</t>
        </is>
      </c>
      <c r="BL190" s="210" t="n">
        <v>39470.0</v>
      </c>
      <c r="BM190" s="211" t="inlineStr">
        <is>
          <t/>
        </is>
      </c>
      <c r="BN190" s="212" t="inlineStr">
        <is>
          <t/>
        </is>
      </c>
      <c r="BO190" s="213" t="inlineStr">
        <is>
          <t/>
        </is>
      </c>
      <c r="BP190" s="214" t="inlineStr">
        <is>
          <t/>
        </is>
      </c>
      <c r="BQ190" s="215" t="inlineStr">
        <is>
          <t>Buyout/LBO</t>
        </is>
      </c>
      <c r="BR190" s="216" t="inlineStr">
        <is>
          <t>Corporate Divestiture</t>
        </is>
      </c>
      <c r="BS190" s="217" t="inlineStr">
        <is>
          <t/>
        </is>
      </c>
      <c r="BT190" s="218" t="inlineStr">
        <is>
          <t>Private Equity</t>
        </is>
      </c>
      <c r="BU190" s="219" t="inlineStr">
        <is>
          <t/>
        </is>
      </c>
      <c r="BV190" s="220" t="inlineStr">
        <is>
          <t/>
        </is>
      </c>
      <c r="BW190" s="221" t="inlineStr">
        <is>
          <t/>
        </is>
      </c>
      <c r="BX190" s="222" t="inlineStr">
        <is>
          <t>Completed</t>
        </is>
      </c>
      <c r="BY190" s="223" t="n">
        <v>39749.0</v>
      </c>
      <c r="BZ190" s="224" t="inlineStr">
        <is>
          <t/>
        </is>
      </c>
      <c r="CA190" s="225" t="inlineStr">
        <is>
          <t/>
        </is>
      </c>
      <c r="CB190" s="226" t="inlineStr">
        <is>
          <t/>
        </is>
      </c>
      <c r="CC190" s="227" t="inlineStr">
        <is>
          <t/>
        </is>
      </c>
      <c r="CD190" s="228" t="inlineStr">
        <is>
          <t>Bankruptcy: Admin/Reorg</t>
        </is>
      </c>
      <c r="CE190" s="229" t="inlineStr">
        <is>
          <t/>
        </is>
      </c>
      <c r="CF190" s="230" t="inlineStr">
        <is>
          <t/>
        </is>
      </c>
      <c r="CG190" s="231" t="inlineStr">
        <is>
          <t>Bankruptcy</t>
        </is>
      </c>
      <c r="CH190" s="232" t="inlineStr">
        <is>
          <t/>
        </is>
      </c>
      <c r="CI190" s="233" t="inlineStr">
        <is>
          <t/>
        </is>
      </c>
      <c r="CJ190" s="234" t="inlineStr">
        <is>
          <t/>
        </is>
      </c>
      <c r="CK190" s="235" t="inlineStr">
        <is>
          <t>Completed</t>
        </is>
      </c>
      <c r="CL190" s="236" t="n">
        <v>39539.0</v>
      </c>
      <c r="CM190" s="237" t="n">
        <v>90.0</v>
      </c>
      <c r="CN190" s="238" t="inlineStr">
        <is>
          <t/>
        </is>
      </c>
      <c r="CO190" s="239" t="inlineStr">
        <is>
          <t/>
        </is>
      </c>
      <c r="CP190" s="240" t="inlineStr">
        <is>
          <t/>
        </is>
      </c>
      <c r="CQ190" s="241" t="inlineStr">
        <is>
          <t/>
        </is>
      </c>
      <c r="CR190" s="242" t="inlineStr">
        <is>
          <t/>
        </is>
      </c>
      <c r="CS190" s="243" t="inlineStr">
        <is>
          <t/>
        </is>
      </c>
      <c r="CT190" s="244" t="inlineStr">
        <is>
          <t/>
        </is>
      </c>
      <c r="CU190" s="245" t="inlineStr">
        <is>
          <t/>
        </is>
      </c>
      <c r="CV190" s="246" t="inlineStr">
        <is>
          <t/>
        </is>
      </c>
      <c r="CW190" s="247" t="inlineStr">
        <is>
          <t/>
        </is>
      </c>
      <c r="CX190" s="248" t="inlineStr">
        <is>
          <t/>
        </is>
      </c>
      <c r="CY190" s="249" t="inlineStr">
        <is>
          <t/>
        </is>
      </c>
      <c r="CZ190" s="250" t="inlineStr">
        <is>
          <t/>
        </is>
      </c>
      <c r="DA190" s="251" t="inlineStr">
        <is>
          <t/>
        </is>
      </c>
      <c r="DB190" s="252" t="inlineStr">
        <is>
          <t/>
        </is>
      </c>
      <c r="DC190" s="253" t="inlineStr">
        <is>
          <t/>
        </is>
      </c>
      <c r="DD190" s="254" t="inlineStr">
        <is>
          <t/>
        </is>
      </c>
      <c r="DE190" s="255" t="inlineStr">
        <is>
          <t/>
        </is>
      </c>
      <c r="DF190" s="256" t="inlineStr">
        <is>
          <t/>
        </is>
      </c>
      <c r="DG190" s="257" t="inlineStr">
        <is>
          <t/>
        </is>
      </c>
      <c r="DH190" s="258" t="inlineStr">
        <is>
          <t/>
        </is>
      </c>
      <c r="DI190" s="259" t="inlineStr">
        <is>
          <t/>
        </is>
      </c>
      <c r="DJ190" s="260" t="inlineStr">
        <is>
          <t/>
        </is>
      </c>
      <c r="DK190" s="261" t="inlineStr">
        <is>
          <t/>
        </is>
      </c>
      <c r="DL190" s="262" t="inlineStr">
        <is>
          <t/>
        </is>
      </c>
      <c r="DM190" s="263" t="inlineStr">
        <is>
          <t/>
        </is>
      </c>
      <c r="DN190" s="264" t="inlineStr">
        <is>
          <t/>
        </is>
      </c>
      <c r="DO190" s="265" t="inlineStr">
        <is>
          <t/>
        </is>
      </c>
      <c r="DP190" s="266" t="inlineStr">
        <is>
          <t/>
        </is>
      </c>
      <c r="DQ190" s="267" t="inlineStr">
        <is>
          <t/>
        </is>
      </c>
      <c r="DR190" s="268" t="inlineStr">
        <is>
          <t/>
        </is>
      </c>
      <c r="DS190" s="269" t="inlineStr">
        <is>
          <t/>
        </is>
      </c>
      <c r="DT190" s="270" t="inlineStr">
        <is>
          <t/>
        </is>
      </c>
      <c r="DU190" s="271" t="inlineStr">
        <is>
          <t/>
        </is>
      </c>
      <c r="DV190" s="272" t="inlineStr">
        <is>
          <t/>
        </is>
      </c>
      <c r="DW190" s="273" t="inlineStr">
        <is>
          <t/>
        </is>
      </c>
      <c r="DX190" s="274" t="inlineStr">
        <is>
          <t/>
        </is>
      </c>
      <c r="DY190" s="275" t="inlineStr">
        <is>
          <t>PitchBook Research</t>
        </is>
      </c>
      <c r="DZ190" s="276" t="n">
        <v>43351.0</v>
      </c>
      <c r="EA190" s="277" t="inlineStr">
        <is>
          <t/>
        </is>
      </c>
      <c r="EB190" s="278" t="inlineStr">
        <is>
          <t/>
        </is>
      </c>
      <c r="EC190" s="279" t="inlineStr">
        <is>
          <t/>
        </is>
      </c>
      <c r="ED190" s="548">
        <f>HYPERLINK("https://my.pitchbook.com?c=11083-42", "View company online")</f>
      </c>
    </row>
    <row r="191">
      <c r="A191" s="13" t="inlineStr">
        <is>
          <t>12505-24</t>
        </is>
      </c>
      <c r="B191" s="14" t="inlineStr">
        <is>
          <t>Varsity Brands</t>
        </is>
      </c>
      <c r="C191" s="15" t="inlineStr">
        <is>
          <t>Herff Jones</t>
        </is>
      </c>
      <c r="D191" s="16" t="inlineStr">
        <is>
          <t/>
        </is>
      </c>
      <c r="E191" s="17" t="inlineStr">
        <is>
          <t>12505-24</t>
        </is>
      </c>
      <c r="F191" s="18" t="inlineStr">
        <is>
          <t>Provider of sports apparel and cheerleading activities intended to inspire achievement and create memorable experiences for young people. The company's cheerleading, sports-related services, and team athletic gear help educators, coaches, and students to build school pride, student engagement, and community spirit.</t>
        </is>
      </c>
      <c r="G191" s="19" t="inlineStr">
        <is>
          <t>Consumer Products and Services (B2C)</t>
        </is>
      </c>
      <c r="H191" s="20" t="inlineStr">
        <is>
          <t>Apparel and Accessories</t>
        </is>
      </c>
      <c r="I191" s="21" t="inlineStr">
        <is>
          <t>Clothing</t>
        </is>
      </c>
      <c r="J191" s="22" t="inlineStr">
        <is>
          <t>Clothing*, Other Services (B2C Non-Financial)</t>
        </is>
      </c>
      <c r="K191" s="23" t="inlineStr">
        <is>
          <t/>
        </is>
      </c>
      <c r="L191" s="24" t="inlineStr">
        <is>
          <t>cheerleader accessories, cheerleader uniforms, cheerleading segments, cheerleading training, educational camp, sports product, sports related program</t>
        </is>
      </c>
      <c r="M191" s="25" t="inlineStr">
        <is>
          <t>Private Equity-Backed</t>
        </is>
      </c>
      <c r="N191" s="26" t="n">
        <v>1225.0</v>
      </c>
      <c r="O191" s="27" t="inlineStr">
        <is>
          <t>Profitable</t>
        </is>
      </c>
      <c r="P191" s="28" t="inlineStr">
        <is>
          <t>Privately Held (backing)</t>
        </is>
      </c>
      <c r="Q191" s="29" t="inlineStr">
        <is>
          <t>Debt Financed, Private Equity</t>
        </is>
      </c>
      <c r="R191" s="30" t="inlineStr">
        <is>
          <t>www.varsitybrands.com</t>
        </is>
      </c>
      <c r="S191" s="31" t="n">
        <v>9000.0</v>
      </c>
      <c r="T191" s="32" t="inlineStr">
        <is>
          <t>2013: 7000, 2014: 7000, 2017: 8600, 2018: 9000</t>
        </is>
      </c>
      <c r="U191" s="33" t="inlineStr">
        <is>
          <t/>
        </is>
      </c>
      <c r="V191" s="34" t="inlineStr">
        <is>
          <t/>
        </is>
      </c>
      <c r="W191" s="35" t="n">
        <v>1920.0</v>
      </c>
      <c r="X191" s="36" t="inlineStr">
        <is>
          <t/>
        </is>
      </c>
      <c r="Y191" s="37" t="inlineStr">
        <is>
          <t/>
        </is>
      </c>
      <c r="Z191" s="38" t="inlineStr">
        <is>
          <t/>
        </is>
      </c>
      <c r="AA191" s="39" t="n">
        <v>1350.0</v>
      </c>
      <c r="AB191" s="40" t="inlineStr">
        <is>
          <t/>
        </is>
      </c>
      <c r="AC191" s="41" t="inlineStr">
        <is>
          <t/>
        </is>
      </c>
      <c r="AD191" s="42" t="inlineStr">
        <is>
          <t/>
        </is>
      </c>
      <c r="AE191" s="43" t="inlineStr">
        <is>
          <t/>
        </is>
      </c>
      <c r="AF191" s="44" t="inlineStr">
        <is>
          <t>FY 2018</t>
        </is>
      </c>
      <c r="AG191" s="45" t="inlineStr">
        <is>
          <t/>
        </is>
      </c>
      <c r="AH191" s="46" t="inlineStr">
        <is>
          <t/>
        </is>
      </c>
      <c r="AI191" s="47" t="inlineStr">
        <is>
          <t/>
        </is>
      </c>
      <c r="AJ191" s="48" t="inlineStr">
        <is>
          <t>176925-70P</t>
        </is>
      </c>
      <c r="AK191" s="49" t="inlineStr">
        <is>
          <t>Rick Paschal</t>
        </is>
      </c>
      <c r="AL191" s="50" t="inlineStr">
        <is>
          <t>Chief Financial Officer &amp; Treasurer</t>
        </is>
      </c>
      <c r="AM191" s="51" t="inlineStr">
        <is>
          <t>rpaschal@varsitybrands.com</t>
        </is>
      </c>
      <c r="AN191" s="52" t="inlineStr">
        <is>
          <t/>
        </is>
      </c>
      <c r="AO191" s="53" t="inlineStr">
        <is>
          <t>Farmers Branch, TX</t>
        </is>
      </c>
      <c r="AP191" s="54" t="inlineStr">
        <is>
          <t>14460 Varsity Brands Way</t>
        </is>
      </c>
      <c r="AQ191" s="55" t="inlineStr">
        <is>
          <t/>
        </is>
      </c>
      <c r="AR191" s="56" t="inlineStr">
        <is>
          <t>Farmers Branch</t>
        </is>
      </c>
      <c r="AS191" s="57" t="inlineStr">
        <is>
          <t>Texas</t>
        </is>
      </c>
      <c r="AT191" s="58" t="inlineStr">
        <is>
          <t>75244</t>
        </is>
      </c>
      <c r="AU191" s="59" t="inlineStr">
        <is>
          <t>United States</t>
        </is>
      </c>
      <c r="AV191" s="60" t="inlineStr">
        <is>
          <t/>
        </is>
      </c>
      <c r="AW191" s="61" t="inlineStr">
        <is>
          <t/>
        </is>
      </c>
      <c r="AX191" s="62" t="inlineStr">
        <is>
          <t/>
        </is>
      </c>
      <c r="AY191" s="63" t="inlineStr">
        <is>
          <t>Americas</t>
        </is>
      </c>
      <c r="AZ191" s="64" t="inlineStr">
        <is>
          <t>North America</t>
        </is>
      </c>
      <c r="BA191" s="65" t="inlineStr">
        <is>
          <t>The company was acquired by Bain Capital through a $2.5 billion LBO on July 30, 2018. The purchase price includes $275 million incremental first lien term loan and $120 million incremental second lien term loan. The company also received an undisclosed amount of debt financing in the form of a second lien term note and common equity from Ares Capital as part of the transaction.</t>
        </is>
      </c>
      <c r="BB191" s="66" t="inlineStr">
        <is>
          <t>Ares Capital, Bain Capital, Charlesbank Capital Partners</t>
        </is>
      </c>
      <c r="BC191" s="67" t="n">
        <v>3.0</v>
      </c>
      <c r="BD191" s="68" t="inlineStr">
        <is>
          <t/>
        </is>
      </c>
      <c r="BE191" s="69" t="inlineStr">
        <is>
          <t>AlpInvest Partners, Partners Group</t>
        </is>
      </c>
      <c r="BF191" s="70" t="inlineStr">
        <is>
          <t/>
        </is>
      </c>
      <c r="BG191" s="71" t="inlineStr">
        <is>
          <t>Bain Capital(www.baincapital.com), Charlesbank Capital Partners(www.charlesbank.com)</t>
        </is>
      </c>
      <c r="BH191" s="72" t="inlineStr">
        <is>
          <t>AlpInvest Partners(www.alpinvest.com), Partners Group(www.partnersgroup.com)</t>
        </is>
      </c>
      <c r="BI191" s="73" t="inlineStr">
        <is>
          <t/>
        </is>
      </c>
      <c r="BJ191" s="74" t="inlineStr">
        <is>
          <t>Barnes &amp; Thornburg(Legal Advisor), Cowan, Liebowitz &amp; Latman(Legal Advisor)</t>
        </is>
      </c>
      <c r="BK191" s="75" t="inlineStr">
        <is>
          <t>AlpInvest Partners(Debt Financing), Ares Capital(Debt Financing), Barclays(Debt Financing), Corporate Capital Trust(Debt Financing), Cowen and Company(Debt Financing), Crescent Capital Group(Debt Financing), Goodwin(Legal Advisor), GreatBanc Trust Company(Advisor: General), Invesco(Debt Financing), Jefferies Finance(Debt Financing), Jefferies Group(Advisor: General), K&amp;L Gates(Legal Advisor), McGlinchey Stafford(Legal Advisor), NF Investment(Debt Financing), Solar Senior Capital(Debt Financing), Stout Risius Ross(Advisor: General), The Carlyle Group(Debt Financing), The Goldman Sachs Group(Debt Financing)</t>
        </is>
      </c>
      <c r="BL191" s="76" t="n">
        <v>41640.0</v>
      </c>
      <c r="BM191" s="77" t="n">
        <v>755.0</v>
      </c>
      <c r="BN191" s="78" t="inlineStr">
        <is>
          <t>Actual</t>
        </is>
      </c>
      <c r="BO191" s="79" t="inlineStr">
        <is>
          <t/>
        </is>
      </c>
      <c r="BP191" s="80" t="inlineStr">
        <is>
          <t/>
        </is>
      </c>
      <c r="BQ191" s="81" t="inlineStr">
        <is>
          <t>Debt - General</t>
        </is>
      </c>
      <c r="BR191" s="82" t="inlineStr">
        <is>
          <t/>
        </is>
      </c>
      <c r="BS191" s="83" t="inlineStr">
        <is>
          <t/>
        </is>
      </c>
      <c r="BT191" s="84" t="inlineStr">
        <is>
          <t>Debt</t>
        </is>
      </c>
      <c r="BU191" s="85" t="inlineStr">
        <is>
          <t>First Lien</t>
        </is>
      </c>
      <c r="BV191" s="86" t="inlineStr">
        <is>
          <t/>
        </is>
      </c>
      <c r="BW191" s="87" t="inlineStr">
        <is>
          <t/>
        </is>
      </c>
      <c r="BX191" s="88" t="inlineStr">
        <is>
          <t>Completed</t>
        </is>
      </c>
      <c r="BY191" s="89" t="n">
        <v>43311.0</v>
      </c>
      <c r="BZ191" s="90" t="n">
        <v>2500.0</v>
      </c>
      <c r="CA191" s="91" t="inlineStr">
        <is>
          <t>Actual</t>
        </is>
      </c>
      <c r="CB191" s="92" t="n">
        <v>2500.0</v>
      </c>
      <c r="CC191" s="93" t="inlineStr">
        <is>
          <t>Estimated</t>
        </is>
      </c>
      <c r="CD191" s="94" t="inlineStr">
        <is>
          <t>Buyout/LBO</t>
        </is>
      </c>
      <c r="CE191" s="95" t="inlineStr">
        <is>
          <t>Secondary Buyout</t>
        </is>
      </c>
      <c r="CF191" s="96" t="inlineStr">
        <is>
          <t/>
        </is>
      </c>
      <c r="CG191" s="97" t="inlineStr">
        <is>
          <t>Private Equity</t>
        </is>
      </c>
      <c r="CH191" s="98" t="inlineStr">
        <is>
          <t>First Lien</t>
        </is>
      </c>
      <c r="CI191" s="99" t="inlineStr">
        <is>
          <t>Second Lien</t>
        </is>
      </c>
      <c r="CJ191" s="100" t="inlineStr">
        <is>
          <t/>
        </is>
      </c>
      <c r="CK191" s="101" t="inlineStr">
        <is>
          <t>Completed</t>
        </is>
      </c>
      <c r="CL191" s="102" t="n">
        <v>43311.0</v>
      </c>
      <c r="CM191" s="103" t="inlineStr">
        <is>
          <t/>
        </is>
      </c>
      <c r="CN191" s="104" t="n">
        <v>-0.29</v>
      </c>
      <c r="CO191" s="105" t="n">
        <v>9.0</v>
      </c>
      <c r="CP191" s="106" t="n">
        <v>0.1</v>
      </c>
      <c r="CQ191" s="107" t="n">
        <v>25.31</v>
      </c>
      <c r="CR191" s="108" t="n">
        <v>-0.78</v>
      </c>
      <c r="CS191" s="109" t="n">
        <v>7.0</v>
      </c>
      <c r="CT191" s="110" t="n">
        <v>0.2</v>
      </c>
      <c r="CU191" s="111" t="n">
        <v>84.0</v>
      </c>
      <c r="CV191" s="112" t="n">
        <v>-1.8</v>
      </c>
      <c r="CW191" s="113" t="n">
        <v>22.0</v>
      </c>
      <c r="CX191" s="114" t="n">
        <v>0.24</v>
      </c>
      <c r="CY191" s="115" t="n">
        <v>89.0</v>
      </c>
      <c r="CZ191" s="116" t="n">
        <v>0.2</v>
      </c>
      <c r="DA191" s="117" t="n">
        <v>86.0</v>
      </c>
      <c r="DB191" s="118" t="n">
        <v>4.91</v>
      </c>
      <c r="DC191" s="119" t="n">
        <v>83.0</v>
      </c>
      <c r="DD191" s="120" t="n">
        <v>0.42</v>
      </c>
      <c r="DE191" s="121" t="n">
        <v>9.36</v>
      </c>
      <c r="DF191" s="122" t="n">
        <v>4.29</v>
      </c>
      <c r="DG191" s="123" t="n">
        <v>81.0</v>
      </c>
      <c r="DH191" s="124" t="n">
        <v>5.52</v>
      </c>
      <c r="DI191" s="125" t="n">
        <v>79.0</v>
      </c>
      <c r="DJ191" s="126" t="n">
        <v>2.04</v>
      </c>
      <c r="DK191" s="127" t="n">
        <v>65.0</v>
      </c>
      <c r="DL191" s="128" t="n">
        <v>6.53</v>
      </c>
      <c r="DM191" s="129" t="n">
        <v>85.0</v>
      </c>
      <c r="DN191" s="130" t="n">
        <v>5.52</v>
      </c>
      <c r="DO191" s="131" t="n">
        <v>81.0</v>
      </c>
      <c r="DP191" s="132" t="n">
        <v>1466.0</v>
      </c>
      <c r="DQ191" s="133" t="n">
        <v>-78.0</v>
      </c>
      <c r="DR191" s="134" t="n">
        <v>-5.05</v>
      </c>
      <c r="DS191" s="135" t="n">
        <v>222.0</v>
      </c>
      <c r="DT191" s="136" t="n">
        <v>3.0</v>
      </c>
      <c r="DU191" s="137" t="n">
        <v>1.37</v>
      </c>
      <c r="DV191" s="138" t="n">
        <v>1981.0</v>
      </c>
      <c r="DW191" s="139" t="n">
        <v>3.0</v>
      </c>
      <c r="DX191" s="140" t="n">
        <v>0.15</v>
      </c>
      <c r="DY191" s="141" t="inlineStr">
        <is>
          <t>PitchBook Research</t>
        </is>
      </c>
      <c r="DZ191" s="142" t="n">
        <v>43476.0</v>
      </c>
      <c r="EA191" s="143" t="n">
        <v>2500.0</v>
      </c>
      <c r="EB191" s="144" t="n">
        <v>43311.0</v>
      </c>
      <c r="EC191" s="145" t="inlineStr">
        <is>
          <t>Buyout/LBO</t>
        </is>
      </c>
      <c r="ED191" s="547">
        <f>HYPERLINK("https://my.pitchbook.com?c=12505-24", "View company online")</f>
      </c>
    </row>
    <row r="192">
      <c r="A192" s="147" t="inlineStr">
        <is>
          <t>10432-63</t>
        </is>
      </c>
      <c r="B192" s="148" t="inlineStr">
        <is>
          <t>Claire's Stores</t>
        </is>
      </c>
      <c r="C192" s="149" t="inlineStr">
        <is>
          <t>FT Industries</t>
        </is>
      </c>
      <c r="D192" s="150" t="inlineStr">
        <is>
          <t>Claire's</t>
        </is>
      </c>
      <c r="E192" s="151" t="inlineStr">
        <is>
          <t>10432-63</t>
        </is>
      </c>
      <c r="F192" s="152" t="inlineStr">
        <is>
          <t>Provider of fashionable jewelry and accessories intended for young women, teens, tweens and girls ages 3 to 35. The company offers jewelry products in over 2,801 stores in 17 countries under two brands, Claire's and Icing.</t>
        </is>
      </c>
      <c r="G192" s="153" t="inlineStr">
        <is>
          <t>Consumer Products and Services (B2C)</t>
        </is>
      </c>
      <c r="H192" s="154" t="inlineStr">
        <is>
          <t>Retail</t>
        </is>
      </c>
      <c r="I192" s="155" t="inlineStr">
        <is>
          <t>Specialty Retail</t>
        </is>
      </c>
      <c r="J192" s="156" t="inlineStr">
        <is>
          <t>Accessories, Specialty Retail*</t>
        </is>
      </c>
      <c r="K192" s="157" t="inlineStr">
        <is>
          <t/>
        </is>
      </c>
      <c r="L192" s="158" t="inlineStr">
        <is>
          <t>ear piercing, fashion jewelry, hair ornaments, jewelry product</t>
        </is>
      </c>
      <c r="M192" s="159" t="inlineStr">
        <is>
          <t>Private Equity-Backed</t>
        </is>
      </c>
      <c r="N192" s="160" t="n">
        <v>60.0</v>
      </c>
      <c r="O192" s="161" t="inlineStr">
        <is>
          <t>Profitable</t>
        </is>
      </c>
      <c r="P192" s="162" t="inlineStr">
        <is>
          <t>Privately Held (backing)</t>
        </is>
      </c>
      <c r="Q192" s="163" t="inlineStr">
        <is>
          <t>Debt Financed, M&amp;A, Private Equity, Publicly Listed</t>
        </is>
      </c>
      <c r="R192" s="164" t="inlineStr">
        <is>
          <t>www.clairestores.com</t>
        </is>
      </c>
      <c r="S192" s="165" t="n">
        <v>17000.0</v>
      </c>
      <c r="T192" s="166" t="inlineStr">
        <is>
          <t>1990: 4000, 1991: 4000, 1992: 5900, 1993: 5200, 1994: 5200, 1995: 5200, 1996: 6650, 1997: 4080, 1998: 4080, 1999: 4880, 2000: 16300, 2001: 20500, 2002: 16300, 2003: 16325, 2004: 16000, 2005: 18000, 2006: 18000, 2007: 18850, 2008: 18700, 2009: 17600, 2010: 16400, 2011: 18400, 2012: 18300, 2013: 18800, 2014: 18800, 2017: 18200, 2018: 17300</t>
        </is>
      </c>
      <c r="U192" s="167" t="inlineStr">
        <is>
          <t/>
        </is>
      </c>
      <c r="V192" s="168" t="inlineStr">
        <is>
          <t/>
        </is>
      </c>
      <c r="W192" s="169" t="n">
        <v>1961.0</v>
      </c>
      <c r="X192" s="170" t="inlineStr">
        <is>
          <t/>
        </is>
      </c>
      <c r="Y192" s="171" t="inlineStr">
        <is>
          <t/>
        </is>
      </c>
      <c r="Z192" s="172" t="inlineStr">
        <is>
          <t>Competitor (New) Kendra Scott</t>
        </is>
      </c>
      <c r="AA192" s="173" t="n">
        <v>1346.81</v>
      </c>
      <c r="AB192" s="174" t="n">
        <v>685.75</v>
      </c>
      <c r="AC192" s="175" t="n">
        <v>47.57</v>
      </c>
      <c r="AD192" s="176" t="inlineStr">
        <is>
          <t/>
        </is>
      </c>
      <c r="AE192" s="177" t="n">
        <v>154.86</v>
      </c>
      <c r="AF192" s="178" t="inlineStr">
        <is>
          <t>TTM 2Q2019</t>
        </is>
      </c>
      <c r="AG192" s="179" t="n">
        <v>104.88</v>
      </c>
      <c r="AH192" s="180" t="inlineStr">
        <is>
          <t/>
        </is>
      </c>
      <c r="AI192" s="181" t="n">
        <v>308.5</v>
      </c>
      <c r="AJ192" s="182" t="inlineStr">
        <is>
          <t>176621-23P</t>
        </is>
      </c>
      <c r="AK192" s="183" t="inlineStr">
        <is>
          <t>Scott Huckins</t>
        </is>
      </c>
      <c r="AL192" s="184" t="inlineStr">
        <is>
          <t>Chief Financial Officer &amp; Executive Vice President</t>
        </is>
      </c>
      <c r="AM192" s="185" t="inlineStr">
        <is>
          <t>scott.huckins@claires.com</t>
        </is>
      </c>
      <c r="AN192" s="186" t="inlineStr">
        <is>
          <t>+1 (847) 765-1100</t>
        </is>
      </c>
      <c r="AO192" s="187" t="inlineStr">
        <is>
          <t>Pembroke Pines, FL</t>
        </is>
      </c>
      <c r="AP192" s="188" t="inlineStr">
        <is>
          <t>3 Southwest 129th Avenue</t>
        </is>
      </c>
      <c r="AQ192" s="189" t="inlineStr">
        <is>
          <t/>
        </is>
      </c>
      <c r="AR192" s="190" t="inlineStr">
        <is>
          <t>Pembroke Pines</t>
        </is>
      </c>
      <c r="AS192" s="191" t="inlineStr">
        <is>
          <t>Florida</t>
        </is>
      </c>
      <c r="AT192" s="192" t="inlineStr">
        <is>
          <t>33027</t>
        </is>
      </c>
      <c r="AU192" s="193" t="inlineStr">
        <is>
          <t>United States</t>
        </is>
      </c>
      <c r="AV192" s="194" t="inlineStr">
        <is>
          <t>+1 (954) 433-3900</t>
        </is>
      </c>
      <c r="AW192" s="195" t="inlineStr">
        <is>
          <t>+1 (954) 433-3999</t>
        </is>
      </c>
      <c r="AX192" s="196" t="inlineStr">
        <is>
          <t>info@clairestores.com</t>
        </is>
      </c>
      <c r="AY192" s="197" t="inlineStr">
        <is>
          <t>Americas</t>
        </is>
      </c>
      <c r="AZ192" s="198" t="inlineStr">
        <is>
          <t>North America</t>
        </is>
      </c>
      <c r="BA192" s="199" t="inlineStr">
        <is>
          <t>The company was acquired by Elliott Management and Monarch Alternative Capital through a $560 million LBO on October 12, 2018. The new capital funding includes a new $250 million first lien term loan and $250 million as a preferred equity investment. Creditors will have the opportunity to recover up to an additional $16. 3 million more if the company meets earnings thresholds in 2019 and 2020.</t>
        </is>
      </c>
      <c r="BB192" s="200" t="inlineStr">
        <is>
          <t>Angelo, Gordon &amp; Company, Apollo Global Management, Elliott Management, Monarch Alternative Capital, TriArtisan Capital Advisors</t>
        </is>
      </c>
      <c r="BC192" s="201" t="n">
        <v>5.0</v>
      </c>
      <c r="BD192" s="202" t="inlineStr">
        <is>
          <t/>
        </is>
      </c>
      <c r="BE192" s="203" t="inlineStr">
        <is>
          <t/>
        </is>
      </c>
      <c r="BF192" s="204" t="inlineStr">
        <is>
          <t/>
        </is>
      </c>
      <c r="BG192" s="205" t="inlineStr">
        <is>
          <t>Angelo, Gordon &amp; Company(www.angelogordon.com), Apollo Global Management(www.apollo.com), Elliott Management(www.elliottmgmt.com), Monarch Alternative Capital(www.monarchlp.com), TriArtisan Capital Advisors(www.triartisan.com)</t>
        </is>
      </c>
      <c r="BH192" s="206" t="inlineStr">
        <is>
          <t/>
        </is>
      </c>
      <c r="BI192" s="207" t="inlineStr">
        <is>
          <t/>
        </is>
      </c>
      <c r="BJ192" s="208" t="inlineStr">
        <is>
          <t>Global Leveraged Capital(Advisor: General), Morgan Joseph TriArtisan(Advisor: General), The Brownestone Group(Consulting)</t>
        </is>
      </c>
      <c r="BK192" s="209" t="inlineStr">
        <is>
          <t>Angelo, Gordon &amp; Company(Debt Financing), Apollo Global Management(Underwriter), Bank Of New York Mellon Trust Company(Debt Financing), Bayard(Legal Advisor), Bear Stearns(Debt Financing), Bilzin Sumberg Baena Price &amp; Axelrod(Legal Advisor), Botticelli(Debt Financing), CBRE Group(Advisor: General), Charlotte Hungerford Hospital(Advisor: General), Citibank(Debt Financing), Citigroup(Debt Financing), Cooley(Legal Advisor), Cortland Capital Market Services(Debt Financing), Credit Suisse(Debt Financing), Credit Suisse Securities (USA)(Underwriter), Deloitte(Advisor: General), Elliott Management(Debt Financing), FTI Consulting(Advisor: General), Grant Thornton(Advisor: General), Hewlett-Packard(Debt Financing), Hilco Global(Advisor: General), Hilco Real Estate(Advisor: General), Invesco(Debt Financing), J.P. Morgan Securities(Underwriter), Jefferies Group(Underwriter), KPMG(Auditor), Lazard Middle Market(Advisor: General), Lehman Brothers(Debt Financing), Monarch Alternative Capital(Debt Financing), Morgan, Lewis &amp; Bockius(Legal Advisor), PJ SOLOMON(Advisor: General), Prime Clerk(Advisor: General), Province(Advisor: General), RBC Capital Markets(Underwriter), Richards Layton &amp; Finger(Legal Advisor), Sidley Austin(Legal Advisor), Simpson Thacher &amp; Bartlett(Legal Advisor), The Goldman Sachs Group(Advisor: General), TriArtisan Capital Advisors(Debt Financing), Weil, Gotshal &amp; Manges(Legal Advisor), Wells Fargo Securities(Underwriter), Wilmington Trust(Debt Financing)</t>
        </is>
      </c>
      <c r="BL192" s="210" t="n">
        <v>31198.0</v>
      </c>
      <c r="BM192" s="211" t="inlineStr">
        <is>
          <t/>
        </is>
      </c>
      <c r="BN192" s="212" t="inlineStr">
        <is>
          <t/>
        </is>
      </c>
      <c r="BO192" s="213" t="inlineStr">
        <is>
          <t/>
        </is>
      </c>
      <c r="BP192" s="214" t="inlineStr">
        <is>
          <t/>
        </is>
      </c>
      <c r="BQ192" s="215" t="inlineStr">
        <is>
          <t>IPO</t>
        </is>
      </c>
      <c r="BR192" s="216" t="inlineStr">
        <is>
          <t/>
        </is>
      </c>
      <c r="BS192" s="217" t="inlineStr">
        <is>
          <t/>
        </is>
      </c>
      <c r="BT192" s="218" t="inlineStr">
        <is>
          <t>Public Investment</t>
        </is>
      </c>
      <c r="BU192" s="219" t="inlineStr">
        <is>
          <t/>
        </is>
      </c>
      <c r="BV192" s="220" t="inlineStr">
        <is>
          <t/>
        </is>
      </c>
      <c r="BW192" s="221" t="inlineStr">
        <is>
          <t/>
        </is>
      </c>
      <c r="BX192" s="222" t="inlineStr">
        <is>
          <t>Completed</t>
        </is>
      </c>
      <c r="BY192" s="223" t="n">
        <v>43385.0</v>
      </c>
      <c r="BZ192" s="224" t="n">
        <v>560.0</v>
      </c>
      <c r="CA192" s="225" t="inlineStr">
        <is>
          <t>Actual</t>
        </is>
      </c>
      <c r="CB192" s="226" t="n">
        <v>560.0</v>
      </c>
      <c r="CC192" s="227" t="inlineStr">
        <is>
          <t/>
        </is>
      </c>
      <c r="CD192" s="228" t="inlineStr">
        <is>
          <t>Buyout/LBO</t>
        </is>
      </c>
      <c r="CE192" s="229" t="inlineStr">
        <is>
          <t>Debt Conversion</t>
        </is>
      </c>
      <c r="CF192" s="230" t="inlineStr">
        <is>
          <t/>
        </is>
      </c>
      <c r="CG192" s="231" t="inlineStr">
        <is>
          <t>Private Equity</t>
        </is>
      </c>
      <c r="CH192" s="232" t="inlineStr">
        <is>
          <t>Secured Debt</t>
        </is>
      </c>
      <c r="CI192" s="233" t="inlineStr">
        <is>
          <t>Term Loan</t>
        </is>
      </c>
      <c r="CJ192" s="234" t="inlineStr">
        <is>
          <t>Revolving Credit Line</t>
        </is>
      </c>
      <c r="CK192" s="235" t="inlineStr">
        <is>
          <t>Completed</t>
        </is>
      </c>
      <c r="CL192" s="236" t="n">
        <v>43385.0</v>
      </c>
      <c r="CM192" s="237" t="n">
        <v>60.0</v>
      </c>
      <c r="CN192" s="238" t="n">
        <v>-0.3</v>
      </c>
      <c r="CO192" s="239" t="n">
        <v>9.0</v>
      </c>
      <c r="CP192" s="240" t="n">
        <v>0.0</v>
      </c>
      <c r="CQ192" s="241" t="n">
        <v>1.63</v>
      </c>
      <c r="CR192" s="242" t="n">
        <v>-0.56</v>
      </c>
      <c r="CS192" s="243" t="n">
        <v>8.0</v>
      </c>
      <c r="CT192" s="244" t="n">
        <v>-0.03</v>
      </c>
      <c r="CU192" s="245" t="n">
        <v>20.0</v>
      </c>
      <c r="CV192" s="246" t="n">
        <v>0.0</v>
      </c>
      <c r="CW192" s="247" t="n">
        <v>33.0</v>
      </c>
      <c r="CX192" s="248" t="n">
        <v>-1.12</v>
      </c>
      <c r="CY192" s="249" t="n">
        <v>4.0</v>
      </c>
      <c r="CZ192" s="250" t="n">
        <v>-0.05</v>
      </c>
      <c r="DA192" s="251" t="n">
        <v>19.0</v>
      </c>
      <c r="DB192" s="252" t="n">
        <v>484.39</v>
      </c>
      <c r="DC192" s="253" t="n">
        <v>100.0</v>
      </c>
      <c r="DD192" s="254" t="n">
        <v>3.31</v>
      </c>
      <c r="DE192" s="255" t="n">
        <v>0.69</v>
      </c>
      <c r="DF192" s="256" t="n">
        <v>17.42</v>
      </c>
      <c r="DG192" s="257" t="n">
        <v>93.0</v>
      </c>
      <c r="DH192" s="258" t="n">
        <v>951.37</v>
      </c>
      <c r="DI192" s="259" t="n">
        <v>100.0</v>
      </c>
      <c r="DJ192" s="260" t="n">
        <v>0.39</v>
      </c>
      <c r="DK192" s="261" t="n">
        <v>28.0</v>
      </c>
      <c r="DL192" s="262" t="n">
        <v>34.44</v>
      </c>
      <c r="DM192" s="263" t="n">
        <v>96.0</v>
      </c>
      <c r="DN192" s="264" t="n">
        <v>198.97</v>
      </c>
      <c r="DO192" s="265" t="n">
        <v>99.0</v>
      </c>
      <c r="DP192" s="266" t="n">
        <v>283.0</v>
      </c>
      <c r="DQ192" s="267" t="n">
        <v>-26.0</v>
      </c>
      <c r="DR192" s="268" t="n">
        <v>-8.41</v>
      </c>
      <c r="DS192" s="269" t="n">
        <v>1170.0</v>
      </c>
      <c r="DT192" s="270" t="n">
        <v>2.0</v>
      </c>
      <c r="DU192" s="271" t="n">
        <v>0.17</v>
      </c>
      <c r="DV192" s="272" t="n">
        <v>71454.0</v>
      </c>
      <c r="DW192" s="273" t="n">
        <v>-83.0</v>
      </c>
      <c r="DX192" s="274" t="n">
        <v>-0.12</v>
      </c>
      <c r="DY192" s="275" t="inlineStr">
        <is>
          <t>PitchBook Research</t>
        </is>
      </c>
      <c r="DZ192" s="276" t="n">
        <v>43473.0</v>
      </c>
      <c r="EA192" s="277" t="n">
        <v>560.0</v>
      </c>
      <c r="EB192" s="278" t="n">
        <v>43385.0</v>
      </c>
      <c r="EC192" s="279" t="inlineStr">
        <is>
          <t>Buyout/LBO</t>
        </is>
      </c>
      <c r="ED192" s="548">
        <f>HYPERLINK("https://my.pitchbook.com?c=10432-63", "View company online")</f>
      </c>
    </row>
    <row r="193">
      <c r="A193" s="13" t="inlineStr">
        <is>
          <t>40803-76</t>
        </is>
      </c>
      <c r="B193" s="14" t="inlineStr">
        <is>
          <t>Boardriders</t>
        </is>
      </c>
      <c r="C193" s="15" t="inlineStr">
        <is>
          <t>Quiksilver</t>
        </is>
      </c>
      <c r="D193" s="16" t="inlineStr">
        <is>
          <t/>
        </is>
      </c>
      <c r="E193" s="17" t="inlineStr">
        <is>
          <t>40803-76</t>
        </is>
      </c>
      <c r="F193" s="18" t="inlineStr">
        <is>
          <t>Manufacturer of clothing apparel and accessories designed for sporting activities. The company's accessories and related products represent a casual lifestyle for young-minded people who are inspired by a passion for outdoor action sports.</t>
        </is>
      </c>
      <c r="G193" s="19" t="inlineStr">
        <is>
          <t>Consumer Products and Services (B2C)</t>
        </is>
      </c>
      <c r="H193" s="20" t="inlineStr">
        <is>
          <t>Apparel and Accessories</t>
        </is>
      </c>
      <c r="I193" s="21" t="inlineStr">
        <is>
          <t>Accessories</t>
        </is>
      </c>
      <c r="J193" s="22" t="inlineStr">
        <is>
          <t>Accessories*, Clothing, Footwear</t>
        </is>
      </c>
      <c r="K193" s="23" t="inlineStr">
        <is>
          <t>Manufacturing</t>
        </is>
      </c>
      <c r="L193" s="24" t="inlineStr">
        <is>
          <t>boardsport, branding apparel, surfwear</t>
        </is>
      </c>
      <c r="M193" s="25" t="inlineStr">
        <is>
          <t>Private Equity-Backed</t>
        </is>
      </c>
      <c r="N193" s="26" t="n">
        <v>600.5</v>
      </c>
      <c r="O193" s="27" t="inlineStr">
        <is>
          <t>Profitable</t>
        </is>
      </c>
      <c r="P193" s="28" t="inlineStr">
        <is>
          <t>Privately Held (backing)</t>
        </is>
      </c>
      <c r="Q193" s="29" t="inlineStr">
        <is>
          <t>Debt Financed, Private Equity, Publicly Listed</t>
        </is>
      </c>
      <c r="R193" s="30" t="inlineStr">
        <is>
          <t>www.boardriders.co.za</t>
        </is>
      </c>
      <c r="S193" s="31" t="n">
        <v>10000.0</v>
      </c>
      <c r="T193" s="32" t="inlineStr">
        <is>
          <t>1991: 402, 1992: 317, 1993: 324, 1994: 324, 1995: 324, 1996: 513, 1997: 766, 1998: 990, 1999: 1200, 2000: 1560, 2001: 1950, 2002: 2700, 2003: 3400, 2004: 4350, 2005: 7875, 2006: 9200, 2007: 9600, 2008: 8400, 2009: 7650, 2010: 7650, 2011: 6600, 2012: 7000, 2013: 6300, 2014: 6100, 2015: 5700, 2018: 10000</t>
        </is>
      </c>
      <c r="U193" s="33" t="inlineStr">
        <is>
          <t/>
        </is>
      </c>
      <c r="V193" s="34" t="inlineStr">
        <is>
          <t/>
        </is>
      </c>
      <c r="W193" s="35" t="n">
        <v>1969.0</v>
      </c>
      <c r="X193" s="36" t="inlineStr">
        <is>
          <t/>
        </is>
      </c>
      <c r="Y193" s="37" t="inlineStr">
        <is>
          <t/>
        </is>
      </c>
      <c r="Z193" s="38" t="inlineStr">
        <is>
          <t/>
        </is>
      </c>
      <c r="AA193" s="39" t="n">
        <v>1345.94</v>
      </c>
      <c r="AB193" s="40" t="n">
        <v>621.38</v>
      </c>
      <c r="AC193" s="41" t="n">
        <v>-306.17</v>
      </c>
      <c r="AD193" s="42" t="n">
        <v>763.51</v>
      </c>
      <c r="AE193" s="43" t="n">
        <v>-188.61</v>
      </c>
      <c r="AF193" s="44" t="inlineStr">
        <is>
          <t>FY 2015</t>
        </is>
      </c>
      <c r="AG193" s="45" t="inlineStr">
        <is>
          <t/>
        </is>
      </c>
      <c r="AH193" s="46" t="inlineStr">
        <is>
          <t/>
        </is>
      </c>
      <c r="AI193" s="47" t="inlineStr">
        <is>
          <t/>
        </is>
      </c>
      <c r="AJ193" s="48" t="inlineStr">
        <is>
          <t>111953-62P</t>
        </is>
      </c>
      <c r="AK193" s="49" t="inlineStr">
        <is>
          <t>Thomas Chambolle</t>
        </is>
      </c>
      <c r="AL193" s="50" t="inlineStr">
        <is>
          <t>President, EMEA</t>
        </is>
      </c>
      <c r="AM193" s="51" t="inlineStr">
        <is>
          <t>thomas.chambolle@quiksilver.com</t>
        </is>
      </c>
      <c r="AN193" s="52" t="inlineStr">
        <is>
          <t>+27 (0)31 313 1422</t>
        </is>
      </c>
      <c r="AO193" s="53" t="inlineStr">
        <is>
          <t>Greyville, South Africa</t>
        </is>
      </c>
      <c r="AP193" s="54" t="inlineStr">
        <is>
          <t>PO Box 47539</t>
        </is>
      </c>
      <c r="AQ193" s="55" t="inlineStr">
        <is>
          <t/>
        </is>
      </c>
      <c r="AR193" s="56" t="inlineStr">
        <is>
          <t>Greyville</t>
        </is>
      </c>
      <c r="AS193" s="57" t="inlineStr">
        <is>
          <t/>
        </is>
      </c>
      <c r="AT193" s="58" t="inlineStr">
        <is>
          <t>4023</t>
        </is>
      </c>
      <c r="AU193" s="59" t="inlineStr">
        <is>
          <t>South Africa</t>
        </is>
      </c>
      <c r="AV193" s="60" t="inlineStr">
        <is>
          <t>+27 (0)31 313 1422</t>
        </is>
      </c>
      <c r="AW193" s="61" t="inlineStr">
        <is>
          <t/>
        </is>
      </c>
      <c r="AX193" s="62" t="inlineStr">
        <is>
          <t>support@boardriders.co.za</t>
        </is>
      </c>
      <c r="AY193" s="63" t="inlineStr">
        <is>
          <t>Africa</t>
        </is>
      </c>
      <c r="AZ193" s="64" t="inlineStr">
        <is>
          <t>Southern Africa</t>
        </is>
      </c>
      <c r="BA193" s="65" t="inlineStr">
        <is>
          <t>The company received a $600 million of debt financing from Deutsche Bank Securities, BofA Merrill Lynch, and Macquarie Group on January 4, 2018. Proceeds will be used to fund the Billabong acquisition and refinance debt at both companies. Previously, The company (NYSE: ZQK) was acquired by Oaktree Capital Management through an public-to-private LBO on February 11, 2016 for an undisclosed sum. Oaktree Capital Management holds about 73% of the company's $279 million in senior notes, which will be converted into about 95 percent of the equity in the reorganized company. The company also completed a $826 million of debt refinancing round led by Oaktree Capital Management, Bank of America and Wells Fargo. Oaktree Capital Management provided a $50 million loan and Bank of America and Wells Fargo provided $140 million.</t>
        </is>
      </c>
      <c r="BB193" s="66" t="inlineStr">
        <is>
          <t>Oaktree Capital Management</t>
        </is>
      </c>
      <c r="BC193" s="67" t="n">
        <v>1.0</v>
      </c>
      <c r="BD193" s="68" t="inlineStr">
        <is>
          <t/>
        </is>
      </c>
      <c r="BE193" s="69" t="inlineStr">
        <is>
          <t>Band of Angels, Rhône Group</t>
        </is>
      </c>
      <c r="BF193" s="70" t="inlineStr">
        <is>
          <t/>
        </is>
      </c>
      <c r="BG193" s="71" t="inlineStr">
        <is>
          <t/>
        </is>
      </c>
      <c r="BH193" s="72" t="inlineStr">
        <is>
          <t>Band of Angels(www.bandangels.com), Rhône Group(www.rhonegroup.com)</t>
        </is>
      </c>
      <c r="BI193" s="73" t="inlineStr">
        <is>
          <t/>
        </is>
      </c>
      <c r="BJ193" s="74" t="inlineStr">
        <is>
          <t>EY Ricol-Lasteyrie(Advisor: General), RCS Real Estate Advisors(Advisor: General), Strategic Equity Group(Advisor: General), The Brownestone Group(Consulting)</t>
        </is>
      </c>
      <c r="BK193" s="75" t="inlineStr">
        <is>
          <t>Bank of America(Debt Financing), Bank of America Merrill Lynch(Debt Financing), Deutsche Bank (Corporate &amp; Investment Bank)(Debt Financing), Flat Rock Global(Debt Financing), FTI Consulting(Advisor: General), GE Capital(Debt Financing), Lazard Middle Market(Advisor: General), Macquarie Group(Debt Financing), Oaktree Capital Management(Debt Financing), PJ SOLOMON(Advisor: General), Rhône Group(Debt Financing), Skadden, Arps, Slate, Meagher &amp; Flom(Legal Advisor), Société Générale Bank &amp; Trust(Advisor: General), Strategic Equity Group(Advisor: General), Sullivan &amp; Cromwell(Legal Advisor), TPG Specialty Lending(Debt Financing), Wells Fargo(Debt Financing)</t>
        </is>
      </c>
      <c r="BL193" s="76" t="n">
        <v>31413.0</v>
      </c>
      <c r="BM193" s="77" t="inlineStr">
        <is>
          <t/>
        </is>
      </c>
      <c r="BN193" s="78" t="inlineStr">
        <is>
          <t/>
        </is>
      </c>
      <c r="BO193" s="79" t="inlineStr">
        <is>
          <t/>
        </is>
      </c>
      <c r="BP193" s="80" t="inlineStr">
        <is>
          <t/>
        </is>
      </c>
      <c r="BQ193" s="81" t="inlineStr">
        <is>
          <t>IPO</t>
        </is>
      </c>
      <c r="BR193" s="82" t="inlineStr">
        <is>
          <t/>
        </is>
      </c>
      <c r="BS193" s="83" t="inlineStr">
        <is>
          <t/>
        </is>
      </c>
      <c r="BT193" s="84" t="inlineStr">
        <is>
          <t>Public Investment</t>
        </is>
      </c>
      <c r="BU193" s="85" t="inlineStr">
        <is>
          <t/>
        </is>
      </c>
      <c r="BV193" s="86" t="inlineStr">
        <is>
          <t/>
        </is>
      </c>
      <c r="BW193" s="87" t="inlineStr">
        <is>
          <t/>
        </is>
      </c>
      <c r="BX193" s="88" t="inlineStr">
        <is>
          <t>Completed</t>
        </is>
      </c>
      <c r="BY193" s="89" t="n">
        <v>43104.0</v>
      </c>
      <c r="BZ193" s="90" t="n">
        <v>600.5</v>
      </c>
      <c r="CA193" s="91" t="inlineStr">
        <is>
          <t>Actual</t>
        </is>
      </c>
      <c r="CB193" s="92" t="inlineStr">
        <is>
          <t/>
        </is>
      </c>
      <c r="CC193" s="93" t="inlineStr">
        <is>
          <t/>
        </is>
      </c>
      <c r="CD193" s="94" t="inlineStr">
        <is>
          <t>Debt - General</t>
        </is>
      </c>
      <c r="CE193" s="95" t="inlineStr">
        <is>
          <t>Acquisition Financing</t>
        </is>
      </c>
      <c r="CF193" s="96" t="inlineStr">
        <is>
          <t/>
        </is>
      </c>
      <c r="CG193" s="97" t="inlineStr">
        <is>
          <t>Debt</t>
        </is>
      </c>
      <c r="CH193" s="98" t="inlineStr">
        <is>
          <t>Loan</t>
        </is>
      </c>
      <c r="CI193" s="99" t="inlineStr">
        <is>
          <t>Revolving Credit Line</t>
        </is>
      </c>
      <c r="CJ193" s="100" t="inlineStr">
        <is>
          <t>First Lien</t>
        </is>
      </c>
      <c r="CK193" s="101" t="inlineStr">
        <is>
          <t>Completed</t>
        </is>
      </c>
      <c r="CL193" s="102" t="n">
        <v>43104.0</v>
      </c>
      <c r="CM193" s="103" t="n">
        <v>450.0</v>
      </c>
      <c r="CN193" s="104" t="n">
        <v>0.36</v>
      </c>
      <c r="CO193" s="105" t="n">
        <v>92.0</v>
      </c>
      <c r="CP193" s="106" t="n">
        <v>0.0</v>
      </c>
      <c r="CQ193" s="107" t="n">
        <v>-1.35</v>
      </c>
      <c r="CR193" s="108" t="n">
        <v>0.75</v>
      </c>
      <c r="CS193" s="109" t="n">
        <v>96.0</v>
      </c>
      <c r="CT193" s="110" t="n">
        <v>-0.02</v>
      </c>
      <c r="CU193" s="111" t="n">
        <v>22.0</v>
      </c>
      <c r="CV193" s="112" t="inlineStr">
        <is>
          <t/>
        </is>
      </c>
      <c r="CW193" s="113" t="inlineStr">
        <is>
          <t/>
        </is>
      </c>
      <c r="CX193" s="114" t="n">
        <v>0.75</v>
      </c>
      <c r="CY193" s="115" t="n">
        <v>96.0</v>
      </c>
      <c r="CZ193" s="116" t="n">
        <v>-0.02</v>
      </c>
      <c r="DA193" s="117" t="n">
        <v>25.0</v>
      </c>
      <c r="DB193" s="118" t="n">
        <v>2072.47</v>
      </c>
      <c r="DC193" s="119" t="n">
        <v>100.0</v>
      </c>
      <c r="DD193" s="120" t="n">
        <v>5.65</v>
      </c>
      <c r="DE193" s="121" t="n">
        <v>0.27</v>
      </c>
      <c r="DF193" s="122" t="n">
        <v>3.56</v>
      </c>
      <c r="DG193" s="123" t="n">
        <v>78.0</v>
      </c>
      <c r="DH193" s="124" t="n">
        <v>4141.38</v>
      </c>
      <c r="DI193" s="125" t="n">
        <v>100.0</v>
      </c>
      <c r="DJ193" s="126" t="inlineStr">
        <is>
          <t/>
        </is>
      </c>
      <c r="DK193" s="127" t="inlineStr">
        <is>
          <t/>
        </is>
      </c>
      <c r="DL193" s="128" t="n">
        <v>3.56</v>
      </c>
      <c r="DM193" s="129" t="n">
        <v>77.0</v>
      </c>
      <c r="DN193" s="130" t="n">
        <v>859.67</v>
      </c>
      <c r="DO193" s="131" t="n">
        <v>100.0</v>
      </c>
      <c r="DP193" s="132" t="inlineStr">
        <is>
          <t/>
        </is>
      </c>
      <c r="DQ193" s="133" t="inlineStr">
        <is>
          <t/>
        </is>
      </c>
      <c r="DR193" s="134" t="inlineStr">
        <is>
          <t/>
        </is>
      </c>
      <c r="DS193" s="135" t="n">
        <v>121.0</v>
      </c>
      <c r="DT193" s="136" t="n">
        <v>1.0</v>
      </c>
      <c r="DU193" s="137" t="n">
        <v>0.83</v>
      </c>
      <c r="DV193" s="138" t="n">
        <v>308696.0</v>
      </c>
      <c r="DW193" s="139" t="n">
        <v>-221.0</v>
      </c>
      <c r="DX193" s="140" t="n">
        <v>-0.07</v>
      </c>
      <c r="DY193" s="141" t="inlineStr">
        <is>
          <t>PitchBook Research</t>
        </is>
      </c>
      <c r="DZ193" s="142" t="n">
        <v>43511.0</v>
      </c>
      <c r="EA193" s="143" t="n">
        <v>546.0</v>
      </c>
      <c r="EB193" s="144" t="n">
        <v>42411.0</v>
      </c>
      <c r="EC193" s="145" t="inlineStr">
        <is>
          <t>Buyout/LBO</t>
        </is>
      </c>
      <c r="ED193" s="547">
        <f>HYPERLINK("https://my.pitchbook.com?c=40803-76", "View company online")</f>
      </c>
    </row>
    <row r="194">
      <c r="A194" s="147" t="inlineStr">
        <is>
          <t>61315-30</t>
        </is>
      </c>
      <c r="B194" s="148" t="inlineStr">
        <is>
          <t>Truworths International (JSE: TRU)</t>
        </is>
      </c>
      <c r="C194" s="149" t="inlineStr">
        <is>
          <t/>
        </is>
      </c>
      <c r="D194" s="150" t="inlineStr">
        <is>
          <t/>
        </is>
      </c>
      <c r="E194" s="151" t="inlineStr">
        <is>
          <t>61315-30</t>
        </is>
      </c>
      <c r="F194" s="152" t="inlineStr">
        <is>
          <t>Truworths International Ltd is a clothing and footwear retailer with nearly a thousand stores in Africa and Europe. Its African brands include Truworths, Daniel Hechter, Inwear, Identity, and LTD. Its European brands include Office and Offspring footwear retailers. The company's stores generally sell only proprietary brands, but Office primarily sells global third-party footwear brands. Most of the company's retail locations and sales are in South Africa. Collectively, South Africa and the United Kingdom account for roughly 90% of the company's business. E-commerce sales make up a small portion of total revenue.</t>
        </is>
      </c>
      <c r="G194" s="153" t="inlineStr">
        <is>
          <t>Consumer Products and Services (B2C)</t>
        </is>
      </c>
      <c r="H194" s="154" t="inlineStr">
        <is>
          <t>Apparel and Accessories</t>
        </is>
      </c>
      <c r="I194" s="155" t="inlineStr">
        <is>
          <t>Clothing</t>
        </is>
      </c>
      <c r="J194" s="156" t="inlineStr">
        <is>
          <t>Clothing*</t>
        </is>
      </c>
      <c r="K194" s="157" t="inlineStr">
        <is>
          <t/>
        </is>
      </c>
      <c r="L194" s="158" t="inlineStr">
        <is>
          <t>fashion retail, fashion retailer, franchise stores, retail environments</t>
        </is>
      </c>
      <c r="M194" s="159" t="inlineStr">
        <is>
          <t>Corporation</t>
        </is>
      </c>
      <c r="N194" s="160" t="inlineStr">
        <is>
          <t/>
        </is>
      </c>
      <c r="O194" s="161" t="inlineStr">
        <is>
          <t>Profitable</t>
        </is>
      </c>
      <c r="P194" s="162" t="inlineStr">
        <is>
          <t>Publicly Held</t>
        </is>
      </c>
      <c r="Q194" s="163" t="inlineStr">
        <is>
          <t>Publicly Listed</t>
        </is>
      </c>
      <c r="R194" s="164" t="inlineStr">
        <is>
          <t>www.truworths.co.za</t>
        </is>
      </c>
      <c r="S194" s="165" t="n">
        <v>10491.0</v>
      </c>
      <c r="T194" s="166" t="inlineStr">
        <is>
          <t>2008: 6288, 2010: 6623, 2012: 9719, 2013: 10184, 2014: 10565, 2015: 11361, 2016: 10891, 2017: 10229, 2018: 10491</t>
        </is>
      </c>
      <c r="U194" s="167" t="inlineStr">
        <is>
          <t>JSE</t>
        </is>
      </c>
      <c r="V194" s="168" t="inlineStr">
        <is>
          <t>TRU</t>
        </is>
      </c>
      <c r="W194" s="169" t="inlineStr">
        <is>
          <t/>
        </is>
      </c>
      <c r="X194" s="170" t="inlineStr">
        <is>
          <t/>
        </is>
      </c>
      <c r="Y194" s="171" t="inlineStr">
        <is>
          <t/>
        </is>
      </c>
      <c r="Z194" s="172" t="inlineStr">
        <is>
          <t/>
        </is>
      </c>
      <c r="AA194" s="173" t="n">
        <v>1333.41</v>
      </c>
      <c r="AB194" s="174" t="n">
        <v>708.48</v>
      </c>
      <c r="AC194" s="175" t="n">
        <v>193.13</v>
      </c>
      <c r="AD194" s="176" t="n">
        <v>2682.08</v>
      </c>
      <c r="AE194" s="177" t="n">
        <v>216.13</v>
      </c>
      <c r="AF194" s="178" t="inlineStr">
        <is>
          <t>TTM 2Q2019</t>
        </is>
      </c>
      <c r="AG194" s="179" t="n">
        <v>186.26</v>
      </c>
      <c r="AH194" s="180" t="n">
        <v>1997.33</v>
      </c>
      <c r="AI194" s="181" t="n">
        <v>-74.49</v>
      </c>
      <c r="AJ194" s="182" t="inlineStr">
        <is>
          <t>113908-78P</t>
        </is>
      </c>
      <c r="AK194" s="183" t="inlineStr">
        <is>
          <t>Michael Mark</t>
        </is>
      </c>
      <c r="AL194" s="184" t="inlineStr">
        <is>
          <t>Chief Executive Officer</t>
        </is>
      </c>
      <c r="AM194" s="185" t="inlineStr">
        <is>
          <t/>
        </is>
      </c>
      <c r="AN194" s="186" t="inlineStr">
        <is>
          <t>+27 (0)21 460 7911</t>
        </is>
      </c>
      <c r="AO194" s="187" t="inlineStr">
        <is>
          <t>Cape Town, South Africa</t>
        </is>
      </c>
      <c r="AP194" s="188" t="inlineStr">
        <is>
          <t>No 1 Mostert Street</t>
        </is>
      </c>
      <c r="AQ194" s="189" t="inlineStr">
        <is>
          <t/>
        </is>
      </c>
      <c r="AR194" s="190" t="inlineStr">
        <is>
          <t>Cape Town</t>
        </is>
      </c>
      <c r="AS194" s="191" t="inlineStr">
        <is>
          <t/>
        </is>
      </c>
      <c r="AT194" s="192" t="inlineStr">
        <is>
          <t>8001</t>
        </is>
      </c>
      <c r="AU194" s="193" t="inlineStr">
        <is>
          <t>South Africa</t>
        </is>
      </c>
      <c r="AV194" s="194" t="inlineStr">
        <is>
          <t>+27 (0)21 460 7911</t>
        </is>
      </c>
      <c r="AW194" s="195" t="inlineStr">
        <is>
          <t>+27 (0)21 460 7132</t>
        </is>
      </c>
      <c r="AX194" s="196" t="inlineStr">
        <is>
          <t/>
        </is>
      </c>
      <c r="AY194" s="197" t="inlineStr">
        <is>
          <t>Africa</t>
        </is>
      </c>
      <c r="AZ194" s="198" t="inlineStr">
        <is>
          <t>Southern Africa</t>
        </is>
      </c>
      <c r="BA194" s="199" t="inlineStr">
        <is>
          <t/>
        </is>
      </c>
      <c r="BB194" s="200" t="inlineStr">
        <is>
          <t/>
        </is>
      </c>
      <c r="BC194" s="201" t="inlineStr">
        <is>
          <t/>
        </is>
      </c>
      <c r="BD194" s="202" t="inlineStr">
        <is>
          <t/>
        </is>
      </c>
      <c r="BE194" s="203" t="inlineStr">
        <is>
          <t/>
        </is>
      </c>
      <c r="BF194" s="204" t="inlineStr">
        <is>
          <t/>
        </is>
      </c>
      <c r="BG194" s="205" t="inlineStr">
        <is>
          <t/>
        </is>
      </c>
      <c r="BH194" s="206" t="inlineStr">
        <is>
          <t/>
        </is>
      </c>
      <c r="BI194" s="207" t="inlineStr">
        <is>
          <t/>
        </is>
      </c>
      <c r="BJ194" s="208" t="inlineStr">
        <is>
          <t/>
        </is>
      </c>
      <c r="BK194" s="209" t="inlineStr">
        <is>
          <t/>
        </is>
      </c>
      <c r="BL194" s="210" t="inlineStr">
        <is>
          <t/>
        </is>
      </c>
      <c r="BM194" s="211" t="inlineStr">
        <is>
          <t/>
        </is>
      </c>
      <c r="BN194" s="212" t="inlineStr">
        <is>
          <t/>
        </is>
      </c>
      <c r="BO194" s="213" t="inlineStr">
        <is>
          <t/>
        </is>
      </c>
      <c r="BP194" s="214" t="inlineStr">
        <is>
          <t/>
        </is>
      </c>
      <c r="BQ194" s="215" t="inlineStr">
        <is>
          <t/>
        </is>
      </c>
      <c r="BR194" s="216" t="inlineStr">
        <is>
          <t/>
        </is>
      </c>
      <c r="BS194" s="217" t="inlineStr">
        <is>
          <t/>
        </is>
      </c>
      <c r="BT194" s="218" t="inlineStr">
        <is>
          <t/>
        </is>
      </c>
      <c r="BU194" s="219" t="inlineStr">
        <is>
          <t/>
        </is>
      </c>
      <c r="BV194" s="220" t="inlineStr">
        <is>
          <t/>
        </is>
      </c>
      <c r="BW194" s="221" t="inlineStr">
        <is>
          <t/>
        </is>
      </c>
      <c r="BX194" s="222" t="inlineStr">
        <is>
          <t/>
        </is>
      </c>
      <c r="BY194" s="223" t="inlineStr">
        <is>
          <t/>
        </is>
      </c>
      <c r="BZ194" s="224" t="inlineStr">
        <is>
          <t/>
        </is>
      </c>
      <c r="CA194" s="225" t="inlineStr">
        <is>
          <t/>
        </is>
      </c>
      <c r="CB194" s="226" t="inlineStr">
        <is>
          <t/>
        </is>
      </c>
      <c r="CC194" s="227" t="inlineStr">
        <is>
          <t/>
        </is>
      </c>
      <c r="CD194" s="228" t="inlineStr">
        <is>
          <t/>
        </is>
      </c>
      <c r="CE194" s="229" t="inlineStr">
        <is>
          <t/>
        </is>
      </c>
      <c r="CF194" s="230" t="inlineStr">
        <is>
          <t/>
        </is>
      </c>
      <c r="CG194" s="231" t="inlineStr">
        <is>
          <t/>
        </is>
      </c>
      <c r="CH194" s="232" t="inlineStr">
        <is>
          <t/>
        </is>
      </c>
      <c r="CI194" s="233" t="inlineStr">
        <is>
          <t/>
        </is>
      </c>
      <c r="CJ194" s="234" t="inlineStr">
        <is>
          <t/>
        </is>
      </c>
      <c r="CK194" s="235" t="inlineStr">
        <is>
          <t/>
        </is>
      </c>
      <c r="CL194" s="236" t="inlineStr">
        <is>
          <t/>
        </is>
      </c>
      <c r="CM194" s="237" t="inlineStr">
        <is>
          <t/>
        </is>
      </c>
      <c r="CN194" s="238" t="n">
        <v>0.19</v>
      </c>
      <c r="CO194" s="239" t="n">
        <v>88.0</v>
      </c>
      <c r="CP194" s="240" t="n">
        <v>-0.01</v>
      </c>
      <c r="CQ194" s="241" t="n">
        <v>-5.86</v>
      </c>
      <c r="CR194" s="242" t="n">
        <v>0.13</v>
      </c>
      <c r="CS194" s="243" t="n">
        <v>88.0</v>
      </c>
      <c r="CT194" s="244" t="n">
        <v>0.24</v>
      </c>
      <c r="CU194" s="245" t="n">
        <v>87.0</v>
      </c>
      <c r="CV194" s="246" t="n">
        <v>0.0</v>
      </c>
      <c r="CW194" s="247" t="n">
        <v>33.0</v>
      </c>
      <c r="CX194" s="248" t="n">
        <v>0.26</v>
      </c>
      <c r="CY194" s="249" t="n">
        <v>90.0</v>
      </c>
      <c r="CZ194" s="250" t="n">
        <v>0.07</v>
      </c>
      <c r="DA194" s="251" t="n">
        <v>72.0</v>
      </c>
      <c r="DB194" s="252" t="n">
        <v>509.05</v>
      </c>
      <c r="DC194" s="253" t="n">
        <v>100.0</v>
      </c>
      <c r="DD194" s="254" t="n">
        <v>3.44</v>
      </c>
      <c r="DE194" s="255" t="n">
        <v>0.68</v>
      </c>
      <c r="DF194" s="256" t="n">
        <v>17.8</v>
      </c>
      <c r="DG194" s="257" t="n">
        <v>93.0</v>
      </c>
      <c r="DH194" s="258" t="n">
        <v>1000.3</v>
      </c>
      <c r="DI194" s="259" t="n">
        <v>100.0</v>
      </c>
      <c r="DJ194" s="260" t="n">
        <v>0.37</v>
      </c>
      <c r="DK194" s="261" t="n">
        <v>27.0</v>
      </c>
      <c r="DL194" s="262" t="n">
        <v>35.24</v>
      </c>
      <c r="DM194" s="263" t="n">
        <v>96.0</v>
      </c>
      <c r="DN194" s="264" t="n">
        <v>66.2</v>
      </c>
      <c r="DO194" s="265" t="n">
        <v>97.0</v>
      </c>
      <c r="DP194" s="266" t="n">
        <v>263.0</v>
      </c>
      <c r="DQ194" s="267" t="n">
        <v>-24.0</v>
      </c>
      <c r="DR194" s="268" t="n">
        <v>-8.36</v>
      </c>
      <c r="DS194" s="269" t="n">
        <v>1189.0</v>
      </c>
      <c r="DT194" s="270" t="n">
        <v>8.0</v>
      </c>
      <c r="DU194" s="271" t="n">
        <v>0.68</v>
      </c>
      <c r="DV194" s="272" t="n">
        <v>23768.0</v>
      </c>
      <c r="DW194" s="273" t="n">
        <v>10.0</v>
      </c>
      <c r="DX194" s="274" t="n">
        <v>0.04</v>
      </c>
      <c r="DY194" s="275" t="inlineStr">
        <is>
          <t>PitchBook Research</t>
        </is>
      </c>
      <c r="DZ194" s="276" t="n">
        <v>43492.0</v>
      </c>
      <c r="EA194" s="277" t="inlineStr">
        <is>
          <t/>
        </is>
      </c>
      <c r="EB194" s="278" t="inlineStr">
        <is>
          <t/>
        </is>
      </c>
      <c r="EC194" s="279" t="inlineStr">
        <is>
          <t/>
        </is>
      </c>
      <c r="ED194" s="548">
        <f>HYPERLINK("https://my.pitchbook.com?c=61315-30", "View company online")</f>
      </c>
    </row>
    <row r="195">
      <c r="A195" s="13" t="inlineStr">
        <is>
          <t>55120-87</t>
        </is>
      </c>
      <c r="B195" s="14" t="inlineStr">
        <is>
          <t>Lamoda</t>
        </is>
      </c>
      <c r="C195" s="15" t="inlineStr">
        <is>
          <t/>
        </is>
      </c>
      <c r="D195" s="16" t="inlineStr">
        <is>
          <t/>
        </is>
      </c>
      <c r="E195" s="17" t="inlineStr">
        <is>
          <t>55120-87</t>
        </is>
      </c>
      <c r="F195" s="18" t="inlineStr">
        <is>
          <t>Provider of an online platform intended to offer a range of products. The company's online platform offers apparel, shoes, accessories and beauty products, enabling consumers to buy products of their own choice.</t>
        </is>
      </c>
      <c r="G195" s="19" t="inlineStr">
        <is>
          <t>Consumer Products and Services (B2C)</t>
        </is>
      </c>
      <c r="H195" s="20" t="inlineStr">
        <is>
          <t>Retail</t>
        </is>
      </c>
      <c r="I195" s="21" t="inlineStr">
        <is>
          <t>Internet Retail</t>
        </is>
      </c>
      <c r="J195" s="22" t="inlineStr">
        <is>
          <t>Application Software, Clothing, Internet Retail*</t>
        </is>
      </c>
      <c r="K195" s="23" t="inlineStr">
        <is>
          <t>E-Commerce, TMT</t>
        </is>
      </c>
      <c r="L195" s="24" t="inlineStr">
        <is>
          <t>apparel, beauty product, online platform, online shopping portal, shoes, shopping portal</t>
        </is>
      </c>
      <c r="M195" s="25" t="inlineStr">
        <is>
          <t>Venture Capital-Backed</t>
        </is>
      </c>
      <c r="N195" s="26" t="n">
        <v>241.73</v>
      </c>
      <c r="O195" s="27" t="inlineStr">
        <is>
          <t>Generating Revenue</t>
        </is>
      </c>
      <c r="P195" s="28" t="inlineStr">
        <is>
          <t>Privately Held (backing)</t>
        </is>
      </c>
      <c r="Q195" s="29" t="inlineStr">
        <is>
          <t>Venture Capital</t>
        </is>
      </c>
      <c r="R195" s="30" t="inlineStr">
        <is>
          <t>www.lamoda.ru</t>
        </is>
      </c>
      <c r="S195" s="31" t="n">
        <v>1066.0</v>
      </c>
      <c r="T195" s="32" t="inlineStr">
        <is>
          <t>2013: 1500, 2014: 2000, 2015: 1001, 2016: 1066</t>
        </is>
      </c>
      <c r="U195" s="33" t="inlineStr">
        <is>
          <t/>
        </is>
      </c>
      <c r="V195" s="34" t="inlineStr">
        <is>
          <t/>
        </is>
      </c>
      <c r="W195" s="35" t="n">
        <v>2011.0</v>
      </c>
      <c r="X195" s="36" t="inlineStr">
        <is>
          <t/>
        </is>
      </c>
      <c r="Y195" s="37" t="inlineStr">
        <is>
          <t/>
        </is>
      </c>
      <c r="Z195" s="38" t="inlineStr">
        <is>
          <t/>
        </is>
      </c>
      <c r="AA195" s="39" t="n">
        <v>1314.59</v>
      </c>
      <c r="AB195" s="40" t="inlineStr">
        <is>
          <t/>
        </is>
      </c>
      <c r="AC195" s="41" t="inlineStr">
        <is>
          <t/>
        </is>
      </c>
      <c r="AD195" s="42" t="inlineStr">
        <is>
          <t/>
        </is>
      </c>
      <c r="AE195" s="43" t="inlineStr">
        <is>
          <t/>
        </is>
      </c>
      <c r="AF195" s="44" t="inlineStr">
        <is>
          <t>FY 2018</t>
        </is>
      </c>
      <c r="AG195" s="45" t="inlineStr">
        <is>
          <t/>
        </is>
      </c>
      <c r="AH195" s="46" t="inlineStr">
        <is>
          <t/>
        </is>
      </c>
      <c r="AI195" s="47" t="inlineStr">
        <is>
          <t/>
        </is>
      </c>
      <c r="AJ195" s="48" t="inlineStr">
        <is>
          <t>47452-06P</t>
        </is>
      </c>
      <c r="AK195" s="49" t="inlineStr">
        <is>
          <t>Niels Tonsen</t>
        </is>
      </c>
      <c r="AL195" s="50" t="inlineStr">
        <is>
          <t>Co-Founder &amp; Managing Director</t>
        </is>
      </c>
      <c r="AM195" s="51" t="inlineStr">
        <is>
          <t/>
        </is>
      </c>
      <c r="AN195" s="52" t="inlineStr">
        <is>
          <t>+7 (8)495 363 6393</t>
        </is>
      </c>
      <c r="AO195" s="53" t="inlineStr">
        <is>
          <t>Moscow, Russia</t>
        </is>
      </c>
      <c r="AP195" s="54" t="inlineStr">
        <is>
          <t>ul. Letnikovskaya, 10, p.5.</t>
        </is>
      </c>
      <c r="AQ195" s="55" t="inlineStr">
        <is>
          <t/>
        </is>
      </c>
      <c r="AR195" s="56" t="inlineStr">
        <is>
          <t>Moscow</t>
        </is>
      </c>
      <c r="AS195" s="57" t="inlineStr">
        <is>
          <t/>
        </is>
      </c>
      <c r="AT195" s="58" t="inlineStr">
        <is>
          <t>115114</t>
        </is>
      </c>
      <c r="AU195" s="59" t="inlineStr">
        <is>
          <t>Russia</t>
        </is>
      </c>
      <c r="AV195" s="60" t="inlineStr">
        <is>
          <t>+7 (8)495 363 6393</t>
        </is>
      </c>
      <c r="AW195" s="61" t="inlineStr">
        <is>
          <t/>
        </is>
      </c>
      <c r="AX195" s="62" t="inlineStr">
        <is>
          <t>feedback@lamoda.ru</t>
        </is>
      </c>
      <c r="AY195" s="63" t="inlineStr">
        <is>
          <t>Europe</t>
        </is>
      </c>
      <c r="AZ195" s="64" t="inlineStr">
        <is>
          <t>Eastern Europe</t>
        </is>
      </c>
      <c r="BA195" s="65" t="inlineStr">
        <is>
          <t>HV Holtzbrinck Ventures sold its stake in the company to undisclosed investors.</t>
        </is>
      </c>
      <c r="BB195" s="66" t="inlineStr">
        <is>
          <t>Access Industries, International Finance Corporation, J.P. Morgan, Kering, Kinnevik, Rocket Internet, Summit Partners, Tengelmann E-Commerce, Tengelmann Ventures, Vesna Investment</t>
        </is>
      </c>
      <c r="BC195" s="67" t="n">
        <v>10.0</v>
      </c>
      <c r="BD195" s="68" t="inlineStr">
        <is>
          <t/>
        </is>
      </c>
      <c r="BE195" s="69" t="inlineStr">
        <is>
          <t>HV Holtzbrinck Ventures</t>
        </is>
      </c>
      <c r="BF195" s="70" t="inlineStr">
        <is>
          <t/>
        </is>
      </c>
      <c r="BG195" s="71" t="inlineStr">
        <is>
          <t>Access Industries(www.accessindustries.com), International Finance Corporation(www.ifc.org), J.P. Morgan(www.jpmorgan.com), Kering(www.kering.com), Rocket Internet(www.rocket-internet.com), Summit Partners(www.summitpartners.com), Tengelmann Ventures(www.tev.de), Vesna Investment(www.vesnainvestment.com)</t>
        </is>
      </c>
      <c r="BH195" s="72" t="inlineStr">
        <is>
          <t>HV Holtzbrinck Ventures(www.hvventures.com)</t>
        </is>
      </c>
      <c r="BI195" s="73" t="inlineStr">
        <is>
          <t/>
        </is>
      </c>
      <c r="BJ195" s="74" t="inlineStr">
        <is>
          <t/>
        </is>
      </c>
      <c r="BK195" s="75" t="inlineStr">
        <is>
          <t/>
        </is>
      </c>
      <c r="BL195" s="76" t="n">
        <v>40544.0</v>
      </c>
      <c r="BM195" s="77" t="inlineStr">
        <is>
          <t/>
        </is>
      </c>
      <c r="BN195" s="78" t="inlineStr">
        <is>
          <t/>
        </is>
      </c>
      <c r="BO195" s="79" t="inlineStr">
        <is>
          <t/>
        </is>
      </c>
      <c r="BP195" s="80" t="inlineStr">
        <is>
          <t/>
        </is>
      </c>
      <c r="BQ195" s="81" t="inlineStr">
        <is>
          <t>Accelerator/Incubator</t>
        </is>
      </c>
      <c r="BR195" s="82" t="inlineStr">
        <is>
          <t/>
        </is>
      </c>
      <c r="BS195" s="83" t="inlineStr">
        <is>
          <t/>
        </is>
      </c>
      <c r="BT195" s="84" t="inlineStr">
        <is>
          <t>Other</t>
        </is>
      </c>
      <c r="BU195" s="85" t="inlineStr">
        <is>
          <t/>
        </is>
      </c>
      <c r="BV195" s="86" t="inlineStr">
        <is>
          <t/>
        </is>
      </c>
      <c r="BW195" s="87" t="inlineStr">
        <is>
          <t/>
        </is>
      </c>
      <c r="BX195" s="88" t="inlineStr">
        <is>
          <t>Completed</t>
        </is>
      </c>
      <c r="BY195" s="89" t="inlineStr">
        <is>
          <t/>
        </is>
      </c>
      <c r="BZ195" s="90" t="inlineStr">
        <is>
          <t/>
        </is>
      </c>
      <c r="CA195" s="91" t="inlineStr">
        <is>
          <t/>
        </is>
      </c>
      <c r="CB195" s="92" t="inlineStr">
        <is>
          <t/>
        </is>
      </c>
      <c r="CC195" s="93" t="inlineStr">
        <is>
          <t/>
        </is>
      </c>
      <c r="CD195" s="94" t="inlineStr">
        <is>
          <t>Secondary Transaction - Private</t>
        </is>
      </c>
      <c r="CE195" s="95" t="inlineStr">
        <is>
          <t/>
        </is>
      </c>
      <c r="CF195" s="96" t="inlineStr">
        <is>
          <t/>
        </is>
      </c>
      <c r="CG195" s="97" t="inlineStr">
        <is>
          <t>Venture Capital</t>
        </is>
      </c>
      <c r="CH195" s="98" t="inlineStr">
        <is>
          <t/>
        </is>
      </c>
      <c r="CI195" s="99" t="inlineStr">
        <is>
          <t/>
        </is>
      </c>
      <c r="CJ195" s="100" t="inlineStr">
        <is>
          <t/>
        </is>
      </c>
      <c r="CK195" s="101" t="inlineStr">
        <is>
          <t>Completed</t>
        </is>
      </c>
      <c r="CL195" s="102" t="inlineStr">
        <is>
          <t/>
        </is>
      </c>
      <c r="CM195" s="103" t="inlineStr">
        <is>
          <t/>
        </is>
      </c>
      <c r="CN195" s="104" t="n">
        <v>0.18</v>
      </c>
      <c r="CO195" s="105" t="n">
        <v>88.0</v>
      </c>
      <c r="CP195" s="106" t="n">
        <v>0.01</v>
      </c>
      <c r="CQ195" s="107" t="n">
        <v>5.7</v>
      </c>
      <c r="CR195" s="108" t="n">
        <v>0.54</v>
      </c>
      <c r="CS195" s="109" t="n">
        <v>94.0</v>
      </c>
      <c r="CT195" s="110" t="n">
        <v>-0.17</v>
      </c>
      <c r="CU195" s="111" t="n">
        <v>3.0</v>
      </c>
      <c r="CV195" s="112" t="n">
        <v>1.06</v>
      </c>
      <c r="CW195" s="113" t="n">
        <v>87.0</v>
      </c>
      <c r="CX195" s="114" t="n">
        <v>0.03</v>
      </c>
      <c r="CY195" s="115" t="n">
        <v>85.0</v>
      </c>
      <c r="CZ195" s="116" t="n">
        <v>-0.17</v>
      </c>
      <c r="DA195" s="117" t="n">
        <v>4.0</v>
      </c>
      <c r="DB195" s="118" t="n">
        <v>54.94</v>
      </c>
      <c r="DC195" s="119" t="n">
        <v>98.0</v>
      </c>
      <c r="DD195" s="120" t="n">
        <v>8.33</v>
      </c>
      <c r="DE195" s="121" t="n">
        <v>17.87</v>
      </c>
      <c r="DF195" s="122" t="n">
        <v>87.7</v>
      </c>
      <c r="DG195" s="123" t="n">
        <v>99.0</v>
      </c>
      <c r="DH195" s="124" t="n">
        <v>22.18</v>
      </c>
      <c r="DI195" s="125" t="n">
        <v>92.0</v>
      </c>
      <c r="DJ195" s="126" t="n">
        <v>42.08</v>
      </c>
      <c r="DK195" s="127" t="n">
        <v>95.0</v>
      </c>
      <c r="DL195" s="128" t="n">
        <v>133.32</v>
      </c>
      <c r="DM195" s="129" t="n">
        <v>100.0</v>
      </c>
      <c r="DN195" s="130" t="n">
        <v>22.18</v>
      </c>
      <c r="DO195" s="131" t="n">
        <v>93.0</v>
      </c>
      <c r="DP195" s="132" t="n">
        <v>30046.0</v>
      </c>
      <c r="DQ195" s="133" t="n">
        <v>-398.0</v>
      </c>
      <c r="DR195" s="134" t="n">
        <v>-1.31</v>
      </c>
      <c r="DS195" s="135" t="n">
        <v>4523.0</v>
      </c>
      <c r="DT195" s="136" t="n">
        <v>20.0</v>
      </c>
      <c r="DU195" s="137" t="n">
        <v>0.44</v>
      </c>
      <c r="DV195" s="138" t="n">
        <v>7964.0</v>
      </c>
      <c r="DW195" s="139" t="n">
        <v>-4.0</v>
      </c>
      <c r="DX195" s="140" t="n">
        <v>-0.05</v>
      </c>
      <c r="DY195" s="141" t="inlineStr">
        <is>
          <t>PitchBook Research</t>
        </is>
      </c>
      <c r="DZ195" s="142" t="n">
        <v>43515.0</v>
      </c>
      <c r="EA195" s="143" t="inlineStr">
        <is>
          <t/>
        </is>
      </c>
      <c r="EB195" s="144" t="inlineStr">
        <is>
          <t/>
        </is>
      </c>
      <c r="EC195" s="145" t="inlineStr">
        <is>
          <t/>
        </is>
      </c>
      <c r="ED195" s="547">
        <f>HYPERLINK("https://my.pitchbook.com?c=55120-87", "View company online")</f>
      </c>
    </row>
    <row r="196">
      <c r="A196" s="147" t="inlineStr">
        <is>
          <t>10598-95</t>
        </is>
      </c>
      <c r="B196" s="148" t="inlineStr">
        <is>
          <t>Valentino Fashion Group</t>
        </is>
      </c>
      <c r="C196" s="149" t="inlineStr">
        <is>
          <t/>
        </is>
      </c>
      <c r="D196" s="150" t="inlineStr">
        <is>
          <t>VFG, Valentino</t>
        </is>
      </c>
      <c r="E196" s="151" t="inlineStr">
        <is>
          <t>10598-95</t>
        </is>
      </c>
      <c r="F196" s="152" t="inlineStr">
        <is>
          <t>Manufacturer of apparel and accessories for men and women for travel, business, leisure and formal occasions. The company offers casual lines, couture and ready-to-wear collections, informal and sportswear lines and evening wear; and handbags, footwear, leather goods, belts, casual and outdoor garments, watches, eye wear and fragrances and other accessories.</t>
        </is>
      </c>
      <c r="G196" s="153" t="inlineStr">
        <is>
          <t>Consumer Products and Services (B2C)</t>
        </is>
      </c>
      <c r="H196" s="154" t="inlineStr">
        <is>
          <t>Apparel and Accessories</t>
        </is>
      </c>
      <c r="I196" s="155" t="inlineStr">
        <is>
          <t>Clothing</t>
        </is>
      </c>
      <c r="J196" s="156" t="inlineStr">
        <is>
          <t>Accessories, Clothing*, Footwear</t>
        </is>
      </c>
      <c r="K196" s="157" t="inlineStr">
        <is>
          <t>Manufacturing</t>
        </is>
      </c>
      <c r="L196" s="158" t="inlineStr">
        <is>
          <t>accessory shopping, apparel manufacturer, clothes manufacturer</t>
        </is>
      </c>
      <c r="M196" s="159" t="inlineStr">
        <is>
          <t>Private Equity-Backed</t>
        </is>
      </c>
      <c r="N196" s="160" t="n">
        <v>1058.0</v>
      </c>
      <c r="O196" s="161" t="inlineStr">
        <is>
          <t>Profitable</t>
        </is>
      </c>
      <c r="P196" s="162" t="inlineStr">
        <is>
          <t>Privately Held (backing)</t>
        </is>
      </c>
      <c r="Q196" s="163" t="inlineStr">
        <is>
          <t>Debt Financed, Private Equity</t>
        </is>
      </c>
      <c r="R196" s="164" t="inlineStr">
        <is>
          <t>www.valentino.com</t>
        </is>
      </c>
      <c r="S196" s="165" t="inlineStr">
        <is>
          <t/>
        </is>
      </c>
      <c r="T196" s="166" t="inlineStr">
        <is>
          <t/>
        </is>
      </c>
      <c r="U196" s="167" t="inlineStr">
        <is>
          <t/>
        </is>
      </c>
      <c r="V196" s="168" t="inlineStr">
        <is>
          <t/>
        </is>
      </c>
      <c r="W196" s="169" t="n">
        <v>1960.0</v>
      </c>
      <c r="X196" s="170" t="inlineStr">
        <is>
          <t/>
        </is>
      </c>
      <c r="Y196" s="171" t="inlineStr">
        <is>
          <t/>
        </is>
      </c>
      <c r="Z196" s="172" t="inlineStr">
        <is>
          <t/>
        </is>
      </c>
      <c r="AA196" s="173" t="n">
        <v>1308.21</v>
      </c>
      <c r="AB196" s="174" t="inlineStr">
        <is>
          <t/>
        </is>
      </c>
      <c r="AC196" s="175" t="inlineStr">
        <is>
          <t/>
        </is>
      </c>
      <c r="AD196" s="176" t="inlineStr">
        <is>
          <t/>
        </is>
      </c>
      <c r="AE196" s="177" t="n">
        <v>245.32</v>
      </c>
      <c r="AF196" s="178" t="inlineStr">
        <is>
          <t>FY 2017</t>
        </is>
      </c>
      <c r="AG196" s="179" t="inlineStr">
        <is>
          <t/>
        </is>
      </c>
      <c r="AH196" s="180" t="inlineStr">
        <is>
          <t/>
        </is>
      </c>
      <c r="AI196" s="181" t="inlineStr">
        <is>
          <t/>
        </is>
      </c>
      <c r="AJ196" s="182" t="inlineStr">
        <is>
          <t>33885-55P</t>
        </is>
      </c>
      <c r="AK196" s="183" t="inlineStr">
        <is>
          <t>Stefano Sassi</t>
        </is>
      </c>
      <c r="AL196" s="184" t="inlineStr">
        <is>
          <t>Chief Executive Officer</t>
        </is>
      </c>
      <c r="AM196" s="185" t="inlineStr">
        <is>
          <t>stefano.sassi@valentino.com</t>
        </is>
      </c>
      <c r="AN196" s="186" t="inlineStr">
        <is>
          <t>+39 02 6249 21</t>
        </is>
      </c>
      <c r="AO196" s="187" t="inlineStr">
        <is>
          <t>Milan, Italy</t>
        </is>
      </c>
      <c r="AP196" s="188" t="inlineStr">
        <is>
          <t>Via Turati 16/18</t>
        </is>
      </c>
      <c r="AQ196" s="189" t="inlineStr">
        <is>
          <t/>
        </is>
      </c>
      <c r="AR196" s="190" t="inlineStr">
        <is>
          <t>Milan</t>
        </is>
      </c>
      <c r="AS196" s="191" t="inlineStr">
        <is>
          <t/>
        </is>
      </c>
      <c r="AT196" s="192" t="inlineStr">
        <is>
          <t>20121</t>
        </is>
      </c>
      <c r="AU196" s="193" t="inlineStr">
        <is>
          <t>Italy</t>
        </is>
      </c>
      <c r="AV196" s="194" t="inlineStr">
        <is>
          <t>+39 02 6249 21</t>
        </is>
      </c>
      <c r="AW196" s="195" t="inlineStr">
        <is>
          <t>+39 02 6249 2584</t>
        </is>
      </c>
      <c r="AX196" s="196" t="inlineStr">
        <is>
          <t>info@valentino.com</t>
        </is>
      </c>
      <c r="AY196" s="197" t="inlineStr">
        <is>
          <t>Europe</t>
        </is>
      </c>
      <c r="AZ196" s="198" t="inlineStr">
        <is>
          <t>Southern Europe</t>
        </is>
      </c>
      <c r="BA196" s="199" t="inlineStr">
        <is>
          <t>The company raised €150 million in the form of a term loan and revolving credit line from Mediobanca Banca di Credito Finanziario in December 2013. Previously, the company was acquired by Mayhoola for Investments through $856 million LBO on July 11, 2012.</t>
        </is>
      </c>
      <c r="BB196" s="200" t="inlineStr">
        <is>
          <t>Mayhoola For Investments</t>
        </is>
      </c>
      <c r="BC196" s="201" t="n">
        <v>1.0</v>
      </c>
      <c r="BD196" s="202" t="inlineStr">
        <is>
          <t/>
        </is>
      </c>
      <c r="BE196" s="203" t="inlineStr">
        <is>
          <t>Ontario Teachers' Pension Plan, Permira</t>
        </is>
      </c>
      <c r="BF196" s="204" t="inlineStr">
        <is>
          <t/>
        </is>
      </c>
      <c r="BG196" s="205" t="inlineStr">
        <is>
          <t>Mayhoola For Investments(www.mayhoolaforinvestments.com)</t>
        </is>
      </c>
      <c r="BH196" s="206" t="inlineStr">
        <is>
          <t>Ontario Teachers' Pension Plan(www.otpp.com), Permira(www.permira.com)</t>
        </is>
      </c>
      <c r="BI196" s="207" t="inlineStr">
        <is>
          <t/>
        </is>
      </c>
      <c r="BJ196" s="208" t="inlineStr">
        <is>
          <t>Withers Worldwide(Legal Advisor)</t>
        </is>
      </c>
      <c r="BK196" s="209" t="inlineStr">
        <is>
          <t>Citigroup(Advisor: General), Eidos Partners(Advisor: General), Freshfields Bruckhaus Deringer(Legal Advisor), KPMG(Advisor: General), Leo fund Group(Advisor: General), Linklaters(Legal Advisor), Mediobanca(Debt Financing), PwC(Advisor: General), Studio Legale Gambino(Legal Advisor), UniCredit(Advisor: General)</t>
        </is>
      </c>
      <c r="BL196" s="210" t="n">
        <v>39218.0</v>
      </c>
      <c r="BM196" s="211" t="n">
        <v>1058.0</v>
      </c>
      <c r="BN196" s="212" t="inlineStr">
        <is>
          <t>Actual</t>
        </is>
      </c>
      <c r="BO196" s="213" t="n">
        <v>3574.32</v>
      </c>
      <c r="BP196" s="214" t="inlineStr">
        <is>
          <t>Actual</t>
        </is>
      </c>
      <c r="BQ196" s="215" t="inlineStr">
        <is>
          <t>PE Growth/Expansion</t>
        </is>
      </c>
      <c r="BR196" s="216" t="inlineStr">
        <is>
          <t/>
        </is>
      </c>
      <c r="BS196" s="217" t="inlineStr">
        <is>
          <t/>
        </is>
      </c>
      <c r="BT196" s="218" t="inlineStr">
        <is>
          <t>Private Equity</t>
        </is>
      </c>
      <c r="BU196" s="219" t="inlineStr">
        <is>
          <t/>
        </is>
      </c>
      <c r="BV196" s="220" t="inlineStr">
        <is>
          <t/>
        </is>
      </c>
      <c r="BW196" s="221" t="inlineStr">
        <is>
          <t/>
        </is>
      </c>
      <c r="BX196" s="222" t="inlineStr">
        <is>
          <t>Completed</t>
        </is>
      </c>
      <c r="BY196" s="223" t="n">
        <v>41609.0</v>
      </c>
      <c r="BZ196" s="224" t="inlineStr">
        <is>
          <t/>
        </is>
      </c>
      <c r="CA196" s="225" t="inlineStr">
        <is>
          <t/>
        </is>
      </c>
      <c r="CB196" s="226" t="inlineStr">
        <is>
          <t/>
        </is>
      </c>
      <c r="CC196" s="227" t="inlineStr">
        <is>
          <t/>
        </is>
      </c>
      <c r="CD196" s="228" t="inlineStr">
        <is>
          <t>Debt - General</t>
        </is>
      </c>
      <c r="CE196" s="229" t="inlineStr">
        <is>
          <t/>
        </is>
      </c>
      <c r="CF196" s="230" t="inlineStr">
        <is>
          <t/>
        </is>
      </c>
      <c r="CG196" s="231" t="inlineStr">
        <is>
          <t>Debt</t>
        </is>
      </c>
      <c r="CH196" s="232" t="inlineStr">
        <is>
          <t>Revolving Credit Line</t>
        </is>
      </c>
      <c r="CI196" s="233" t="inlineStr">
        <is>
          <t>Term Loan</t>
        </is>
      </c>
      <c r="CJ196" s="234" t="inlineStr">
        <is>
          <t/>
        </is>
      </c>
      <c r="CK196" s="235" t="inlineStr">
        <is>
          <t>Completed</t>
        </is>
      </c>
      <c r="CL196" s="236" t="n">
        <v>41609.0</v>
      </c>
      <c r="CM196" s="237" t="inlineStr">
        <is>
          <t/>
        </is>
      </c>
      <c r="CN196" s="238" t="n">
        <v>0.4</v>
      </c>
      <c r="CO196" s="239" t="n">
        <v>93.0</v>
      </c>
      <c r="CP196" s="240" t="n">
        <v>0.0</v>
      </c>
      <c r="CQ196" s="241" t="n">
        <v>-0.27</v>
      </c>
      <c r="CR196" s="242" t="n">
        <v>0.78</v>
      </c>
      <c r="CS196" s="243" t="n">
        <v>96.0</v>
      </c>
      <c r="CT196" s="244" t="n">
        <v>0.02</v>
      </c>
      <c r="CU196" s="245" t="n">
        <v>58.0</v>
      </c>
      <c r="CV196" s="246" t="n">
        <v>0.78</v>
      </c>
      <c r="CW196" s="247" t="n">
        <v>86.0</v>
      </c>
      <c r="CX196" s="248" t="inlineStr">
        <is>
          <t/>
        </is>
      </c>
      <c r="CY196" s="249" t="inlineStr">
        <is>
          <t/>
        </is>
      </c>
      <c r="CZ196" s="250" t="n">
        <v>0.02</v>
      </c>
      <c r="DA196" s="251" t="n">
        <v>64.0</v>
      </c>
      <c r="DB196" s="252" t="n">
        <v>2853.38</v>
      </c>
      <c r="DC196" s="253" t="n">
        <v>100.0</v>
      </c>
      <c r="DD196" s="254" t="n">
        <v>15.39</v>
      </c>
      <c r="DE196" s="255" t="n">
        <v>0.54</v>
      </c>
      <c r="DF196" s="256" t="n">
        <v>57.96</v>
      </c>
      <c r="DG196" s="257" t="n">
        <v>99.0</v>
      </c>
      <c r="DH196" s="258" t="n">
        <v>5648.8</v>
      </c>
      <c r="DI196" s="259" t="n">
        <v>100.0</v>
      </c>
      <c r="DJ196" s="260" t="n">
        <v>57.96</v>
      </c>
      <c r="DK196" s="261" t="n">
        <v>96.0</v>
      </c>
      <c r="DL196" s="262" t="inlineStr">
        <is>
          <t/>
        </is>
      </c>
      <c r="DM196" s="263" t="inlineStr">
        <is>
          <t/>
        </is>
      </c>
      <c r="DN196" s="264" t="n">
        <v>5648.8</v>
      </c>
      <c r="DO196" s="265" t="n">
        <v>100.0</v>
      </c>
      <c r="DP196" s="266" t="n">
        <v>41423.0</v>
      </c>
      <c r="DQ196" s="267" t="n">
        <v>-895.0</v>
      </c>
      <c r="DR196" s="268" t="n">
        <v>-2.11</v>
      </c>
      <c r="DS196" s="269" t="inlineStr">
        <is>
          <t/>
        </is>
      </c>
      <c r="DT196" s="270" t="inlineStr">
        <is>
          <t/>
        </is>
      </c>
      <c r="DU196" s="271" t="inlineStr">
        <is>
          <t/>
        </is>
      </c>
      <c r="DV196" s="272" t="n">
        <v>2027990.0</v>
      </c>
      <c r="DW196" s="273" t="n">
        <v>-198.0</v>
      </c>
      <c r="DX196" s="274" t="n">
        <v>-0.01</v>
      </c>
      <c r="DY196" s="275" t="inlineStr">
        <is>
          <t>PitchBook Research</t>
        </is>
      </c>
      <c r="DZ196" s="276" t="n">
        <v>43507.0</v>
      </c>
      <c r="EA196" s="277" t="n">
        <v>856.0</v>
      </c>
      <c r="EB196" s="278" t="n">
        <v>41101.0</v>
      </c>
      <c r="EC196" s="279" t="inlineStr">
        <is>
          <t>Buyout/LBO</t>
        </is>
      </c>
      <c r="ED196" s="548">
        <f>HYPERLINK("https://my.pitchbook.com?c=10598-95", "View company online")</f>
      </c>
    </row>
    <row r="197">
      <c r="A197" s="13" t="inlineStr">
        <is>
          <t>123186-52</t>
        </is>
      </c>
      <c r="B197" s="14" t="inlineStr">
        <is>
          <t>CCC (WAR: CCC)</t>
        </is>
      </c>
      <c r="C197" s="15" t="inlineStr">
        <is>
          <t/>
        </is>
      </c>
      <c r="D197" s="16" t="inlineStr">
        <is>
          <t/>
        </is>
      </c>
      <c r="E197" s="17" t="inlineStr">
        <is>
          <t>123186-52</t>
        </is>
      </c>
      <c r="F197" s="18" t="inlineStr">
        <is>
          <t>CCC SA manufactures footwear that it sells under more than 60 proprietary brands and several licensed brands. CCC distributes most of its products through its more than 700 retail stores, most of which are in Poland. Roughly 90% of sales are in Central and Eastern Europe. Sales of women's shoes make up more than half of the company's total revenue. Remaining shoe sales are in the men's and kid's categories. Nonshoe sales, consisting of handbags, accessories, and shoe care products, account for roughly 10% of total company revenue. CCC's most popular brand is Lasocki. Other brands include Jenny Fairy, Clara Barson, Cesare Cave, and Vapiano.</t>
        </is>
      </c>
      <c r="G197" s="19" t="inlineStr">
        <is>
          <t>Consumer Products and Services (B2C)</t>
        </is>
      </c>
      <c r="H197" s="20" t="inlineStr">
        <is>
          <t>Apparel and Accessories</t>
        </is>
      </c>
      <c r="I197" s="21" t="inlineStr">
        <is>
          <t>Footwear</t>
        </is>
      </c>
      <c r="J197" s="22" t="inlineStr">
        <is>
          <t>Footwear*</t>
        </is>
      </c>
      <c r="K197" s="23" t="inlineStr">
        <is>
          <t>Manufacturing</t>
        </is>
      </c>
      <c r="L197" s="24" t="inlineStr">
        <is>
          <t>leather shoes, male shoes, sports footwear</t>
        </is>
      </c>
      <c r="M197" s="25" t="inlineStr">
        <is>
          <t>Corporation</t>
        </is>
      </c>
      <c r="N197" s="26" t="inlineStr">
        <is>
          <t/>
        </is>
      </c>
      <c r="O197" s="27" t="inlineStr">
        <is>
          <t>Profitable</t>
        </is>
      </c>
      <c r="P197" s="28" t="inlineStr">
        <is>
          <t>Publicly Held</t>
        </is>
      </c>
      <c r="Q197" s="29" t="inlineStr">
        <is>
          <t>Publicly Listed</t>
        </is>
      </c>
      <c r="R197" s="30" t="inlineStr">
        <is>
          <t>www.ccc.eu</t>
        </is>
      </c>
      <c r="S197" s="31" t="n">
        <v>14124.0</v>
      </c>
      <c r="T197" s="32" t="inlineStr">
        <is>
          <t>2006: 2166, 2007: 3161, 2008: 2959, 2009: 5613, 2010: 4906, 2011: 6376, 2012: 6474, 2013: 7861, 2014: 9056, 2015: 8747, 2016: 11871, 2017: 12955, 2018: 14124</t>
        </is>
      </c>
      <c r="U197" s="33" t="inlineStr">
        <is>
          <t>WAR</t>
        </is>
      </c>
      <c r="V197" s="34" t="inlineStr">
        <is>
          <t>CCC</t>
        </is>
      </c>
      <c r="W197" s="35" t="n">
        <v>1999.0</v>
      </c>
      <c r="X197" s="36" t="inlineStr">
        <is>
          <t/>
        </is>
      </c>
      <c r="Y197" s="37" t="inlineStr">
        <is>
          <t/>
        </is>
      </c>
      <c r="Z197" s="38" t="inlineStr">
        <is>
          <t>News (New) </t>
        </is>
      </c>
      <c r="AA197" s="39" t="n">
        <v>1307.76</v>
      </c>
      <c r="AB197" s="40" t="n">
        <v>627.89</v>
      </c>
      <c r="AC197" s="41" t="n">
        <v>16.41</v>
      </c>
      <c r="AD197" s="42" t="n">
        <v>2980.3</v>
      </c>
      <c r="AE197" s="43" t="n">
        <v>253.07</v>
      </c>
      <c r="AF197" s="44" t="inlineStr">
        <is>
          <t>FY 2018</t>
        </is>
      </c>
      <c r="AG197" s="45" t="n">
        <v>86.37</v>
      </c>
      <c r="AH197" s="46" t="n">
        <v>2283.1</v>
      </c>
      <c r="AI197" s="47" t="n">
        <v>677.66</v>
      </c>
      <c r="AJ197" s="48" t="inlineStr">
        <is>
          <t>97764-40P</t>
        </is>
      </c>
      <c r="AK197" s="49" t="inlineStr">
        <is>
          <t>Dariusz Milek</t>
        </is>
      </c>
      <c r="AL197" s="50" t="inlineStr">
        <is>
          <t>President</t>
        </is>
      </c>
      <c r="AM197" s="51" t="inlineStr">
        <is>
          <t>dariusz.milek@ccc.eu</t>
        </is>
      </c>
      <c r="AN197" s="52" t="inlineStr">
        <is>
          <t>+48 76 845 8400</t>
        </is>
      </c>
      <c r="AO197" s="53" t="inlineStr">
        <is>
          <t>Polkowice, Poland</t>
        </is>
      </c>
      <c r="AP197" s="54" t="inlineStr">
        <is>
          <t>Ulica Strefowa 6</t>
        </is>
      </c>
      <c r="AQ197" s="55" t="inlineStr">
        <is>
          <t/>
        </is>
      </c>
      <c r="AR197" s="56" t="inlineStr">
        <is>
          <t>Polkowice</t>
        </is>
      </c>
      <c r="AS197" s="57" t="inlineStr">
        <is>
          <t/>
        </is>
      </c>
      <c r="AT197" s="58" t="inlineStr">
        <is>
          <t>59-101</t>
        </is>
      </c>
      <c r="AU197" s="59" t="inlineStr">
        <is>
          <t>Poland</t>
        </is>
      </c>
      <c r="AV197" s="60" t="inlineStr">
        <is>
          <t>+48 76 845 8400</t>
        </is>
      </c>
      <c r="AW197" s="61" t="inlineStr">
        <is>
          <t>+48 76 845 8431</t>
        </is>
      </c>
      <c r="AX197" s="62" t="inlineStr">
        <is>
          <t>ccc@ccc.eu</t>
        </is>
      </c>
      <c r="AY197" s="63" t="inlineStr">
        <is>
          <t>Europe</t>
        </is>
      </c>
      <c r="AZ197" s="64" t="inlineStr">
        <is>
          <t>Eastern Europe</t>
        </is>
      </c>
      <c r="BA197" s="65" t="inlineStr">
        <is>
          <t/>
        </is>
      </c>
      <c r="BB197" s="66" t="inlineStr">
        <is>
          <t/>
        </is>
      </c>
      <c r="BC197" s="67" t="inlineStr">
        <is>
          <t/>
        </is>
      </c>
      <c r="BD197" s="68" t="inlineStr">
        <is>
          <t/>
        </is>
      </c>
      <c r="BE197" s="69" t="inlineStr">
        <is>
          <t/>
        </is>
      </c>
      <c r="BF197" s="70" t="inlineStr">
        <is>
          <t/>
        </is>
      </c>
      <c r="BG197" s="71" t="inlineStr">
        <is>
          <t/>
        </is>
      </c>
      <c r="BH197" s="72" t="inlineStr">
        <is>
          <t/>
        </is>
      </c>
      <c r="BI197" s="73" t="inlineStr">
        <is>
          <t/>
        </is>
      </c>
      <c r="BJ197" s="74" t="inlineStr">
        <is>
          <t/>
        </is>
      </c>
      <c r="BK197" s="75" t="inlineStr">
        <is>
          <t/>
        </is>
      </c>
      <c r="BL197" s="76" t="inlineStr">
        <is>
          <t/>
        </is>
      </c>
      <c r="BM197" s="77" t="inlineStr">
        <is>
          <t/>
        </is>
      </c>
      <c r="BN197" s="78" t="inlineStr">
        <is>
          <t/>
        </is>
      </c>
      <c r="BO197" s="79" t="inlineStr">
        <is>
          <t/>
        </is>
      </c>
      <c r="BP197" s="80" t="inlineStr">
        <is>
          <t/>
        </is>
      </c>
      <c r="BQ197" s="81" t="inlineStr">
        <is>
          <t/>
        </is>
      </c>
      <c r="BR197" s="82" t="inlineStr">
        <is>
          <t/>
        </is>
      </c>
      <c r="BS197" s="83" t="inlineStr">
        <is>
          <t/>
        </is>
      </c>
      <c r="BT197" s="84" t="inlineStr">
        <is>
          <t/>
        </is>
      </c>
      <c r="BU197" s="85" t="inlineStr">
        <is>
          <t/>
        </is>
      </c>
      <c r="BV197" s="86" t="inlineStr">
        <is>
          <t/>
        </is>
      </c>
      <c r="BW197" s="87" t="inlineStr">
        <is>
          <t/>
        </is>
      </c>
      <c r="BX197" s="88" t="inlineStr">
        <is>
          <t/>
        </is>
      </c>
      <c r="BY197" s="89" t="inlineStr">
        <is>
          <t/>
        </is>
      </c>
      <c r="BZ197" s="90" t="inlineStr">
        <is>
          <t/>
        </is>
      </c>
      <c r="CA197" s="91" t="inlineStr">
        <is>
          <t/>
        </is>
      </c>
      <c r="CB197" s="92" t="inlineStr">
        <is>
          <t/>
        </is>
      </c>
      <c r="CC197" s="93" t="inlineStr">
        <is>
          <t/>
        </is>
      </c>
      <c r="CD197" s="94" t="inlineStr">
        <is>
          <t/>
        </is>
      </c>
      <c r="CE197" s="95" t="inlineStr">
        <is>
          <t/>
        </is>
      </c>
      <c r="CF197" s="96" t="inlineStr">
        <is>
          <t/>
        </is>
      </c>
      <c r="CG197" s="97" t="inlineStr">
        <is>
          <t/>
        </is>
      </c>
      <c r="CH197" s="98" t="inlineStr">
        <is>
          <t/>
        </is>
      </c>
      <c r="CI197" s="99" t="inlineStr">
        <is>
          <t/>
        </is>
      </c>
      <c r="CJ197" s="100" t="inlineStr">
        <is>
          <t/>
        </is>
      </c>
      <c r="CK197" s="101" t="inlineStr">
        <is>
          <t/>
        </is>
      </c>
      <c r="CL197" s="102" t="inlineStr">
        <is>
          <t/>
        </is>
      </c>
      <c r="CM197" s="103" t="inlineStr">
        <is>
          <t/>
        </is>
      </c>
      <c r="CN197" s="104" t="n">
        <v>-0.41</v>
      </c>
      <c r="CO197" s="105" t="n">
        <v>8.0</v>
      </c>
      <c r="CP197" s="106" t="n">
        <v>0.0</v>
      </c>
      <c r="CQ197" s="107" t="n">
        <v>-0.04</v>
      </c>
      <c r="CR197" s="108" t="n">
        <v>-0.41</v>
      </c>
      <c r="CS197" s="109" t="n">
        <v>9.0</v>
      </c>
      <c r="CT197" s="110" t="inlineStr">
        <is>
          <t/>
        </is>
      </c>
      <c r="CU197" s="111" t="inlineStr">
        <is>
          <t/>
        </is>
      </c>
      <c r="CV197" s="112" t="n">
        <v>-0.98</v>
      </c>
      <c r="CW197" s="113" t="n">
        <v>26.0</v>
      </c>
      <c r="CX197" s="114" t="n">
        <v>0.15</v>
      </c>
      <c r="CY197" s="115" t="n">
        <v>87.0</v>
      </c>
      <c r="CZ197" s="116" t="inlineStr">
        <is>
          <t/>
        </is>
      </c>
      <c r="DA197" s="117" t="inlineStr">
        <is>
          <t/>
        </is>
      </c>
      <c r="DB197" s="118" t="n">
        <v>24.95</v>
      </c>
      <c r="DC197" s="119" t="n">
        <v>96.0</v>
      </c>
      <c r="DD197" s="120" t="n">
        <v>6.03</v>
      </c>
      <c r="DE197" s="121" t="n">
        <v>31.88</v>
      </c>
      <c r="DF197" s="122" t="n">
        <v>24.95</v>
      </c>
      <c r="DG197" s="123" t="n">
        <v>96.0</v>
      </c>
      <c r="DH197" s="124" t="inlineStr">
        <is>
          <t/>
        </is>
      </c>
      <c r="DI197" s="125" t="inlineStr">
        <is>
          <t/>
        </is>
      </c>
      <c r="DJ197" s="126" t="n">
        <v>0.82</v>
      </c>
      <c r="DK197" s="127" t="n">
        <v>46.0</v>
      </c>
      <c r="DL197" s="128" t="n">
        <v>49.09</v>
      </c>
      <c r="DM197" s="129" t="n">
        <v>98.0</v>
      </c>
      <c r="DN197" s="130" t="inlineStr">
        <is>
          <t/>
        </is>
      </c>
      <c r="DO197" s="131" t="inlineStr">
        <is>
          <t/>
        </is>
      </c>
      <c r="DP197" s="132" t="n">
        <v>585.0</v>
      </c>
      <c r="DQ197" s="133" t="n">
        <v>1.0</v>
      </c>
      <c r="DR197" s="134" t="n">
        <v>0.17</v>
      </c>
      <c r="DS197" s="135" t="n">
        <v>1668.0</v>
      </c>
      <c r="DT197" s="136" t="n">
        <v>4.0</v>
      </c>
      <c r="DU197" s="137" t="n">
        <v>0.24</v>
      </c>
      <c r="DV197" s="138" t="inlineStr">
        <is>
          <t/>
        </is>
      </c>
      <c r="DW197" s="139" t="inlineStr">
        <is>
          <t/>
        </is>
      </c>
      <c r="DX197" s="140" t="inlineStr">
        <is>
          <t/>
        </is>
      </c>
      <c r="DY197" s="141" t="inlineStr">
        <is>
          <t>PitchBook Research</t>
        </is>
      </c>
      <c r="DZ197" s="142" t="n">
        <v>43509.0</v>
      </c>
      <c r="EA197" s="143" t="inlineStr">
        <is>
          <t/>
        </is>
      </c>
      <c r="EB197" s="144" t="inlineStr">
        <is>
          <t/>
        </is>
      </c>
      <c r="EC197" s="145" t="inlineStr">
        <is>
          <t/>
        </is>
      </c>
      <c r="ED197" s="547">
        <f>HYPERLINK("https://my.pitchbook.com?c=123186-52", "View company online")</f>
      </c>
    </row>
    <row r="198">
      <c r="A198" s="147" t="inlineStr">
        <is>
          <t>42249-88</t>
        </is>
      </c>
      <c r="B198" s="148" t="inlineStr">
        <is>
          <t>Matalan Retail</t>
        </is>
      </c>
      <c r="C198" s="149" t="inlineStr">
        <is>
          <t>Matalan Discount Club</t>
        </is>
      </c>
      <c r="D198" s="150" t="inlineStr">
        <is>
          <t>Matalan</t>
        </is>
      </c>
      <c r="E198" s="151" t="inlineStr">
        <is>
          <t>42249-88</t>
        </is>
      </c>
      <c r="F198" s="152" t="inlineStr">
        <is>
          <t>Operator of a chain of 203 retail stores offering discount clothing and homeware products in United Kingdom. The company offers in-house brands like Be Beau, Et Vous, Rogers &amp; Rogers, 24:7, Denim 73, Wrangler, Falmer, Wonderbra, Wolsey and Lee Cooper.</t>
        </is>
      </c>
      <c r="G198" s="153" t="inlineStr">
        <is>
          <t>Consumer Products and Services (B2C)</t>
        </is>
      </c>
      <c r="H198" s="154" t="inlineStr">
        <is>
          <t>Retail</t>
        </is>
      </c>
      <c r="I198" s="155" t="inlineStr">
        <is>
          <t>Specialty Retail</t>
        </is>
      </c>
      <c r="J198" s="156" t="inlineStr">
        <is>
          <t>Catalog Retail, Clothing, Specialty Retail*</t>
        </is>
      </c>
      <c r="K198" s="157" t="inlineStr">
        <is>
          <t/>
        </is>
      </c>
      <c r="L198" s="158" t="inlineStr">
        <is>
          <t>homefurnishings, homeware</t>
        </is>
      </c>
      <c r="M198" s="159" t="inlineStr">
        <is>
          <t>Corporate Backed or Acquired</t>
        </is>
      </c>
      <c r="N198" s="160" t="n">
        <v>711.96</v>
      </c>
      <c r="O198" s="161" t="inlineStr">
        <is>
          <t>Profitable</t>
        </is>
      </c>
      <c r="P198" s="162" t="inlineStr">
        <is>
          <t>Privately Held (backing)</t>
        </is>
      </c>
      <c r="Q198" s="163" t="inlineStr">
        <is>
          <t>M&amp;A, Private Equity, Publicly Listed</t>
        </is>
      </c>
      <c r="R198" s="164" t="inlineStr">
        <is>
          <t>www.matalan.co.uk</t>
        </is>
      </c>
      <c r="S198" s="165" t="n">
        <v>15832.0</v>
      </c>
      <c r="T198" s="166" t="inlineStr">
        <is>
          <t>2006: 13807, 2007: 13921, 2008: 14407, 2009: 15041, 2010: 16627, 2011: 16144, 2012: 15858, 2013: 16373, 2014: 15995, 2015: 15832</t>
        </is>
      </c>
      <c r="U198" s="167" t="inlineStr">
        <is>
          <t/>
        </is>
      </c>
      <c r="V198" s="168" t="inlineStr">
        <is>
          <t/>
        </is>
      </c>
      <c r="W198" s="169" t="n">
        <v>1985.0</v>
      </c>
      <c r="X198" s="170" t="inlineStr">
        <is>
          <t/>
        </is>
      </c>
      <c r="Y198" s="171" t="inlineStr">
        <is>
          <t/>
        </is>
      </c>
      <c r="Z198" s="172" t="inlineStr">
        <is>
          <t/>
        </is>
      </c>
      <c r="AA198" s="173" t="n">
        <v>1307.51</v>
      </c>
      <c r="AB198" s="174" t="inlineStr">
        <is>
          <t/>
        </is>
      </c>
      <c r="AC198" s="175" t="inlineStr">
        <is>
          <t/>
        </is>
      </c>
      <c r="AD198" s="176" t="inlineStr">
        <is>
          <t/>
        </is>
      </c>
      <c r="AE198" s="177" t="n">
        <v>83.37</v>
      </c>
      <c r="AF198" s="178" t="inlineStr">
        <is>
          <t>FY 2017</t>
        </is>
      </c>
      <c r="AG198" s="179" t="inlineStr">
        <is>
          <t/>
        </is>
      </c>
      <c r="AH198" s="180" t="inlineStr">
        <is>
          <t/>
        </is>
      </c>
      <c r="AI198" s="181" t="inlineStr">
        <is>
          <t/>
        </is>
      </c>
      <c r="AJ198" s="182" t="inlineStr">
        <is>
          <t>32253-31P</t>
        </is>
      </c>
      <c r="AK198" s="183" t="inlineStr">
        <is>
          <t>Jason Hargreaves</t>
        </is>
      </c>
      <c r="AL198" s="184" t="inlineStr">
        <is>
          <t>Founder, Chief Executive Officer, Owner and Managing Director</t>
        </is>
      </c>
      <c r="AM198" s="185" t="inlineStr">
        <is>
          <t/>
        </is>
      </c>
      <c r="AN198" s="186" t="inlineStr">
        <is>
          <t>+44 (0)16 9555 2400</t>
        </is>
      </c>
      <c r="AO198" s="187" t="inlineStr">
        <is>
          <t>Skelmersdale, United Kingdom</t>
        </is>
      </c>
      <c r="AP198" s="188" t="inlineStr">
        <is>
          <t>Gillibrands Road</t>
        </is>
      </c>
      <c r="AQ198" s="189" t="inlineStr">
        <is>
          <t/>
        </is>
      </c>
      <c r="AR198" s="190" t="inlineStr">
        <is>
          <t>Skelmersdale</t>
        </is>
      </c>
      <c r="AS198" s="191" t="inlineStr">
        <is>
          <t>England</t>
        </is>
      </c>
      <c r="AT198" s="192" t="inlineStr">
        <is>
          <t>WN8 9TB</t>
        </is>
      </c>
      <c r="AU198" s="193" t="inlineStr">
        <is>
          <t>United Kingdom</t>
        </is>
      </c>
      <c r="AV198" s="194" t="inlineStr">
        <is>
          <t>+44 (0)16 9555 2400</t>
        </is>
      </c>
      <c r="AW198" s="195" t="inlineStr">
        <is>
          <t>+44 (0)16 9555 2622</t>
        </is>
      </c>
      <c r="AX198" s="196" t="inlineStr">
        <is>
          <t/>
        </is>
      </c>
      <c r="AY198" s="197" t="inlineStr">
        <is>
          <t>Europe</t>
        </is>
      </c>
      <c r="AZ198" s="198" t="inlineStr">
        <is>
          <t>Western Europe</t>
        </is>
      </c>
      <c r="BA198" s="199" t="inlineStr">
        <is>
          <t>Missouri Bidco, a subsidiary of Missouri Topco acquired a 47% stake in the company (LN: MTN) on October 11, 2006 through a private placement.</t>
        </is>
      </c>
      <c r="BB198" s="200" t="inlineStr">
        <is>
          <t/>
        </is>
      </c>
      <c r="BC198" s="201" t="inlineStr">
        <is>
          <t/>
        </is>
      </c>
      <c r="BD198" s="202" t="inlineStr">
        <is>
          <t>Missouri Topco</t>
        </is>
      </c>
      <c r="BE198" s="203" t="inlineStr">
        <is>
          <t>CVC Capital Partners</t>
        </is>
      </c>
      <c r="BF198" s="204" t="inlineStr">
        <is>
          <t>Advent International, BC Partners, The Blackstone Group, TPG Capital, Warburg Pincus</t>
        </is>
      </c>
      <c r="BG198" s="205" t="inlineStr">
        <is>
          <t/>
        </is>
      </c>
      <c r="BH198" s="206" t="inlineStr">
        <is>
          <t>CVC Capital Partners(www.cvc.com)</t>
        </is>
      </c>
      <c r="BI198" s="207" t="inlineStr">
        <is>
          <t>Advent International(www.adventinternational.com), BC Partners(www.bcpartners.com), The Blackstone Group(www.blackstone.com), TPG Capital(www.tpg.com), Warburg Pincus(www.warburgpincus.com)</t>
        </is>
      </c>
      <c r="BJ198" s="208" t="inlineStr">
        <is>
          <t>DLA Piper (Canada)(Legal Advisor), KPMG(Auditor), Lloyds Bank(Advisor: General)</t>
        </is>
      </c>
      <c r="BK198" s="209" t="inlineStr">
        <is>
          <t>Bank of America Merrill Lynch(Advisor: General), PwC(Advisor: General), The Goldman Sachs Group(Advisor: General)</t>
        </is>
      </c>
      <c r="BL198" s="210" t="n">
        <v>35916.0</v>
      </c>
      <c r="BM198" s="211" t="inlineStr">
        <is>
          <t/>
        </is>
      </c>
      <c r="BN198" s="212" t="inlineStr">
        <is>
          <t/>
        </is>
      </c>
      <c r="BO198" s="213" t="inlineStr">
        <is>
          <t/>
        </is>
      </c>
      <c r="BP198" s="214" t="inlineStr">
        <is>
          <t/>
        </is>
      </c>
      <c r="BQ198" s="215" t="inlineStr">
        <is>
          <t>IPO</t>
        </is>
      </c>
      <c r="BR198" s="216" t="inlineStr">
        <is>
          <t/>
        </is>
      </c>
      <c r="BS198" s="217" t="inlineStr">
        <is>
          <t/>
        </is>
      </c>
      <c r="BT198" s="218" t="inlineStr">
        <is>
          <t>Public Investment</t>
        </is>
      </c>
      <c r="BU198" s="219" t="inlineStr">
        <is>
          <t/>
        </is>
      </c>
      <c r="BV198" s="220" t="inlineStr">
        <is>
          <t/>
        </is>
      </c>
      <c r="BW198" s="221" t="inlineStr">
        <is>
          <t/>
        </is>
      </c>
      <c r="BX198" s="222" t="inlineStr">
        <is>
          <t>Completed</t>
        </is>
      </c>
      <c r="BY198" s="223" t="n">
        <v>39001.0</v>
      </c>
      <c r="BZ198" s="224" t="n">
        <v>711.96</v>
      </c>
      <c r="CA198" s="225" t="inlineStr">
        <is>
          <t>Actual</t>
        </is>
      </c>
      <c r="CB198" s="226" t="n">
        <v>1514.64</v>
      </c>
      <c r="CC198" s="227" t="inlineStr">
        <is>
          <t>Actual</t>
        </is>
      </c>
      <c r="CD198" s="228" t="inlineStr">
        <is>
          <t>PIPE</t>
        </is>
      </c>
      <c r="CE198" s="229" t="inlineStr">
        <is>
          <t/>
        </is>
      </c>
      <c r="CF198" s="230" t="inlineStr">
        <is>
          <t/>
        </is>
      </c>
      <c r="CG198" s="231" t="inlineStr">
        <is>
          <t>Corporate</t>
        </is>
      </c>
      <c r="CH198" s="232" t="inlineStr">
        <is>
          <t/>
        </is>
      </c>
      <c r="CI198" s="233" t="inlineStr">
        <is>
          <t/>
        </is>
      </c>
      <c r="CJ198" s="234" t="inlineStr">
        <is>
          <t/>
        </is>
      </c>
      <c r="CK198" s="235" t="inlineStr">
        <is>
          <t>Completed</t>
        </is>
      </c>
      <c r="CL198" s="236" t="inlineStr">
        <is>
          <t/>
        </is>
      </c>
      <c r="CM198" s="237" t="inlineStr">
        <is>
          <t/>
        </is>
      </c>
      <c r="CN198" s="238" t="n">
        <v>-1.53</v>
      </c>
      <c r="CO198" s="239" t="n">
        <v>3.0</v>
      </c>
      <c r="CP198" s="240" t="n">
        <v>-0.01</v>
      </c>
      <c r="CQ198" s="241" t="n">
        <v>-0.97</v>
      </c>
      <c r="CR198" s="242" t="n">
        <v>-3.07</v>
      </c>
      <c r="CS198" s="243" t="n">
        <v>2.0</v>
      </c>
      <c r="CT198" s="244" t="n">
        <v>0.02</v>
      </c>
      <c r="CU198" s="245" t="n">
        <v>58.0</v>
      </c>
      <c r="CV198" s="246" t="n">
        <v>-6.57</v>
      </c>
      <c r="CW198" s="247" t="n">
        <v>5.0</v>
      </c>
      <c r="CX198" s="248" t="n">
        <v>0.43</v>
      </c>
      <c r="CY198" s="249" t="n">
        <v>93.0</v>
      </c>
      <c r="CZ198" s="250" t="n">
        <v>0.02</v>
      </c>
      <c r="DA198" s="251" t="n">
        <v>64.0</v>
      </c>
      <c r="DB198" s="252" t="n">
        <v>158.83</v>
      </c>
      <c r="DC198" s="253" t="n">
        <v>100.0</v>
      </c>
      <c r="DD198" s="254" t="n">
        <v>11.23</v>
      </c>
      <c r="DE198" s="255" t="n">
        <v>7.61</v>
      </c>
      <c r="DF198" s="256" t="n">
        <v>88.27</v>
      </c>
      <c r="DG198" s="257" t="n">
        <v>99.0</v>
      </c>
      <c r="DH198" s="258" t="n">
        <v>229.38</v>
      </c>
      <c r="DI198" s="259" t="n">
        <v>99.0</v>
      </c>
      <c r="DJ198" s="260" t="n">
        <v>5.75</v>
      </c>
      <c r="DK198" s="261" t="n">
        <v>80.0</v>
      </c>
      <c r="DL198" s="262" t="n">
        <v>170.79</v>
      </c>
      <c r="DM198" s="263" t="n">
        <v>100.0</v>
      </c>
      <c r="DN198" s="264" t="n">
        <v>229.38</v>
      </c>
      <c r="DO198" s="265" t="n">
        <v>99.0</v>
      </c>
      <c r="DP198" s="266" t="n">
        <v>4130.0</v>
      </c>
      <c r="DQ198" s="267" t="n">
        <v>-241.0</v>
      </c>
      <c r="DR198" s="268" t="n">
        <v>-5.51</v>
      </c>
      <c r="DS198" s="269" t="n">
        <v>5793.0</v>
      </c>
      <c r="DT198" s="270" t="n">
        <v>32.0</v>
      </c>
      <c r="DU198" s="271" t="n">
        <v>0.56</v>
      </c>
      <c r="DV198" s="272" t="n">
        <v>82353.0</v>
      </c>
      <c r="DW198" s="273" t="n">
        <v>-27.0</v>
      </c>
      <c r="DX198" s="274" t="n">
        <v>-0.03</v>
      </c>
      <c r="DY198" s="275" t="inlineStr">
        <is>
          <t>PitchBook Research</t>
        </is>
      </c>
      <c r="DZ198" s="276" t="n">
        <v>43481.0</v>
      </c>
      <c r="EA198" s="277" t="n">
        <v>2488.08</v>
      </c>
      <c r="EB198" s="278" t="n">
        <v>40136.0</v>
      </c>
      <c r="EC198" s="279" t="inlineStr">
        <is>
          <t>Buyout/LBO</t>
        </is>
      </c>
      <c r="ED198" s="548">
        <f>HYPERLINK("https://my.pitchbook.com?c=42249-88", "View company online")</f>
      </c>
    </row>
    <row r="199">
      <c r="A199" s="13" t="inlineStr">
        <is>
          <t>10895-05</t>
        </is>
      </c>
      <c r="B199" s="14" t="inlineStr">
        <is>
          <t>Cortefiel</t>
        </is>
      </c>
      <c r="C199" s="15" t="inlineStr">
        <is>
          <t/>
        </is>
      </c>
      <c r="D199" s="16" t="inlineStr">
        <is>
          <t/>
        </is>
      </c>
      <c r="E199" s="17" t="inlineStr">
        <is>
          <t>10895-05</t>
        </is>
      </c>
      <c r="F199" s="18" t="inlineStr">
        <is>
          <t>Operator of an online marketplace designed to offer on-demand fashion apparel. The company's online marketplace offers an easily navigable user interface, product catalog, authentic products, cash on delivery, enabling consumers to find apparel for Men and Women like shirts, dresses, suits, bags and accessories.</t>
        </is>
      </c>
      <c r="G199" s="19" t="inlineStr">
        <is>
          <t>Consumer Products and Services (B2C)</t>
        </is>
      </c>
      <c r="H199" s="20" t="inlineStr">
        <is>
          <t>Apparel and Accessories</t>
        </is>
      </c>
      <c r="I199" s="21" t="inlineStr">
        <is>
          <t>Clothing</t>
        </is>
      </c>
      <c r="J199" s="22" t="inlineStr">
        <is>
          <t>Clothing*, Distributors/Wholesale, Internet Retail</t>
        </is>
      </c>
      <c r="K199" s="23" t="inlineStr">
        <is>
          <t>E-Commerce, Industrials, TMT</t>
        </is>
      </c>
      <c r="L199" s="24" t="inlineStr">
        <is>
          <t>retail apparel, sales channel</t>
        </is>
      </c>
      <c r="M199" s="25" t="inlineStr">
        <is>
          <t>Private Equity-Backed</t>
        </is>
      </c>
      <c r="N199" s="26" t="inlineStr">
        <is>
          <t/>
        </is>
      </c>
      <c r="O199" s="27" t="inlineStr">
        <is>
          <t>Profitable</t>
        </is>
      </c>
      <c r="P199" s="28" t="inlineStr">
        <is>
          <t>Privately Held (backing)</t>
        </is>
      </c>
      <c r="Q199" s="29" t="inlineStr">
        <is>
          <t>Debt Financed, M&amp;A, Private Equity, Publicly Listed</t>
        </is>
      </c>
      <c r="R199" s="30" t="inlineStr">
        <is>
          <t>www.cortefiel.com</t>
        </is>
      </c>
      <c r="S199" s="31" t="n">
        <v>10592.0</v>
      </c>
      <c r="T199" s="32" t="inlineStr">
        <is>
          <t>2015: 5001, 2016: 6957, 2017: 10592</t>
        </is>
      </c>
      <c r="U199" s="33" t="inlineStr">
        <is>
          <t/>
        </is>
      </c>
      <c r="V199" s="34" t="inlineStr">
        <is>
          <t/>
        </is>
      </c>
      <c r="W199" s="35" t="n">
        <v>1880.0</v>
      </c>
      <c r="X199" s="36" t="inlineStr">
        <is>
          <t/>
        </is>
      </c>
      <c r="Y199" s="37" t="inlineStr">
        <is>
          <t/>
        </is>
      </c>
      <c r="Z199" s="38" t="inlineStr">
        <is>
          <t/>
        </is>
      </c>
      <c r="AA199" s="39" t="n">
        <v>1304.14</v>
      </c>
      <c r="AB199" s="40" t="inlineStr">
        <is>
          <t/>
        </is>
      </c>
      <c r="AC199" s="41" t="inlineStr">
        <is>
          <t/>
        </is>
      </c>
      <c r="AD199" s="42" t="inlineStr">
        <is>
          <t/>
        </is>
      </c>
      <c r="AE199" s="43" t="n">
        <v>180.39</v>
      </c>
      <c r="AF199" s="44" t="inlineStr">
        <is>
          <t>FY 2017</t>
        </is>
      </c>
      <c r="AG199" s="45" t="inlineStr">
        <is>
          <t/>
        </is>
      </c>
      <c r="AH199" s="46" t="inlineStr">
        <is>
          <t/>
        </is>
      </c>
      <c r="AI199" s="47" t="inlineStr">
        <is>
          <t/>
        </is>
      </c>
      <c r="AJ199" s="48" t="inlineStr">
        <is>
          <t>44152-30P</t>
        </is>
      </c>
      <c r="AK199" s="49" t="inlineStr">
        <is>
          <t>Marcos Garcia</t>
        </is>
      </c>
      <c r="AL199" s="50" t="inlineStr">
        <is>
          <t>Chief Financial Officer</t>
        </is>
      </c>
      <c r="AM199" s="51" t="inlineStr">
        <is>
          <t>mgarcia@grupocortefiel.com</t>
        </is>
      </c>
      <c r="AN199" s="52" t="inlineStr">
        <is>
          <t>+34 90 245 3545</t>
        </is>
      </c>
      <c r="AO199" s="53" t="inlineStr">
        <is>
          <t>Madrid, Spain</t>
        </is>
      </c>
      <c r="AP199" s="54" t="inlineStr">
        <is>
          <t>Avenida del Llano Castellano, 51</t>
        </is>
      </c>
      <c r="AQ199" s="55" t="inlineStr">
        <is>
          <t/>
        </is>
      </c>
      <c r="AR199" s="56" t="inlineStr">
        <is>
          <t>Madrid</t>
        </is>
      </c>
      <c r="AS199" s="57" t="inlineStr">
        <is>
          <t/>
        </is>
      </c>
      <c r="AT199" s="58" t="inlineStr">
        <is>
          <t>28034</t>
        </is>
      </c>
      <c r="AU199" s="59" t="inlineStr">
        <is>
          <t>Spain</t>
        </is>
      </c>
      <c r="AV199" s="60" t="inlineStr">
        <is>
          <t>+34 90 245 3545</t>
        </is>
      </c>
      <c r="AW199" s="61" t="inlineStr">
        <is>
          <t>+34 91 387 3874</t>
        </is>
      </c>
      <c r="AX199" s="62" t="inlineStr">
        <is>
          <t>press@grupocortefiel.com</t>
        </is>
      </c>
      <c r="AY199" s="63" t="inlineStr">
        <is>
          <t>Europe</t>
        </is>
      </c>
      <c r="AZ199" s="64" t="inlineStr">
        <is>
          <t>Southern Europe</t>
        </is>
      </c>
      <c r="BA199" s="65" t="inlineStr">
        <is>
          <t>CVC Capital Partner and PAI Partners were in talks to sell their stakes in the company for EUR 1.4 billion on February 14, 2018. Subsequently the deal was cancelled. Previously, the company was acquired by CVC Capital Partners, PAI Partners and HarbourVest Partners through a EUR 1 billion LBO on September 18, 2017.</t>
        </is>
      </c>
      <c r="BB199" s="66" t="inlineStr">
        <is>
          <t>CVC Capital Partners, HarbourVest Partners, PAI Partners</t>
        </is>
      </c>
      <c r="BC199" s="67" t="n">
        <v>3.0</v>
      </c>
      <c r="BD199" s="68" t="inlineStr">
        <is>
          <t/>
        </is>
      </c>
      <c r="BE199" s="69" t="inlineStr">
        <is>
          <t>AXA UK, MEP Retail Espana, Permira</t>
        </is>
      </c>
      <c r="BF199" s="70" t="inlineStr">
        <is>
          <t>Barings Corporate Investors, GoldPoint Partners</t>
        </is>
      </c>
      <c r="BG199" s="71" t="inlineStr">
        <is>
          <t>CVC Capital Partners(www.cvc.com), HarbourVest Partners(www.harbourvest.com), PAI Partners(www.paipartners.com)</t>
        </is>
      </c>
      <c r="BH199" s="72" t="inlineStr">
        <is>
          <t>AXA UK(www.axa.co.uk), Permira(www.permira.com)</t>
        </is>
      </c>
      <c r="BI199" s="73" t="inlineStr">
        <is>
          <t>Barings Corporate Investors(www.babsoncapitaleurope.com), GoldPoint Partners(www.goldpointpartners.com)</t>
        </is>
      </c>
      <c r="BJ199" s="74" t="inlineStr">
        <is>
          <t>Clifford Chance(Legal Advisor), Deloitte(Auditor)</t>
        </is>
      </c>
      <c r="BK199" s="75" t="inlineStr">
        <is>
          <t>BNP Paribas(Underwriter), Credit Suisse(Underwriter), Crédit Agricole Corporate &amp; Investment Bank(Underwriter), ING Bank(Debt Financing), Invesco(Debt Financing), J.P. Morgan(Debt Financing), RBS Global(Debt Financing), Societe Generale Corporate &amp; Investment Banking(Debt Financing), Société Générale(Underwriter), The Goldman Sachs Group(Advisor: General)</t>
        </is>
      </c>
      <c r="BL199" s="76" t="n">
        <v>34519.0</v>
      </c>
      <c r="BM199" s="77" t="n">
        <v>117.23</v>
      </c>
      <c r="BN199" s="78" t="inlineStr">
        <is>
          <t>Actual</t>
        </is>
      </c>
      <c r="BO199" s="79" t="inlineStr">
        <is>
          <t/>
        </is>
      </c>
      <c r="BP199" s="80" t="inlineStr">
        <is>
          <t/>
        </is>
      </c>
      <c r="BQ199" s="81" t="inlineStr">
        <is>
          <t>IPO</t>
        </is>
      </c>
      <c r="BR199" s="82" t="inlineStr">
        <is>
          <t/>
        </is>
      </c>
      <c r="BS199" s="83" t="inlineStr">
        <is>
          <t/>
        </is>
      </c>
      <c r="BT199" s="84" t="inlineStr">
        <is>
          <t>Public Investment</t>
        </is>
      </c>
      <c r="BU199" s="85" t="inlineStr">
        <is>
          <t/>
        </is>
      </c>
      <c r="BV199" s="86" t="inlineStr">
        <is>
          <t/>
        </is>
      </c>
      <c r="BW199" s="87" t="inlineStr">
        <is>
          <t/>
        </is>
      </c>
      <c r="BX199" s="88" t="inlineStr">
        <is>
          <t>Completed</t>
        </is>
      </c>
      <c r="BY199" s="89" t="inlineStr">
        <is>
          <t/>
        </is>
      </c>
      <c r="BZ199" s="90" t="n">
        <v>1.63</v>
      </c>
      <c r="CA199" s="91" t="inlineStr">
        <is>
          <t>Estimated</t>
        </is>
      </c>
      <c r="CB199" s="92" t="inlineStr">
        <is>
          <t/>
        </is>
      </c>
      <c r="CC199" s="93" t="inlineStr">
        <is>
          <t/>
        </is>
      </c>
      <c r="CD199" s="94" t="inlineStr">
        <is>
          <t>Undetermined</t>
        </is>
      </c>
      <c r="CE199" s="95" t="inlineStr">
        <is>
          <t/>
        </is>
      </c>
      <c r="CF199" s="96" t="inlineStr">
        <is>
          <t/>
        </is>
      </c>
      <c r="CG199" s="97" t="inlineStr">
        <is>
          <t>Other</t>
        </is>
      </c>
      <c r="CH199" s="98" t="inlineStr">
        <is>
          <t/>
        </is>
      </c>
      <c r="CI199" s="99" t="inlineStr">
        <is>
          <t/>
        </is>
      </c>
      <c r="CJ199" s="100" t="inlineStr">
        <is>
          <t/>
        </is>
      </c>
      <c r="CK199" s="101" t="inlineStr">
        <is>
          <t>Failed/Cancelled</t>
        </is>
      </c>
      <c r="CL199" s="102" t="n">
        <v>43000.0</v>
      </c>
      <c r="CM199" s="103" t="n">
        <v>715.16</v>
      </c>
      <c r="CN199" s="104" t="n">
        <v>0.11</v>
      </c>
      <c r="CO199" s="105" t="n">
        <v>85.0</v>
      </c>
      <c r="CP199" s="106" t="n">
        <v>0.0</v>
      </c>
      <c r="CQ199" s="107" t="n">
        <v>-3.05</v>
      </c>
      <c r="CR199" s="108" t="n">
        <v>0.0</v>
      </c>
      <c r="CS199" s="109" t="n">
        <v>14.0</v>
      </c>
      <c r="CT199" s="110" t="n">
        <v>0.22</v>
      </c>
      <c r="CU199" s="111" t="n">
        <v>85.0</v>
      </c>
      <c r="CV199" s="112" t="n">
        <v>0.0</v>
      </c>
      <c r="CW199" s="113" t="n">
        <v>33.0</v>
      </c>
      <c r="CX199" s="114" t="inlineStr">
        <is>
          <t/>
        </is>
      </c>
      <c r="CY199" s="115" t="inlineStr">
        <is>
          <t/>
        </is>
      </c>
      <c r="CZ199" s="116" t="n">
        <v>0.1</v>
      </c>
      <c r="DA199" s="117" t="n">
        <v>76.0</v>
      </c>
      <c r="DB199" s="118" t="n">
        <v>114.39</v>
      </c>
      <c r="DC199" s="119" t="n">
        <v>99.0</v>
      </c>
      <c r="DD199" s="120" t="n">
        <v>0.31</v>
      </c>
      <c r="DE199" s="121" t="n">
        <v>0.27</v>
      </c>
      <c r="DF199" s="122" t="n">
        <v>1.02</v>
      </c>
      <c r="DG199" s="123" t="n">
        <v>51.0</v>
      </c>
      <c r="DH199" s="124" t="n">
        <v>227.76</v>
      </c>
      <c r="DI199" s="125" t="n">
        <v>99.0</v>
      </c>
      <c r="DJ199" s="126" t="n">
        <v>1.02</v>
      </c>
      <c r="DK199" s="127" t="n">
        <v>51.0</v>
      </c>
      <c r="DL199" s="128" t="inlineStr">
        <is>
          <t/>
        </is>
      </c>
      <c r="DM199" s="129" t="inlineStr">
        <is>
          <t/>
        </is>
      </c>
      <c r="DN199" s="130" t="n">
        <v>59.54</v>
      </c>
      <c r="DO199" s="131" t="n">
        <v>97.0</v>
      </c>
      <c r="DP199" s="132" t="n">
        <v>721.0</v>
      </c>
      <c r="DQ199" s="133" t="n">
        <v>38.0</v>
      </c>
      <c r="DR199" s="134" t="n">
        <v>5.56</v>
      </c>
      <c r="DS199" s="135" t="inlineStr">
        <is>
          <t/>
        </is>
      </c>
      <c r="DT199" s="136" t="inlineStr">
        <is>
          <t/>
        </is>
      </c>
      <c r="DU199" s="137" t="inlineStr">
        <is>
          <t/>
        </is>
      </c>
      <c r="DV199" s="138" t="n">
        <v>21372.0</v>
      </c>
      <c r="DW199" s="139" t="n">
        <v>5.0</v>
      </c>
      <c r="DX199" s="140" t="n">
        <v>0.02</v>
      </c>
      <c r="DY199" s="141" t="inlineStr">
        <is>
          <t>PitchBook Research</t>
        </is>
      </c>
      <c r="DZ199" s="142" t="n">
        <v>43365.0</v>
      </c>
      <c r="EA199" s="143" t="n">
        <v>3505.68</v>
      </c>
      <c r="EB199" s="144" t="n">
        <v>43000.0</v>
      </c>
      <c r="EC199" s="145" t="inlineStr">
        <is>
          <t>Buyout/LBO</t>
        </is>
      </c>
      <c r="ED199" s="547">
        <f>HYPERLINK("https://my.pitchbook.com?c=10895-05", "View company online")</f>
      </c>
    </row>
    <row r="200">
      <c r="A200" s="147" t="inlineStr">
        <is>
          <t>162848-53</t>
        </is>
      </c>
      <c r="B200" s="148" t="inlineStr">
        <is>
          <t>GSI Creos (TKS: 8101)</t>
        </is>
      </c>
      <c r="C200" s="149" t="inlineStr">
        <is>
          <t/>
        </is>
      </c>
      <c r="D200" s="150" t="inlineStr">
        <is>
          <t/>
        </is>
      </c>
      <c r="E200" s="151" t="inlineStr">
        <is>
          <t>162848-53</t>
        </is>
      </c>
      <c r="F200" s="152" t="inlineStr">
        <is>
          <t>GSI Creos Corporation is a Japan based company engaged in the business of textile materials, industrial products, and nanotechnology. The products of the company include innerwear, outerwear, women's casual brand, composite molded article, and functional base paper.</t>
        </is>
      </c>
      <c r="G200" s="153" t="inlineStr">
        <is>
          <t>Consumer Products and Services (B2C)</t>
        </is>
      </c>
      <c r="H200" s="154" t="inlineStr">
        <is>
          <t>Apparel and Accessories</t>
        </is>
      </c>
      <c r="I200" s="155" t="inlineStr">
        <is>
          <t>Accessories</t>
        </is>
      </c>
      <c r="J200" s="156" t="inlineStr">
        <is>
          <t>Accessories*, Plant Textiles</t>
        </is>
      </c>
      <c r="K200" s="157" t="inlineStr">
        <is>
          <t>Manufacturing</t>
        </is>
      </c>
      <c r="L200" s="158" t="inlineStr">
        <is>
          <t>children's socks, stockings, synthetic yarn</t>
        </is>
      </c>
      <c r="M200" s="159" t="inlineStr">
        <is>
          <t>Corporation</t>
        </is>
      </c>
      <c r="N200" s="160" t="inlineStr">
        <is>
          <t/>
        </is>
      </c>
      <c r="O200" s="161" t="inlineStr">
        <is>
          <t>Profitable</t>
        </is>
      </c>
      <c r="P200" s="162" t="inlineStr">
        <is>
          <t>Publicly Held</t>
        </is>
      </c>
      <c r="Q200" s="163" t="inlineStr">
        <is>
          <t>Publicly Listed</t>
        </is>
      </c>
      <c r="R200" s="164" t="inlineStr">
        <is>
          <t>www.gsi.co.jp</t>
        </is>
      </c>
      <c r="S200" s="165" t="n">
        <v>723.0</v>
      </c>
      <c r="T200" s="166" t="inlineStr">
        <is>
          <t>2009: 488, 2010: 504, 2011: 517, 2012: 523, 2013: 569, 2014: 592, 2015: 606, 2016: 603, 2017: 569, 2018: 723</t>
        </is>
      </c>
      <c r="U200" s="167" t="inlineStr">
        <is>
          <t>TKS</t>
        </is>
      </c>
      <c r="V200" s="168" t="inlineStr">
        <is>
          <t>8101</t>
        </is>
      </c>
      <c r="W200" s="169" t="n">
        <v>1931.0</v>
      </c>
      <c r="X200" s="170" t="inlineStr">
        <is>
          <t/>
        </is>
      </c>
      <c r="Y200" s="171" t="inlineStr">
        <is>
          <t/>
        </is>
      </c>
      <c r="Z200" s="172" t="inlineStr">
        <is>
          <t/>
        </is>
      </c>
      <c r="AA200" s="173" t="n">
        <v>1279.17</v>
      </c>
      <c r="AB200" s="174" t="n">
        <v>118.24</v>
      </c>
      <c r="AC200" s="175" t="n">
        <v>7.53</v>
      </c>
      <c r="AD200" s="176" t="n">
        <v>90.69</v>
      </c>
      <c r="AE200" s="177" t="n">
        <v>15.07</v>
      </c>
      <c r="AF200" s="178" t="inlineStr">
        <is>
          <t>TTM 3Q2019</t>
        </is>
      </c>
      <c r="AG200" s="179" t="n">
        <v>13.24</v>
      </c>
      <c r="AH200" s="180" t="n">
        <v>68.29</v>
      </c>
      <c r="AI200" s="181" t="n">
        <v>19.04</v>
      </c>
      <c r="AJ200" s="182" t="inlineStr">
        <is>
          <t/>
        </is>
      </c>
      <c r="AK200" s="183" t="inlineStr">
        <is>
          <t/>
        </is>
      </c>
      <c r="AL200" s="184" t="inlineStr">
        <is>
          <t/>
        </is>
      </c>
      <c r="AM200" s="185" t="inlineStr">
        <is>
          <t/>
        </is>
      </c>
      <c r="AN200" s="186" t="inlineStr">
        <is>
          <t/>
        </is>
      </c>
      <c r="AO200" s="187" t="inlineStr">
        <is>
          <t>Tokyo, Japan</t>
        </is>
      </c>
      <c r="AP200" s="188" t="inlineStr">
        <is>
          <t>2-3-1, Kudan Minami</t>
        </is>
      </c>
      <c r="AQ200" s="189" t="inlineStr">
        <is>
          <t>Chiyoda-ku</t>
        </is>
      </c>
      <c r="AR200" s="190" t="inlineStr">
        <is>
          <t>Tokyo</t>
        </is>
      </c>
      <c r="AS200" s="191" t="inlineStr">
        <is>
          <t/>
        </is>
      </c>
      <c r="AT200" s="192" t="inlineStr">
        <is>
          <t>102-0074</t>
        </is>
      </c>
      <c r="AU200" s="193" t="inlineStr">
        <is>
          <t>Japan</t>
        </is>
      </c>
      <c r="AV200" s="194" t="inlineStr">
        <is>
          <t>+81 (0)35 211 1800</t>
        </is>
      </c>
      <c r="AW200" s="195" t="inlineStr">
        <is>
          <t/>
        </is>
      </c>
      <c r="AX200" s="196" t="inlineStr">
        <is>
          <t/>
        </is>
      </c>
      <c r="AY200" s="197" t="inlineStr">
        <is>
          <t>Asia</t>
        </is>
      </c>
      <c r="AZ200" s="198" t="inlineStr">
        <is>
          <t>East Asia</t>
        </is>
      </c>
      <c r="BA200" s="199" t="inlineStr">
        <is>
          <t/>
        </is>
      </c>
      <c r="BB200" s="200" t="inlineStr">
        <is>
          <t/>
        </is>
      </c>
      <c r="BC200" s="201" t="inlineStr">
        <is>
          <t/>
        </is>
      </c>
      <c r="BD200" s="202" t="inlineStr">
        <is>
          <t/>
        </is>
      </c>
      <c r="BE200" s="203" t="inlineStr">
        <is>
          <t/>
        </is>
      </c>
      <c r="BF200" s="204" t="inlineStr">
        <is>
          <t/>
        </is>
      </c>
      <c r="BG200" s="205" t="inlineStr">
        <is>
          <t/>
        </is>
      </c>
      <c r="BH200" s="206" t="inlineStr">
        <is>
          <t/>
        </is>
      </c>
      <c r="BI200" s="207" t="inlineStr">
        <is>
          <t/>
        </is>
      </c>
      <c r="BJ200" s="208" t="inlineStr">
        <is>
          <t/>
        </is>
      </c>
      <c r="BK200" s="209" t="inlineStr">
        <is>
          <t/>
        </is>
      </c>
      <c r="BL200" s="210" t="inlineStr">
        <is>
          <t/>
        </is>
      </c>
      <c r="BM200" s="211" t="inlineStr">
        <is>
          <t/>
        </is>
      </c>
      <c r="BN200" s="212" t="inlineStr">
        <is>
          <t/>
        </is>
      </c>
      <c r="BO200" s="213" t="inlineStr">
        <is>
          <t/>
        </is>
      </c>
      <c r="BP200" s="214" t="inlineStr">
        <is>
          <t/>
        </is>
      </c>
      <c r="BQ200" s="215" t="inlineStr">
        <is>
          <t/>
        </is>
      </c>
      <c r="BR200" s="216" t="inlineStr">
        <is>
          <t/>
        </is>
      </c>
      <c r="BS200" s="217" t="inlineStr">
        <is>
          <t/>
        </is>
      </c>
      <c r="BT200" s="218" t="inlineStr">
        <is>
          <t/>
        </is>
      </c>
      <c r="BU200" s="219" t="inlineStr">
        <is>
          <t/>
        </is>
      </c>
      <c r="BV200" s="220" t="inlineStr">
        <is>
          <t/>
        </is>
      </c>
      <c r="BW200" s="221" t="inlineStr">
        <is>
          <t/>
        </is>
      </c>
      <c r="BX200" s="222" t="inlineStr">
        <is>
          <t/>
        </is>
      </c>
      <c r="BY200" s="223" t="inlineStr">
        <is>
          <t/>
        </is>
      </c>
      <c r="BZ200" s="224" t="inlineStr">
        <is>
          <t/>
        </is>
      </c>
      <c r="CA200" s="225" t="inlineStr">
        <is>
          <t/>
        </is>
      </c>
      <c r="CB200" s="226" t="inlineStr">
        <is>
          <t/>
        </is>
      </c>
      <c r="CC200" s="227" t="inlineStr">
        <is>
          <t/>
        </is>
      </c>
      <c r="CD200" s="228" t="inlineStr">
        <is>
          <t/>
        </is>
      </c>
      <c r="CE200" s="229" t="inlineStr">
        <is>
          <t/>
        </is>
      </c>
      <c r="CF200" s="230" t="inlineStr">
        <is>
          <t/>
        </is>
      </c>
      <c r="CG200" s="231" t="inlineStr">
        <is>
          <t/>
        </is>
      </c>
      <c r="CH200" s="232" t="inlineStr">
        <is>
          <t/>
        </is>
      </c>
      <c r="CI200" s="233" t="inlineStr">
        <is>
          <t/>
        </is>
      </c>
      <c r="CJ200" s="234" t="inlineStr">
        <is>
          <t/>
        </is>
      </c>
      <c r="CK200" s="235" t="inlineStr">
        <is>
          <t/>
        </is>
      </c>
      <c r="CL200" s="236" t="inlineStr">
        <is>
          <t/>
        </is>
      </c>
      <c r="CM200" s="237" t="inlineStr">
        <is>
          <t/>
        </is>
      </c>
      <c r="CN200" s="238" t="n">
        <v>-0.08</v>
      </c>
      <c r="CO200" s="239" t="n">
        <v>12.0</v>
      </c>
      <c r="CP200" s="240" t="n">
        <v>0.0</v>
      </c>
      <c r="CQ200" s="241" t="n">
        <v>0.0</v>
      </c>
      <c r="CR200" s="242" t="n">
        <v>-0.08</v>
      </c>
      <c r="CS200" s="243" t="n">
        <v>13.0</v>
      </c>
      <c r="CT200" s="244" t="inlineStr">
        <is>
          <t/>
        </is>
      </c>
      <c r="CU200" s="245" t="inlineStr">
        <is>
          <t/>
        </is>
      </c>
      <c r="CV200" s="246" t="inlineStr">
        <is>
          <t/>
        </is>
      </c>
      <c r="CW200" s="247" t="inlineStr">
        <is>
          <t/>
        </is>
      </c>
      <c r="CX200" s="248" t="n">
        <v>-0.08</v>
      </c>
      <c r="CY200" s="249" t="n">
        <v>11.0</v>
      </c>
      <c r="CZ200" s="250" t="inlineStr">
        <is>
          <t/>
        </is>
      </c>
      <c r="DA200" s="251" t="inlineStr">
        <is>
          <t/>
        </is>
      </c>
      <c r="DB200" s="252" t="n">
        <v>13.0</v>
      </c>
      <c r="DC200" s="253" t="n">
        <v>92.0</v>
      </c>
      <c r="DD200" s="254" t="n">
        <v>3.2</v>
      </c>
      <c r="DE200" s="255" t="n">
        <v>32.65</v>
      </c>
      <c r="DF200" s="256" t="n">
        <v>13.0</v>
      </c>
      <c r="DG200" s="257" t="n">
        <v>92.0</v>
      </c>
      <c r="DH200" s="258" t="inlineStr">
        <is>
          <t/>
        </is>
      </c>
      <c r="DI200" s="259" t="inlineStr">
        <is>
          <t/>
        </is>
      </c>
      <c r="DJ200" s="260" t="inlineStr">
        <is>
          <t/>
        </is>
      </c>
      <c r="DK200" s="261" t="inlineStr">
        <is>
          <t/>
        </is>
      </c>
      <c r="DL200" s="262" t="n">
        <v>13.0</v>
      </c>
      <c r="DM200" s="263" t="n">
        <v>91.0</v>
      </c>
      <c r="DN200" s="264" t="inlineStr">
        <is>
          <t/>
        </is>
      </c>
      <c r="DO200" s="265" t="inlineStr">
        <is>
          <t/>
        </is>
      </c>
      <c r="DP200" s="266" t="n">
        <v>51.0</v>
      </c>
      <c r="DQ200" s="267" t="n">
        <v>-13.0</v>
      </c>
      <c r="DR200" s="268" t="n">
        <v>-20.31</v>
      </c>
      <c r="DS200" s="269" t="n">
        <v>441.0</v>
      </c>
      <c r="DT200" s="270" t="n">
        <v>0.0</v>
      </c>
      <c r="DU200" s="271" t="n">
        <v>0.0</v>
      </c>
      <c r="DV200" s="272" t="inlineStr">
        <is>
          <t/>
        </is>
      </c>
      <c r="DW200" s="273" t="inlineStr">
        <is>
          <t/>
        </is>
      </c>
      <c r="DX200" s="274" t="inlineStr">
        <is>
          <t/>
        </is>
      </c>
      <c r="DY200" s="275" t="inlineStr">
        <is>
          <t>PitchBook Research</t>
        </is>
      </c>
      <c r="DZ200" s="276" t="n">
        <v>43491.0</v>
      </c>
      <c r="EA200" s="277" t="inlineStr">
        <is>
          <t/>
        </is>
      </c>
      <c r="EB200" s="278" t="inlineStr">
        <is>
          <t/>
        </is>
      </c>
      <c r="EC200" s="279" t="inlineStr">
        <is>
          <t/>
        </is>
      </c>
      <c r="ED200" s="548">
        <f>HYPERLINK("https://my.pitchbook.com?c=162848-53", "View company online")</f>
      </c>
    </row>
    <row r="201">
      <c r="A201" s="13" t="inlineStr">
        <is>
          <t>154628-74</t>
        </is>
      </c>
      <c r="B201" s="14" t="inlineStr">
        <is>
          <t>Gunze (TKS: 3002)</t>
        </is>
      </c>
      <c r="C201" s="15" t="inlineStr">
        <is>
          <t/>
        </is>
      </c>
      <c r="D201" s="16" t="inlineStr">
        <is>
          <t/>
        </is>
      </c>
      <c r="E201" s="17" t="inlineStr">
        <is>
          <t>154628-74</t>
        </is>
      </c>
      <c r="F201" s="18" t="inlineStr">
        <is>
          <t>Gunze Ltd has three business lines: Apparel, Functional Solutions, and Lifestyle Creation. Apparel, which is the company's largest business by revenue, manufactures innerwear, legwear, house casual wear, and threads and accessories with brands including Kaiteki Kobo, Body Wild, Tuche, The Gunze, and Sabrina. Functional Solutions produces plastic films, engineering plastics, electronic components, mechatronics, and medical materials for the beverage, electronics, and medical industries. Lifestyle Creations, the smallest business, engages in a variety of service businesses including landscaping, fitness clubs and spas, property development, and energy engineering. Roughly three fourths of the company's sales come from Japan.</t>
        </is>
      </c>
      <c r="G201" s="19" t="inlineStr">
        <is>
          <t>Business Products and Services (B2B)</t>
        </is>
      </c>
      <c r="H201" s="20" t="inlineStr">
        <is>
          <t>Commercial Products</t>
        </is>
      </c>
      <c r="I201" s="21" t="inlineStr">
        <is>
          <t>Industrial Supplies and Parts</t>
        </is>
      </c>
      <c r="J201" s="22" t="inlineStr">
        <is>
          <t>Clothing, Industrial Supplies and Parts*</t>
        </is>
      </c>
      <c r="K201" s="23" t="inlineStr">
        <is>
          <t/>
        </is>
      </c>
      <c r="L201" s="24" t="inlineStr">
        <is>
          <t>electronic components, industrial parts, plastic film</t>
        </is>
      </c>
      <c r="M201" s="25" t="inlineStr">
        <is>
          <t>Corporation</t>
        </is>
      </c>
      <c r="N201" s="26" t="inlineStr">
        <is>
          <t/>
        </is>
      </c>
      <c r="O201" s="27" t="inlineStr">
        <is>
          <t>Profitable</t>
        </is>
      </c>
      <c r="P201" s="28" t="inlineStr">
        <is>
          <t>Publicly Held</t>
        </is>
      </c>
      <c r="Q201" s="29" t="inlineStr">
        <is>
          <t>Publicly Listed</t>
        </is>
      </c>
      <c r="R201" s="30" t="inlineStr">
        <is>
          <t>www.gunze.co.jp</t>
        </is>
      </c>
      <c r="S201" s="31" t="n">
        <v>6754.0</v>
      </c>
      <c r="T201" s="32" t="inlineStr">
        <is>
          <t>2007: 2339, 2009: 9041, 2010: 8914, 2011: 8989, 2012: 8963, 2013: 8285, 2014: 7629, 2015: 7354, 2016: 6858, 2017: 7038, 2018: 6754</t>
        </is>
      </c>
      <c r="U201" s="33" t="inlineStr">
        <is>
          <t>TKS</t>
        </is>
      </c>
      <c r="V201" s="34" t="inlineStr">
        <is>
          <t>3002</t>
        </is>
      </c>
      <c r="W201" s="35" t="n">
        <v>1896.0</v>
      </c>
      <c r="X201" s="36" t="inlineStr">
        <is>
          <t/>
        </is>
      </c>
      <c r="Y201" s="37" t="inlineStr">
        <is>
          <t/>
        </is>
      </c>
      <c r="Z201" s="38" t="inlineStr">
        <is>
          <t/>
        </is>
      </c>
      <c r="AA201" s="39" t="n">
        <v>1278.14</v>
      </c>
      <c r="AB201" s="40" t="n">
        <v>367.88</v>
      </c>
      <c r="AC201" s="41" t="n">
        <v>35.13</v>
      </c>
      <c r="AD201" s="42" t="n">
        <v>884.43</v>
      </c>
      <c r="AE201" s="43" t="n">
        <v>53.25</v>
      </c>
      <c r="AF201" s="44" t="inlineStr">
        <is>
          <t>TTM 3Q2019</t>
        </is>
      </c>
      <c r="AG201" s="45" t="n">
        <v>53.25</v>
      </c>
      <c r="AH201" s="46" t="n">
        <v>696.41</v>
      </c>
      <c r="AI201" s="47" t="n">
        <v>197.3</v>
      </c>
      <c r="AJ201" s="48" t="inlineStr">
        <is>
          <t/>
        </is>
      </c>
      <c r="AK201" s="49" t="inlineStr">
        <is>
          <t/>
        </is>
      </c>
      <c r="AL201" s="50" t="inlineStr">
        <is>
          <t/>
        </is>
      </c>
      <c r="AM201" s="51" t="inlineStr">
        <is>
          <t/>
        </is>
      </c>
      <c r="AN201" s="52" t="inlineStr">
        <is>
          <t/>
        </is>
      </c>
      <c r="AO201" s="53" t="inlineStr">
        <is>
          <t>Osaka, Japan</t>
        </is>
      </c>
      <c r="AP201" s="54" t="inlineStr">
        <is>
          <t>Herbis Osaka Office Tower 2-5-25</t>
        </is>
      </c>
      <c r="AQ201" s="55" t="inlineStr">
        <is>
          <t>Umeda</t>
        </is>
      </c>
      <c r="AR201" s="56" t="inlineStr">
        <is>
          <t>Osaka</t>
        </is>
      </c>
      <c r="AS201" s="57" t="inlineStr">
        <is>
          <t/>
        </is>
      </c>
      <c r="AT201" s="58" t="inlineStr">
        <is>
          <t>530-0001</t>
        </is>
      </c>
      <c r="AU201" s="59" t="inlineStr">
        <is>
          <t>Japan</t>
        </is>
      </c>
      <c r="AV201" s="60" t="inlineStr">
        <is>
          <t>+81 (0)66 348 1313</t>
        </is>
      </c>
      <c r="AW201" s="61" t="inlineStr">
        <is>
          <t>+81 (0)66 348 4815</t>
        </is>
      </c>
      <c r="AX201" s="62" t="inlineStr">
        <is>
          <t/>
        </is>
      </c>
      <c r="AY201" s="63" t="inlineStr">
        <is>
          <t>Asia</t>
        </is>
      </c>
      <c r="AZ201" s="64" t="inlineStr">
        <is>
          <t>East Asia</t>
        </is>
      </c>
      <c r="BA201" s="65" t="inlineStr">
        <is>
          <t/>
        </is>
      </c>
      <c r="BB201" s="66" t="inlineStr">
        <is>
          <t/>
        </is>
      </c>
      <c r="BC201" s="67" t="inlineStr">
        <is>
          <t/>
        </is>
      </c>
      <c r="BD201" s="68" t="inlineStr">
        <is>
          <t/>
        </is>
      </c>
      <c r="BE201" s="69" t="inlineStr">
        <is>
          <t/>
        </is>
      </c>
      <c r="BF201" s="70" t="inlineStr">
        <is>
          <t/>
        </is>
      </c>
      <c r="BG201" s="71" t="inlineStr">
        <is>
          <t/>
        </is>
      </c>
      <c r="BH201" s="72" t="inlineStr">
        <is>
          <t/>
        </is>
      </c>
      <c r="BI201" s="73" t="inlineStr">
        <is>
          <t/>
        </is>
      </c>
      <c r="BJ201" s="74" t="inlineStr">
        <is>
          <t/>
        </is>
      </c>
      <c r="BK201" s="75" t="inlineStr">
        <is>
          <t/>
        </is>
      </c>
      <c r="BL201" s="76" t="inlineStr">
        <is>
          <t/>
        </is>
      </c>
      <c r="BM201" s="77" t="inlineStr">
        <is>
          <t/>
        </is>
      </c>
      <c r="BN201" s="78" t="inlineStr">
        <is>
          <t/>
        </is>
      </c>
      <c r="BO201" s="79" t="inlineStr">
        <is>
          <t/>
        </is>
      </c>
      <c r="BP201" s="80" t="inlineStr">
        <is>
          <t/>
        </is>
      </c>
      <c r="BQ201" s="81" t="inlineStr">
        <is>
          <t/>
        </is>
      </c>
      <c r="BR201" s="82" t="inlineStr">
        <is>
          <t/>
        </is>
      </c>
      <c r="BS201" s="83" t="inlineStr">
        <is>
          <t/>
        </is>
      </c>
      <c r="BT201" s="84" t="inlineStr">
        <is>
          <t/>
        </is>
      </c>
      <c r="BU201" s="85" t="inlineStr">
        <is>
          <t/>
        </is>
      </c>
      <c r="BV201" s="86" t="inlineStr">
        <is>
          <t/>
        </is>
      </c>
      <c r="BW201" s="87" t="inlineStr">
        <is>
          <t/>
        </is>
      </c>
      <c r="BX201" s="88" t="inlineStr">
        <is>
          <t/>
        </is>
      </c>
      <c r="BY201" s="89" t="inlineStr">
        <is>
          <t/>
        </is>
      </c>
      <c r="BZ201" s="90" t="inlineStr">
        <is>
          <t/>
        </is>
      </c>
      <c r="CA201" s="91" t="inlineStr">
        <is>
          <t/>
        </is>
      </c>
      <c r="CB201" s="92" t="inlineStr">
        <is>
          <t/>
        </is>
      </c>
      <c r="CC201" s="93" t="inlineStr">
        <is>
          <t/>
        </is>
      </c>
      <c r="CD201" s="94" t="inlineStr">
        <is>
          <t/>
        </is>
      </c>
      <c r="CE201" s="95" t="inlineStr">
        <is>
          <t/>
        </is>
      </c>
      <c r="CF201" s="96" t="inlineStr">
        <is>
          <t/>
        </is>
      </c>
      <c r="CG201" s="97" t="inlineStr">
        <is>
          <t/>
        </is>
      </c>
      <c r="CH201" s="98" t="inlineStr">
        <is>
          <t/>
        </is>
      </c>
      <c r="CI201" s="99" t="inlineStr">
        <is>
          <t/>
        </is>
      </c>
      <c r="CJ201" s="100" t="inlineStr">
        <is>
          <t/>
        </is>
      </c>
      <c r="CK201" s="101" t="inlineStr">
        <is>
          <t/>
        </is>
      </c>
      <c r="CL201" s="102" t="inlineStr">
        <is>
          <t/>
        </is>
      </c>
      <c r="CM201" s="103" t="inlineStr">
        <is>
          <t/>
        </is>
      </c>
      <c r="CN201" s="104" t="n">
        <v>0.12</v>
      </c>
      <c r="CO201" s="105" t="n">
        <v>86.0</v>
      </c>
      <c r="CP201" s="106" t="n">
        <v>0.04</v>
      </c>
      <c r="CQ201" s="107" t="n">
        <v>58.0</v>
      </c>
      <c r="CR201" s="108" t="n">
        <v>0.12</v>
      </c>
      <c r="CS201" s="109" t="n">
        <v>87.0</v>
      </c>
      <c r="CT201" s="110" t="inlineStr">
        <is>
          <t/>
        </is>
      </c>
      <c r="CU201" s="111" t="inlineStr">
        <is>
          <t/>
        </is>
      </c>
      <c r="CV201" s="112" t="inlineStr">
        <is>
          <t/>
        </is>
      </c>
      <c r="CW201" s="113" t="inlineStr">
        <is>
          <t/>
        </is>
      </c>
      <c r="CX201" s="114" t="n">
        <v>0.12</v>
      </c>
      <c r="CY201" s="115" t="n">
        <v>87.0</v>
      </c>
      <c r="CZ201" s="116" t="inlineStr">
        <is>
          <t/>
        </is>
      </c>
      <c r="DA201" s="117" t="inlineStr">
        <is>
          <t/>
        </is>
      </c>
      <c r="DB201" s="118" t="n">
        <v>58.06</v>
      </c>
      <c r="DC201" s="119" t="n">
        <v>98.0</v>
      </c>
      <c r="DD201" s="120" t="n">
        <v>14.39</v>
      </c>
      <c r="DE201" s="121" t="n">
        <v>32.96</v>
      </c>
      <c r="DF201" s="122" t="n">
        <v>58.06</v>
      </c>
      <c r="DG201" s="123" t="n">
        <v>99.0</v>
      </c>
      <c r="DH201" s="124" t="inlineStr">
        <is>
          <t/>
        </is>
      </c>
      <c r="DI201" s="125" t="inlineStr">
        <is>
          <t/>
        </is>
      </c>
      <c r="DJ201" s="126" t="inlineStr">
        <is>
          <t/>
        </is>
      </c>
      <c r="DK201" s="127" t="inlineStr">
        <is>
          <t/>
        </is>
      </c>
      <c r="DL201" s="128" t="n">
        <v>58.06</v>
      </c>
      <c r="DM201" s="129" t="n">
        <v>98.0</v>
      </c>
      <c r="DN201" s="130" t="inlineStr">
        <is>
          <t/>
        </is>
      </c>
      <c r="DO201" s="131" t="inlineStr">
        <is>
          <t/>
        </is>
      </c>
      <c r="DP201" s="132" t="inlineStr">
        <is>
          <t/>
        </is>
      </c>
      <c r="DQ201" s="133" t="inlineStr">
        <is>
          <t/>
        </is>
      </c>
      <c r="DR201" s="134" t="inlineStr">
        <is>
          <t/>
        </is>
      </c>
      <c r="DS201" s="135" t="n">
        <v>1970.0</v>
      </c>
      <c r="DT201" s="136" t="n">
        <v>8.0</v>
      </c>
      <c r="DU201" s="137" t="n">
        <v>0.41</v>
      </c>
      <c r="DV201" s="138" t="inlineStr">
        <is>
          <t/>
        </is>
      </c>
      <c r="DW201" s="139" t="inlineStr">
        <is>
          <t/>
        </is>
      </c>
      <c r="DX201" s="140" t="inlineStr">
        <is>
          <t/>
        </is>
      </c>
      <c r="DY201" s="141" t="inlineStr">
        <is>
          <t>PitchBook Research</t>
        </is>
      </c>
      <c r="DZ201" s="142" t="n">
        <v>43500.0</v>
      </c>
      <c r="EA201" s="143" t="inlineStr">
        <is>
          <t/>
        </is>
      </c>
      <c r="EB201" s="144" t="inlineStr">
        <is>
          <t/>
        </is>
      </c>
      <c r="EC201" s="145" t="inlineStr">
        <is>
          <t/>
        </is>
      </c>
      <c r="ED201" s="547">
        <f>HYPERLINK("https://my.pitchbook.com?c=154628-74", "View company online")</f>
      </c>
    </row>
    <row r="202">
      <c r="A202" s="147" t="inlineStr">
        <is>
          <t>41218-66</t>
        </is>
      </c>
      <c r="B202" s="148" t="inlineStr">
        <is>
          <t>Stein Mart (NAS: SMRT)</t>
        </is>
      </c>
      <c r="C202" s="149" t="inlineStr">
        <is>
          <t/>
        </is>
      </c>
      <c r="D202" s="150" t="inlineStr">
        <is>
          <t/>
        </is>
      </c>
      <c r="E202" s="151" t="inlineStr">
        <is>
          <t>41218-66</t>
        </is>
      </c>
      <c r="F202" s="152" t="inlineStr">
        <is>
          <t>Stein Mart operates several hundred department stores in the United States. It sells mostly name-brand merchandise. The company aims to provide current-season, quality merchandise at prices comparable with off-price retailers. The company leases all of its stores, which are located mostly in shopping centers frequented by more-affluent customers. A substantial portion of the stores are in Texas and Florida. Stein Mart has multiple distribution and consolidation centers throughout the United States.</t>
        </is>
      </c>
      <c r="G202" s="153" t="inlineStr">
        <is>
          <t>Consumer Products and Services (B2C)</t>
        </is>
      </c>
      <c r="H202" s="154" t="inlineStr">
        <is>
          <t>Apparel and Accessories</t>
        </is>
      </c>
      <c r="I202" s="155" t="inlineStr">
        <is>
          <t>Clothing</t>
        </is>
      </c>
      <c r="J202" s="156" t="inlineStr">
        <is>
          <t>Clothing*, Department Stores, Footwear</t>
        </is>
      </c>
      <c r="K202" s="157" t="inlineStr">
        <is>
          <t/>
        </is>
      </c>
      <c r="L202" s="158" t="inlineStr">
        <is>
          <t>designer watches, fashion apparel, fashion jewelry, home decor</t>
        </is>
      </c>
      <c r="M202" s="159" t="inlineStr">
        <is>
          <t>Corporation</t>
        </is>
      </c>
      <c r="N202" s="160" t="n">
        <v>42.25</v>
      </c>
      <c r="O202" s="161" t="inlineStr">
        <is>
          <t>Generating Revenue/Not Profitable</t>
        </is>
      </c>
      <c r="P202" s="162" t="inlineStr">
        <is>
          <t>Publicly Held</t>
        </is>
      </c>
      <c r="Q202" s="163" t="inlineStr">
        <is>
          <t>Debt Financed, Publicly Listed</t>
        </is>
      </c>
      <c r="R202" s="164" t="inlineStr">
        <is>
          <t>www.steinmart.com</t>
        </is>
      </c>
      <c r="S202" s="165" t="n">
        <v>10200.0</v>
      </c>
      <c r="T202" s="166" t="inlineStr">
        <is>
          <t>1990: 3500, 1991: 3500, 1992: 3700, 1993: 3700, 1994: 5100, 1995: 6300, 1996: 5100, 1997: 6200, 1998: 10500, 1999: 12300, 2000: 14400, 2002: 14000, 2003: 15000, 2004: 14000, 2005: 14000, 2006: 14000, 2007: 14500, 2008: 14600, 2009: 14600, 2010: 12800, 2011: 11500, 2012: 11400, 2013: 10900, 2014: 11000, 2015: 11300, 2016: 11000, 2017: 11000, 2018: 10200</t>
        </is>
      </c>
      <c r="U202" s="167" t="inlineStr">
        <is>
          <t>NAS</t>
        </is>
      </c>
      <c r="V202" s="168" t="inlineStr">
        <is>
          <t>SMRT</t>
        </is>
      </c>
      <c r="W202" s="169" t="n">
        <v>1908.0</v>
      </c>
      <c r="X202" s="170" t="inlineStr">
        <is>
          <t/>
        </is>
      </c>
      <c r="Y202" s="171" t="inlineStr">
        <is>
          <t/>
        </is>
      </c>
      <c r="Z202" s="172" t="inlineStr">
        <is>
          <t>News (New) , Filing (New) </t>
        </is>
      </c>
      <c r="AA202" s="173" t="n">
        <v>1272.73</v>
      </c>
      <c r="AB202" s="174" t="n">
        <v>352.92</v>
      </c>
      <c r="AC202" s="175" t="n">
        <v>-6.0</v>
      </c>
      <c r="AD202" s="176" t="n">
        <v>230.36</v>
      </c>
      <c r="AE202" s="177" t="n">
        <v>37.31</v>
      </c>
      <c r="AF202" s="178" t="inlineStr">
        <is>
          <t>FY 2019</t>
        </is>
      </c>
      <c r="AG202" s="179" t="n">
        <v>4.86</v>
      </c>
      <c r="AH202" s="180" t="n">
        <v>49.79</v>
      </c>
      <c r="AI202" s="181" t="n">
        <v>144.2</v>
      </c>
      <c r="AJ202" s="182" t="inlineStr">
        <is>
          <t>12084-40P</t>
        </is>
      </c>
      <c r="AK202" s="183" t="inlineStr">
        <is>
          <t>Gregory Kleffner</t>
        </is>
      </c>
      <c r="AL202" s="184" t="inlineStr">
        <is>
          <t>Chief Financial Officer &amp; Executive Vice President</t>
        </is>
      </c>
      <c r="AM202" s="185" t="inlineStr">
        <is>
          <t/>
        </is>
      </c>
      <c r="AN202" s="186" t="inlineStr">
        <is>
          <t>+1 (904) 346-1500</t>
        </is>
      </c>
      <c r="AO202" s="187" t="inlineStr">
        <is>
          <t>Jacksonville, FL</t>
        </is>
      </c>
      <c r="AP202" s="188" t="inlineStr">
        <is>
          <t>1200 Riverplace Boulevard</t>
        </is>
      </c>
      <c r="AQ202" s="189" t="inlineStr">
        <is>
          <t>5th Floor</t>
        </is>
      </c>
      <c r="AR202" s="190" t="inlineStr">
        <is>
          <t>Jacksonville</t>
        </is>
      </c>
      <c r="AS202" s="191" t="inlineStr">
        <is>
          <t>Florida</t>
        </is>
      </c>
      <c r="AT202" s="192" t="inlineStr">
        <is>
          <t>32207</t>
        </is>
      </c>
      <c r="AU202" s="193" t="inlineStr">
        <is>
          <t>United States</t>
        </is>
      </c>
      <c r="AV202" s="194" t="inlineStr">
        <is>
          <t>+1 (904) 346-1500</t>
        </is>
      </c>
      <c r="AW202" s="195" t="inlineStr">
        <is>
          <t/>
        </is>
      </c>
      <c r="AX202" s="196" t="inlineStr">
        <is>
          <t/>
        </is>
      </c>
      <c r="AY202" s="197" t="inlineStr">
        <is>
          <t>Americas</t>
        </is>
      </c>
      <c r="AZ202" s="198" t="inlineStr">
        <is>
          <t>North America</t>
        </is>
      </c>
      <c r="BA202" s="199" t="inlineStr">
        <is>
          <t>The company completed a $100 million debt refinancing round led by Wells Fargo Bank on February 3, 2015. Wells Fargo Bank provided $250 million of Revolving Credit Line. The Credit Facilities replace the Company's former $100 million senior secured revolving credit facility which was set to mature on February 28, 2017. The Credit Facilities (i) increase the revolving credit facility to $250 million, (ii) add a $25 million equipment term loan that matures 36 months following date of disbursement, (iii) provide better pricing terms, and (iv) extend the maturity date of the former revolving credit facility. Borrowings under the Credit Facilities will primarily be used for a special dividend, but may also be used for working capital, capital expenditures and general corporate purposes.</t>
        </is>
      </c>
      <c r="BB202" s="200" t="inlineStr">
        <is>
          <t/>
        </is>
      </c>
      <c r="BC202" s="201" t="inlineStr">
        <is>
          <t/>
        </is>
      </c>
      <c r="BD202" s="202" t="inlineStr">
        <is>
          <t/>
        </is>
      </c>
      <c r="BE202" s="203" t="inlineStr">
        <is>
          <t/>
        </is>
      </c>
      <c r="BF202" s="204" t="inlineStr">
        <is>
          <t/>
        </is>
      </c>
      <c r="BG202" s="205" t="inlineStr">
        <is>
          <t/>
        </is>
      </c>
      <c r="BH202" s="206" t="inlineStr">
        <is>
          <t/>
        </is>
      </c>
      <c r="BI202" s="207" t="inlineStr">
        <is>
          <t/>
        </is>
      </c>
      <c r="BJ202" s="208" t="inlineStr">
        <is>
          <t>Sidoti &amp; Company(Advisor: General), Wells Fargo Capital Finance(Debt Financing)</t>
        </is>
      </c>
      <c r="BK202" s="209" t="inlineStr">
        <is>
          <t>Alex Brown &amp; Sons(Underwriter), Credit Suisse First Boston(Underwriter), J.C. Bradford &amp; Company(Underwriter), Wells Fargo(Debt Financing)</t>
        </is>
      </c>
      <c r="BL202" s="210" t="n">
        <v>33721.0</v>
      </c>
      <c r="BM202" s="211" t="n">
        <v>42.25</v>
      </c>
      <c r="BN202" s="212" t="inlineStr">
        <is>
          <t>Actual</t>
        </is>
      </c>
      <c r="BO202" s="213" t="inlineStr">
        <is>
          <t/>
        </is>
      </c>
      <c r="BP202" s="214" t="inlineStr">
        <is>
          <t/>
        </is>
      </c>
      <c r="BQ202" s="215" t="inlineStr">
        <is>
          <t>IPO</t>
        </is>
      </c>
      <c r="BR202" s="216" t="inlineStr">
        <is>
          <t/>
        </is>
      </c>
      <c r="BS202" s="217" t="inlineStr">
        <is>
          <t/>
        </is>
      </c>
      <c r="BT202" s="218" t="inlineStr">
        <is>
          <t>Public Investment</t>
        </is>
      </c>
      <c r="BU202" s="219" t="inlineStr">
        <is>
          <t/>
        </is>
      </c>
      <c r="BV202" s="220" t="inlineStr">
        <is>
          <t/>
        </is>
      </c>
      <c r="BW202" s="221" t="inlineStr">
        <is>
          <t/>
        </is>
      </c>
      <c r="BX202" s="222" t="inlineStr">
        <is>
          <t>Completed</t>
        </is>
      </c>
      <c r="BY202" s="223" t="n">
        <v>42038.0</v>
      </c>
      <c r="BZ202" s="224" t="inlineStr">
        <is>
          <t/>
        </is>
      </c>
      <c r="CA202" s="225" t="inlineStr">
        <is>
          <t/>
        </is>
      </c>
      <c r="CB202" s="226" t="inlineStr">
        <is>
          <t/>
        </is>
      </c>
      <c r="CC202" s="227" t="inlineStr">
        <is>
          <t/>
        </is>
      </c>
      <c r="CD202" s="228" t="inlineStr">
        <is>
          <t>Debt Refinancing</t>
        </is>
      </c>
      <c r="CE202" s="229" t="inlineStr">
        <is>
          <t/>
        </is>
      </c>
      <c r="CF202" s="230" t="inlineStr">
        <is>
          <t/>
        </is>
      </c>
      <c r="CG202" s="231" t="inlineStr">
        <is>
          <t>Debt</t>
        </is>
      </c>
      <c r="CH202" s="232" t="inlineStr">
        <is>
          <t>Revolving Credit Line</t>
        </is>
      </c>
      <c r="CI202" s="233" t="inlineStr">
        <is>
          <t/>
        </is>
      </c>
      <c r="CJ202" s="234" t="inlineStr">
        <is>
          <t/>
        </is>
      </c>
      <c r="CK202" s="235" t="inlineStr">
        <is>
          <t>Completed</t>
        </is>
      </c>
      <c r="CL202" s="236" t="n">
        <v>42038.0</v>
      </c>
      <c r="CM202" s="237" t="n">
        <v>275.0</v>
      </c>
      <c r="CN202" s="238" t="n">
        <v>0.8</v>
      </c>
      <c r="CO202" s="239" t="n">
        <v>97.0</v>
      </c>
      <c r="CP202" s="240" t="n">
        <v>-0.01</v>
      </c>
      <c r="CQ202" s="241" t="n">
        <v>-1.13</v>
      </c>
      <c r="CR202" s="242" t="n">
        <v>1.59</v>
      </c>
      <c r="CS202" s="243" t="n">
        <v>98.0</v>
      </c>
      <c r="CT202" s="244" t="n">
        <v>0.0</v>
      </c>
      <c r="CU202" s="245" t="n">
        <v>27.0</v>
      </c>
      <c r="CV202" s="246" t="n">
        <v>2.79</v>
      </c>
      <c r="CW202" s="247" t="n">
        <v>93.0</v>
      </c>
      <c r="CX202" s="248" t="n">
        <v>0.39</v>
      </c>
      <c r="CY202" s="249" t="n">
        <v>93.0</v>
      </c>
      <c r="CZ202" s="250" t="n">
        <v>0.0</v>
      </c>
      <c r="DA202" s="251" t="n">
        <v>28.0</v>
      </c>
      <c r="DB202" s="252" t="n">
        <v>183.17</v>
      </c>
      <c r="DC202" s="253" t="n">
        <v>100.0</v>
      </c>
      <c r="DD202" s="254" t="n">
        <v>5.68</v>
      </c>
      <c r="DE202" s="255" t="n">
        <v>3.2</v>
      </c>
      <c r="DF202" s="256" t="n">
        <v>348.65</v>
      </c>
      <c r="DG202" s="257" t="n">
        <v>100.0</v>
      </c>
      <c r="DH202" s="258" t="n">
        <v>17.69</v>
      </c>
      <c r="DI202" s="259" t="n">
        <v>90.0</v>
      </c>
      <c r="DJ202" s="260" t="n">
        <v>606.8</v>
      </c>
      <c r="DK202" s="261" t="n">
        <v>100.0</v>
      </c>
      <c r="DL202" s="262" t="n">
        <v>90.5</v>
      </c>
      <c r="DM202" s="263" t="n">
        <v>99.0</v>
      </c>
      <c r="DN202" s="264" t="n">
        <v>17.69</v>
      </c>
      <c r="DO202" s="265" t="n">
        <v>92.0</v>
      </c>
      <c r="DP202" s="266" t="n">
        <v>432414.0</v>
      </c>
      <c r="DQ202" s="267" t="n">
        <v>2093.0</v>
      </c>
      <c r="DR202" s="268" t="n">
        <v>0.49</v>
      </c>
      <c r="DS202" s="269" t="n">
        <v>3069.0</v>
      </c>
      <c r="DT202" s="270" t="n">
        <v>15.0</v>
      </c>
      <c r="DU202" s="271" t="n">
        <v>0.49</v>
      </c>
      <c r="DV202" s="272" t="n">
        <v>6351.0</v>
      </c>
      <c r="DW202" s="273" t="n">
        <v>-9.0</v>
      </c>
      <c r="DX202" s="274" t="n">
        <v>-0.14</v>
      </c>
      <c r="DY202" s="275" t="inlineStr">
        <is>
          <t>PitchBook Research</t>
        </is>
      </c>
      <c r="DZ202" s="276" t="n">
        <v>43493.0</v>
      </c>
      <c r="EA202" s="277" t="inlineStr">
        <is>
          <t/>
        </is>
      </c>
      <c r="EB202" s="278" t="inlineStr">
        <is>
          <t/>
        </is>
      </c>
      <c r="EC202" s="279" t="inlineStr">
        <is>
          <t/>
        </is>
      </c>
      <c r="ED202" s="548">
        <f>HYPERLINK("https://my.pitchbook.com?c=41218-66", "View company online")</f>
      </c>
    </row>
    <row r="203">
      <c r="A203" s="13" t="inlineStr">
        <is>
          <t>42497-74</t>
        </is>
      </c>
      <c r="B203" s="14" t="inlineStr">
        <is>
          <t>Matahari Department Store (IDX: LPPF)</t>
        </is>
      </c>
      <c r="C203" s="15" t="inlineStr">
        <is>
          <t/>
        </is>
      </c>
      <c r="D203" s="16" t="inlineStr">
        <is>
          <t>Matahari</t>
        </is>
      </c>
      <c r="E203" s="17" t="inlineStr">
        <is>
          <t>42497-74</t>
        </is>
      </c>
      <c r="F203" s="18" t="inlineStr">
        <is>
          <t>PT Matahari Department Store Tbk is an Indonesian based retailer company. It offers clothing, homeware, accessories, and beauty products through department stores. Its strategy is focused on stylish offerings, international labels, and exclusive brands. In 2009, Matahari Department Store became a separate entity from Matahari Putra Prima and was renamed Matahari Department Store.</t>
        </is>
      </c>
      <c r="G203" s="19" t="inlineStr">
        <is>
          <t>Consumer Products and Services (B2C)</t>
        </is>
      </c>
      <c r="H203" s="20" t="inlineStr">
        <is>
          <t>Retail</t>
        </is>
      </c>
      <c r="I203" s="21" t="inlineStr">
        <is>
          <t>Department Stores</t>
        </is>
      </c>
      <c r="J203" s="22" t="inlineStr">
        <is>
          <t>Accessories, Clothing, Department Stores*, Personal Products</t>
        </is>
      </c>
      <c r="K203" s="23" t="inlineStr">
        <is>
          <t>SaaS, TMT</t>
        </is>
      </c>
      <c r="L203" s="24" t="inlineStr">
        <is>
          <t>fashion accessories, fashion retail chain, fashion retailer</t>
        </is>
      </c>
      <c r="M203" s="25" t="inlineStr">
        <is>
          <t>Formerly PE-Backed</t>
        </is>
      </c>
      <c r="N203" s="26" t="inlineStr">
        <is>
          <t/>
        </is>
      </c>
      <c r="O203" s="27" t="inlineStr">
        <is>
          <t>Profitable</t>
        </is>
      </c>
      <c r="P203" s="28" t="inlineStr">
        <is>
          <t>Publicly Held</t>
        </is>
      </c>
      <c r="Q203" s="29" t="inlineStr">
        <is>
          <t>Private Equity, Publicly Listed</t>
        </is>
      </c>
      <c r="R203" s="30" t="inlineStr">
        <is>
          <t>www.matahari.co.id</t>
        </is>
      </c>
      <c r="S203" s="31" t="n">
        <v>13463.0</v>
      </c>
      <c r="T203" s="32" t="inlineStr">
        <is>
          <t>2008: 15, 2009: 9700, 2012: 12692, 2013: 13645, 2014: 12586, 2015: 13570, 2016: 13819, 2017: 13965, 2018: 13463</t>
        </is>
      </c>
      <c r="U203" s="33" t="inlineStr">
        <is>
          <t>IDX</t>
        </is>
      </c>
      <c r="V203" s="34" t="inlineStr">
        <is>
          <t>LPPF</t>
        </is>
      </c>
      <c r="W203" s="35" t="n">
        <v>1958.0</v>
      </c>
      <c r="X203" s="36" t="inlineStr">
        <is>
          <t/>
        </is>
      </c>
      <c r="Y203" s="37" t="inlineStr">
        <is>
          <t/>
        </is>
      </c>
      <c r="Z203" s="38" t="inlineStr">
        <is>
          <t/>
        </is>
      </c>
      <c r="AA203" s="39" t="n">
        <v>1263.0</v>
      </c>
      <c r="AB203" s="40" t="n">
        <v>448.98</v>
      </c>
      <c r="AC203" s="41" t="n">
        <v>77.25</v>
      </c>
      <c r="AD203" s="42" t="n">
        <v>1068.15</v>
      </c>
      <c r="AE203" s="43" t="n">
        <v>133.37</v>
      </c>
      <c r="AF203" s="44" t="inlineStr">
        <is>
          <t>FY 2018</t>
        </is>
      </c>
      <c r="AG203" s="45" t="n">
        <v>110.3</v>
      </c>
      <c r="AH203" s="46" t="n">
        <v>855.96</v>
      </c>
      <c r="AI203" s="47" t="n">
        <v>-81.28</v>
      </c>
      <c r="AJ203" s="48" t="inlineStr">
        <is>
          <t>16868-71P</t>
        </is>
      </c>
      <c r="AK203" s="49" t="inlineStr">
        <is>
          <t>Richard Gibson</t>
        </is>
      </c>
      <c r="AL203" s="50" t="inlineStr">
        <is>
          <t>Chief Executive Officer &amp; Vice President Director</t>
        </is>
      </c>
      <c r="AM203" s="51" t="inlineStr">
        <is>
          <t>richard.gibson@matahari.co.id</t>
        </is>
      </c>
      <c r="AN203" s="52" t="inlineStr">
        <is>
          <t>+62 (0)21 150 0838</t>
        </is>
      </c>
      <c r="AO203" s="53" t="inlineStr">
        <is>
          <t>Tangerang, Indonesia</t>
        </is>
      </c>
      <c r="AP203" s="54" t="inlineStr">
        <is>
          <t>Menara Matahari 8th - 15th floor</t>
        </is>
      </c>
      <c r="AQ203" s="55" t="inlineStr">
        <is>
          <t>Ji. Bulevar Palem Raya No. 7, Lippo Karawaci 1200</t>
        </is>
      </c>
      <c r="AR203" s="56" t="inlineStr">
        <is>
          <t>Tangerang</t>
        </is>
      </c>
      <c r="AS203" s="57" t="inlineStr">
        <is>
          <t/>
        </is>
      </c>
      <c r="AT203" s="58" t="inlineStr">
        <is>
          <t>15811</t>
        </is>
      </c>
      <c r="AU203" s="59" t="inlineStr">
        <is>
          <t>Indonesia</t>
        </is>
      </c>
      <c r="AV203" s="60" t="inlineStr">
        <is>
          <t>+62 (0)21 150 0838</t>
        </is>
      </c>
      <c r="AW203" s="61" t="inlineStr">
        <is>
          <t>+62 (0)21 547 5747</t>
        </is>
      </c>
      <c r="AX203" s="62" t="inlineStr">
        <is>
          <t/>
        </is>
      </c>
      <c r="AY203" s="63" t="inlineStr">
        <is>
          <t>Asia</t>
        </is>
      </c>
      <c r="AZ203" s="64" t="inlineStr">
        <is>
          <t>Southeast Asia</t>
        </is>
      </c>
      <c r="BA203" s="65" t="inlineStr">
        <is>
          <t>Argyle Street Management and CVC Capital Partners sold an undisclosed number shares of the company's (IDX:LPPF) common stock, raising $223 million on May 20, 2016.</t>
        </is>
      </c>
      <c r="BB203" s="66" t="inlineStr">
        <is>
          <t>Argyle Street Management, Azentus Capital Management, Fidelity Investments, GIC Private, Lippo Karawaci, Matahari Putra Prima, Oz Management, Schroders, Temasek Holdings, The Goldman Sachs Group</t>
        </is>
      </c>
      <c r="BC203" s="67" t="n">
        <v>10.0</v>
      </c>
      <c r="BD203" s="68" t="inlineStr">
        <is>
          <t/>
        </is>
      </c>
      <c r="BE203" s="69" t="inlineStr">
        <is>
          <t>CVC Capital Partners</t>
        </is>
      </c>
      <c r="BF203" s="70" t="inlineStr">
        <is>
          <t>Aeon Company, American International Group</t>
        </is>
      </c>
      <c r="BG203" s="71" t="inlineStr">
        <is>
          <t>Argyle Street Management(www.asmhk.com), Fidelity Investments(www.fidelity.com), GIC Private(www.gic.com.sg), Lippo Karawaci(www.lippokarawaci.co.id), Matahari Putra Prima(www.hypermart.co.id), Oz Management(www.ozm.com), Schroders(www.schroders.com), Temasek Holdings(www.temasek.com.sg), The Goldman Sachs Group(www.goldmansachs.com)</t>
        </is>
      </c>
      <c r="BH203" s="72" t="inlineStr">
        <is>
          <t>CVC Capital Partners(www.cvc.com)</t>
        </is>
      </c>
      <c r="BI203" s="73" t="inlineStr">
        <is>
          <t>Aeon Company(www.aeon.info)</t>
        </is>
      </c>
      <c r="BJ203" s="74" t="inlineStr">
        <is>
          <t/>
        </is>
      </c>
      <c r="BK203" s="75" t="inlineStr">
        <is>
          <t>CIMB Group Holdings(Debt Financing), Hiswara Bunjamin &amp; Tandjung(Legal Advisor), Makes &amp; Partners(Legal Advisor), Moelis &amp; Company(Advisor: General), Morgan Stanley(Advisor: General), Standard Chartered(Debt Financing), UBS(Advisor: General)</t>
        </is>
      </c>
      <c r="BL203" s="76" t="n">
        <v>40274.0</v>
      </c>
      <c r="BM203" s="77" t="n">
        <v>874.16</v>
      </c>
      <c r="BN203" s="78" t="inlineStr">
        <is>
          <t>Actual</t>
        </is>
      </c>
      <c r="BO203" s="79" t="n">
        <v>892.0</v>
      </c>
      <c r="BP203" s="80" t="inlineStr">
        <is>
          <t>Estimated</t>
        </is>
      </c>
      <c r="BQ203" s="81" t="inlineStr">
        <is>
          <t>Buyout/LBO</t>
        </is>
      </c>
      <c r="BR203" s="82" t="inlineStr">
        <is>
          <t/>
        </is>
      </c>
      <c r="BS203" s="83" t="inlineStr">
        <is>
          <t/>
        </is>
      </c>
      <c r="BT203" s="84" t="inlineStr">
        <is>
          <t>Private Equity</t>
        </is>
      </c>
      <c r="BU203" s="85" t="inlineStr">
        <is>
          <t>Loan</t>
        </is>
      </c>
      <c r="BV203" s="86" t="inlineStr">
        <is>
          <t/>
        </is>
      </c>
      <c r="BW203" s="87" t="inlineStr">
        <is>
          <t/>
        </is>
      </c>
      <c r="BX203" s="88" t="inlineStr">
        <is>
          <t>Completed</t>
        </is>
      </c>
      <c r="BY203" s="89" t="n">
        <v>42510.0</v>
      </c>
      <c r="BZ203" s="90" t="n">
        <v>223.0</v>
      </c>
      <c r="CA203" s="91" t="inlineStr">
        <is>
          <t>Actual</t>
        </is>
      </c>
      <c r="CB203" s="92" t="inlineStr">
        <is>
          <t/>
        </is>
      </c>
      <c r="CC203" s="93" t="inlineStr">
        <is>
          <t/>
        </is>
      </c>
      <c r="CD203" s="94" t="inlineStr">
        <is>
          <t>Secondary Transaction - Open Market</t>
        </is>
      </c>
      <c r="CE203" s="95" t="inlineStr">
        <is>
          <t/>
        </is>
      </c>
      <c r="CF203" s="96" t="inlineStr">
        <is>
          <t/>
        </is>
      </c>
      <c r="CG203" s="97" t="inlineStr">
        <is>
          <t>Private Equity</t>
        </is>
      </c>
      <c r="CH203" s="98" t="inlineStr">
        <is>
          <t/>
        </is>
      </c>
      <c r="CI203" s="99" t="inlineStr">
        <is>
          <t/>
        </is>
      </c>
      <c r="CJ203" s="100" t="inlineStr">
        <is>
          <t/>
        </is>
      </c>
      <c r="CK203" s="101" t="inlineStr">
        <is>
          <t>Completed</t>
        </is>
      </c>
      <c r="CL203" s="102" t="n">
        <v>40274.0</v>
      </c>
      <c r="CM203" s="103" t="inlineStr">
        <is>
          <t/>
        </is>
      </c>
      <c r="CN203" s="104" t="n">
        <v>2.14</v>
      </c>
      <c r="CO203" s="105" t="n">
        <v>100.0</v>
      </c>
      <c r="CP203" s="106" t="n">
        <v>-0.01</v>
      </c>
      <c r="CQ203" s="107" t="n">
        <v>-0.3</v>
      </c>
      <c r="CR203" s="108" t="n">
        <v>0.52</v>
      </c>
      <c r="CS203" s="109" t="n">
        <v>94.0</v>
      </c>
      <c r="CT203" s="110" t="n">
        <v>0.05</v>
      </c>
      <c r="CU203" s="111" t="n">
        <v>64.0</v>
      </c>
      <c r="CV203" s="112" t="inlineStr">
        <is>
          <t/>
        </is>
      </c>
      <c r="CW203" s="113" t="inlineStr">
        <is>
          <t/>
        </is>
      </c>
      <c r="CX203" s="114" t="n">
        <v>0.52</v>
      </c>
      <c r="CY203" s="115" t="n">
        <v>94.0</v>
      </c>
      <c r="CZ203" s="116" t="n">
        <v>0.05</v>
      </c>
      <c r="DA203" s="117" t="n">
        <v>69.0</v>
      </c>
      <c r="DB203" s="118" t="n">
        <v>59.33</v>
      </c>
      <c r="DC203" s="119" t="n">
        <v>99.0</v>
      </c>
      <c r="DD203" s="120" t="n">
        <v>2.48</v>
      </c>
      <c r="DE203" s="121" t="n">
        <v>4.37</v>
      </c>
      <c r="DF203" s="122" t="n">
        <v>27.59</v>
      </c>
      <c r="DG203" s="123" t="n">
        <v>96.0</v>
      </c>
      <c r="DH203" s="124" t="n">
        <v>2.27</v>
      </c>
      <c r="DI203" s="125" t="n">
        <v>65.0</v>
      </c>
      <c r="DJ203" s="126" t="inlineStr">
        <is>
          <t/>
        </is>
      </c>
      <c r="DK203" s="127" t="inlineStr">
        <is>
          <t/>
        </is>
      </c>
      <c r="DL203" s="128" t="n">
        <v>27.59</v>
      </c>
      <c r="DM203" s="129" t="n">
        <v>95.0</v>
      </c>
      <c r="DN203" s="130" t="n">
        <v>2.27</v>
      </c>
      <c r="DO203" s="131" t="n">
        <v>66.0</v>
      </c>
      <c r="DP203" s="132" t="inlineStr">
        <is>
          <t/>
        </is>
      </c>
      <c r="DQ203" s="133" t="inlineStr">
        <is>
          <t/>
        </is>
      </c>
      <c r="DR203" s="134" t="inlineStr">
        <is>
          <t/>
        </is>
      </c>
      <c r="DS203" s="135" t="n">
        <v>935.0</v>
      </c>
      <c r="DT203" s="136" t="n">
        <v>5.0</v>
      </c>
      <c r="DU203" s="137" t="n">
        <v>0.54</v>
      </c>
      <c r="DV203" s="138" t="n">
        <v>814.0</v>
      </c>
      <c r="DW203" s="139" t="n">
        <v>-2.0</v>
      </c>
      <c r="DX203" s="140" t="n">
        <v>-0.25</v>
      </c>
      <c r="DY203" s="141" t="inlineStr">
        <is>
          <t>PitchBook Research</t>
        </is>
      </c>
      <c r="DZ203" s="142" t="n">
        <v>43491.0</v>
      </c>
      <c r="EA203" s="143" t="n">
        <v>3367.32</v>
      </c>
      <c r="EB203" s="144" t="n">
        <v>41710.0</v>
      </c>
      <c r="EC203" s="145" t="inlineStr">
        <is>
          <t>Secondary Transaction - Private</t>
        </is>
      </c>
      <c r="ED203" s="547">
        <f>HYPERLINK("https://my.pitchbook.com?c=42497-74", "View company online")</f>
      </c>
    </row>
    <row r="204">
      <c r="A204" s="147" t="inlineStr">
        <is>
          <t>160596-46</t>
        </is>
      </c>
      <c r="B204" s="148" t="inlineStr">
        <is>
          <t>Osklen</t>
        </is>
      </c>
      <c r="C204" s="149" t="inlineStr">
        <is>
          <t/>
        </is>
      </c>
      <c r="D204" s="150" t="inlineStr">
        <is>
          <t/>
        </is>
      </c>
      <c r="E204" s="151" t="inlineStr">
        <is>
          <t>160596-46</t>
        </is>
      </c>
      <c r="F204" s="152" t="inlineStr">
        <is>
          <t>Operator of a fashion brand. The company design and manufacture winter sportswear and luxury segment clothing.</t>
        </is>
      </c>
      <c r="G204" s="153" t="inlineStr">
        <is>
          <t>Consumer Products and Services (B2C)</t>
        </is>
      </c>
      <c r="H204" s="154" t="inlineStr">
        <is>
          <t>Apparel and Accessories</t>
        </is>
      </c>
      <c r="I204" s="155" t="inlineStr">
        <is>
          <t>Clothing</t>
        </is>
      </c>
      <c r="J204" s="156" t="inlineStr">
        <is>
          <t>Clothing*, Other Apparel</t>
        </is>
      </c>
      <c r="K204" s="157" t="inlineStr">
        <is>
          <t>Manufacturing</t>
        </is>
      </c>
      <c r="L204" s="158" t="inlineStr">
        <is>
          <t>fashion branding, fashionable clothing, sportswear designer, sportswear manufacturing, winter sportswear</t>
        </is>
      </c>
      <c r="M204" s="159" t="inlineStr">
        <is>
          <t>Corporate Backed or Acquired</t>
        </is>
      </c>
      <c r="N204" s="160" t="inlineStr">
        <is>
          <t/>
        </is>
      </c>
      <c r="O204" s="161" t="inlineStr">
        <is>
          <t>Generating Revenue</t>
        </is>
      </c>
      <c r="P204" s="162" t="inlineStr">
        <is>
          <t>Privately Held (backing)</t>
        </is>
      </c>
      <c r="Q204" s="163" t="inlineStr">
        <is>
          <t>M&amp;A</t>
        </is>
      </c>
      <c r="R204" s="164" t="inlineStr">
        <is>
          <t>www.osklen.com</t>
        </is>
      </c>
      <c r="S204" s="165" t="inlineStr">
        <is>
          <t/>
        </is>
      </c>
      <c r="T204" s="166" t="inlineStr">
        <is>
          <t/>
        </is>
      </c>
      <c r="U204" s="167" t="inlineStr">
        <is>
          <t/>
        </is>
      </c>
      <c r="V204" s="168" t="inlineStr">
        <is>
          <t/>
        </is>
      </c>
      <c r="W204" s="169" t="n">
        <v>1990.0</v>
      </c>
      <c r="X204" s="170" t="inlineStr">
        <is>
          <t/>
        </is>
      </c>
      <c r="Y204" s="171" t="inlineStr">
        <is>
          <t/>
        </is>
      </c>
      <c r="Z204" s="172" t="inlineStr">
        <is>
          <t/>
        </is>
      </c>
      <c r="AA204" s="173" t="n">
        <v>1238.73</v>
      </c>
      <c r="AB204" s="174" t="inlineStr">
        <is>
          <t/>
        </is>
      </c>
      <c r="AC204" s="175" t="inlineStr">
        <is>
          <t/>
        </is>
      </c>
      <c r="AD204" s="176" t="inlineStr">
        <is>
          <t/>
        </is>
      </c>
      <c r="AE204" s="177" t="inlineStr">
        <is>
          <t/>
        </is>
      </c>
      <c r="AF204" s="178" t="inlineStr">
        <is>
          <t>FY 2015</t>
        </is>
      </c>
      <c r="AG204" s="179" t="inlineStr">
        <is>
          <t/>
        </is>
      </c>
      <c r="AH204" s="180" t="inlineStr">
        <is>
          <t/>
        </is>
      </c>
      <c r="AI204" s="181" t="inlineStr">
        <is>
          <t/>
        </is>
      </c>
      <c r="AJ204" s="182" t="inlineStr">
        <is>
          <t>166353-94P</t>
        </is>
      </c>
      <c r="AK204" s="183" t="inlineStr">
        <is>
          <t>Oskar Metsavaht</t>
        </is>
      </c>
      <c r="AL204" s="184" t="inlineStr">
        <is>
          <t>Founder &amp; Style Director</t>
        </is>
      </c>
      <c r="AM204" s="185" t="inlineStr">
        <is>
          <t>oskar@osklen.com</t>
        </is>
      </c>
      <c r="AN204" s="186" t="inlineStr">
        <is>
          <t>+55 11 3083 7977</t>
        </is>
      </c>
      <c r="AO204" s="187" t="inlineStr">
        <is>
          <t>Sao Paulo, Brazil</t>
        </is>
      </c>
      <c r="AP204" s="188" t="inlineStr">
        <is>
          <t>Rua Oscar Freire 645</t>
        </is>
      </c>
      <c r="AQ204" s="189" t="inlineStr">
        <is>
          <t/>
        </is>
      </c>
      <c r="AR204" s="190" t="inlineStr">
        <is>
          <t>Sao Paulo</t>
        </is>
      </c>
      <c r="AS204" s="191" t="inlineStr">
        <is>
          <t/>
        </is>
      </c>
      <c r="AT204" s="192" t="inlineStr">
        <is>
          <t>20940</t>
        </is>
      </c>
      <c r="AU204" s="193" t="inlineStr">
        <is>
          <t>Brazil</t>
        </is>
      </c>
      <c r="AV204" s="194" t="inlineStr">
        <is>
          <t>+55 11 3083 7977</t>
        </is>
      </c>
      <c r="AW204" s="195" t="inlineStr">
        <is>
          <t/>
        </is>
      </c>
      <c r="AX204" s="196" t="inlineStr">
        <is>
          <t>online@osklen.com.br</t>
        </is>
      </c>
      <c r="AY204" s="197" t="inlineStr">
        <is>
          <t>Americas</t>
        </is>
      </c>
      <c r="AZ204" s="198" t="inlineStr">
        <is>
          <t>South America</t>
        </is>
      </c>
      <c r="BA204" s="199" t="inlineStr">
        <is>
          <t>A 30% stake in the company was acquired by Alpargatas for BRL 159.072 million on March 4, 2014.</t>
        </is>
      </c>
      <c r="BB204" s="200" t="inlineStr">
        <is>
          <t>Alpargatas</t>
        </is>
      </c>
      <c r="BC204" s="201" t="n">
        <v>1.0</v>
      </c>
      <c r="BD204" s="202" t="inlineStr">
        <is>
          <t/>
        </is>
      </c>
      <c r="BE204" s="203" t="inlineStr">
        <is>
          <t/>
        </is>
      </c>
      <c r="BF204" s="204" t="inlineStr">
        <is>
          <t/>
        </is>
      </c>
      <c r="BG204" s="205" t="inlineStr">
        <is>
          <t>Alpargatas(www.alpargatas.com.br)</t>
        </is>
      </c>
      <c r="BH204" s="206" t="inlineStr">
        <is>
          <t/>
        </is>
      </c>
      <c r="BI204" s="207" t="inlineStr">
        <is>
          <t/>
        </is>
      </c>
      <c r="BJ204" s="208" t="inlineStr">
        <is>
          <t/>
        </is>
      </c>
      <c r="BK204" s="209" t="inlineStr">
        <is>
          <t/>
        </is>
      </c>
      <c r="BL204" s="210" t="n">
        <v>41337.0</v>
      </c>
      <c r="BM204" s="211" t="n">
        <v>34.02</v>
      </c>
      <c r="BN204" s="212" t="inlineStr">
        <is>
          <t>Actual</t>
        </is>
      </c>
      <c r="BO204" s="213" t="n">
        <v>113.39</v>
      </c>
      <c r="BP204" s="214" t="inlineStr">
        <is>
          <t>Estimated</t>
        </is>
      </c>
      <c r="BQ204" s="215" t="inlineStr">
        <is>
          <t>Corporate</t>
        </is>
      </c>
      <c r="BR204" s="216" t="inlineStr">
        <is>
          <t>Corporate</t>
        </is>
      </c>
      <c r="BS204" s="217" t="inlineStr">
        <is>
          <t/>
        </is>
      </c>
      <c r="BT204" s="218" t="inlineStr">
        <is>
          <t>Corporate</t>
        </is>
      </c>
      <c r="BU204" s="219" t="inlineStr">
        <is>
          <t/>
        </is>
      </c>
      <c r="BV204" s="220" t="inlineStr">
        <is>
          <t/>
        </is>
      </c>
      <c r="BW204" s="221" t="inlineStr">
        <is>
          <t/>
        </is>
      </c>
      <c r="BX204" s="222" t="inlineStr">
        <is>
          <t>Completed</t>
        </is>
      </c>
      <c r="BY204" s="223" t="n">
        <v>41702.0</v>
      </c>
      <c r="BZ204" s="224" t="n">
        <v>39.32</v>
      </c>
      <c r="CA204" s="225" t="inlineStr">
        <is>
          <t>Actual</t>
        </is>
      </c>
      <c r="CB204" s="226" t="n">
        <v>131.08</v>
      </c>
      <c r="CC204" s="227" t="inlineStr">
        <is>
          <t>Estimated</t>
        </is>
      </c>
      <c r="CD204" s="228" t="inlineStr">
        <is>
          <t>Corporate</t>
        </is>
      </c>
      <c r="CE204" s="229" t="inlineStr">
        <is>
          <t>Corporate</t>
        </is>
      </c>
      <c r="CF204" s="230" t="inlineStr">
        <is>
          <t/>
        </is>
      </c>
      <c r="CG204" s="231" t="inlineStr">
        <is>
          <t>Corporate</t>
        </is>
      </c>
      <c r="CH204" s="232" t="inlineStr">
        <is>
          <t/>
        </is>
      </c>
      <c r="CI204" s="233" t="inlineStr">
        <is>
          <t/>
        </is>
      </c>
      <c r="CJ204" s="234" t="inlineStr">
        <is>
          <t/>
        </is>
      </c>
      <c r="CK204" s="235" t="inlineStr">
        <is>
          <t>Completed</t>
        </is>
      </c>
      <c r="CL204" s="236" t="inlineStr">
        <is>
          <t/>
        </is>
      </c>
      <c r="CM204" s="237" t="inlineStr">
        <is>
          <t/>
        </is>
      </c>
      <c r="CN204" s="238" t="n">
        <v>0.09</v>
      </c>
      <c r="CO204" s="239" t="n">
        <v>84.0</v>
      </c>
      <c r="CP204" s="240" t="n">
        <v>0.0</v>
      </c>
      <c r="CQ204" s="241" t="n">
        <v>3.62</v>
      </c>
      <c r="CR204" s="242" t="n">
        <v>0.14</v>
      </c>
      <c r="CS204" s="243" t="n">
        <v>88.0</v>
      </c>
      <c r="CT204" s="244" t="n">
        <v>0.04</v>
      </c>
      <c r="CU204" s="245" t="n">
        <v>62.0</v>
      </c>
      <c r="CV204" s="246" t="n">
        <v>0.0</v>
      </c>
      <c r="CW204" s="247" t="n">
        <v>33.0</v>
      </c>
      <c r="CX204" s="248" t="n">
        <v>0.27</v>
      </c>
      <c r="CY204" s="249" t="n">
        <v>90.0</v>
      </c>
      <c r="CZ204" s="250" t="n">
        <v>0.04</v>
      </c>
      <c r="DA204" s="251" t="n">
        <v>67.0</v>
      </c>
      <c r="DB204" s="252" t="n">
        <v>8.65</v>
      </c>
      <c r="DC204" s="253" t="n">
        <v>89.0</v>
      </c>
      <c r="DD204" s="254" t="n">
        <v>1.78</v>
      </c>
      <c r="DE204" s="255" t="n">
        <v>25.84</v>
      </c>
      <c r="DF204" s="256" t="n">
        <v>14.68</v>
      </c>
      <c r="DG204" s="257" t="n">
        <v>92.0</v>
      </c>
      <c r="DH204" s="258" t="n">
        <v>2.62</v>
      </c>
      <c r="DI204" s="259" t="n">
        <v>68.0</v>
      </c>
      <c r="DJ204" s="260" t="n">
        <v>0.72</v>
      </c>
      <c r="DK204" s="261" t="n">
        <v>43.0</v>
      </c>
      <c r="DL204" s="262" t="n">
        <v>28.65</v>
      </c>
      <c r="DM204" s="263" t="n">
        <v>95.0</v>
      </c>
      <c r="DN204" s="264" t="n">
        <v>2.62</v>
      </c>
      <c r="DO204" s="265" t="n">
        <v>69.0</v>
      </c>
      <c r="DP204" s="266" t="n">
        <v>505.0</v>
      </c>
      <c r="DQ204" s="267" t="n">
        <v>54.0</v>
      </c>
      <c r="DR204" s="268" t="n">
        <v>11.97</v>
      </c>
      <c r="DS204" s="269" t="n">
        <v>973.0</v>
      </c>
      <c r="DT204" s="270" t="n">
        <v>3.0</v>
      </c>
      <c r="DU204" s="271" t="n">
        <v>0.31</v>
      </c>
      <c r="DV204" s="272" t="n">
        <v>938.0</v>
      </c>
      <c r="DW204" s="273" t="n">
        <v>0.0</v>
      </c>
      <c r="DX204" s="274" t="n">
        <v>0.0</v>
      </c>
      <c r="DY204" s="275" t="inlineStr">
        <is>
          <t>PitchBook Research</t>
        </is>
      </c>
      <c r="DZ204" s="276" t="n">
        <v>43351.0</v>
      </c>
      <c r="EA204" s="277" t="n">
        <v>131.08</v>
      </c>
      <c r="EB204" s="278" t="n">
        <v>41702.0</v>
      </c>
      <c r="EC204" s="279" t="inlineStr">
        <is>
          <t>Corporate</t>
        </is>
      </c>
      <c r="ED204" s="548">
        <f>HYPERLINK("https://my.pitchbook.com?c=160596-46", "View company online")</f>
      </c>
    </row>
    <row r="205">
      <c r="A205" s="13" t="inlineStr">
        <is>
          <t>55488-97</t>
        </is>
      </c>
      <c r="B205" s="14" t="inlineStr">
        <is>
          <t>Cole National</t>
        </is>
      </c>
      <c r="C205" s="15" t="inlineStr">
        <is>
          <t/>
        </is>
      </c>
      <c r="D205" s="16" t="inlineStr">
        <is>
          <t>CNC</t>
        </is>
      </c>
      <c r="E205" s="17" t="inlineStr">
        <is>
          <t>55488-97</t>
        </is>
      </c>
      <c r="F205" s="18" t="inlineStr">
        <is>
          <t>Provider of optical care products. The company is engaged in providing optical care products and vision care services like prescription eyeglasses, contact lenses and accessories, and other personalized gifts through its various retail stores and franchises and operate 2,197 locations in the U.S., Canada, Puerto Rico and the Virgin Islands.</t>
        </is>
      </c>
      <c r="G205" s="19" t="inlineStr">
        <is>
          <t>Consumer Products and Services (B2C)</t>
        </is>
      </c>
      <c r="H205" s="20" t="inlineStr">
        <is>
          <t>Apparel and Accessories</t>
        </is>
      </c>
      <c r="I205" s="21" t="inlineStr">
        <is>
          <t>Accessories</t>
        </is>
      </c>
      <c r="J205" s="22" t="inlineStr">
        <is>
          <t>Accessories*, Other Retail</t>
        </is>
      </c>
      <c r="K205" s="23" t="inlineStr">
        <is>
          <t/>
        </is>
      </c>
      <c r="L205" s="24" t="inlineStr">
        <is>
          <t>custom eyeglasses, fashion retail stores, hybrid contact lens, optical retailer, vision care services</t>
        </is>
      </c>
      <c r="M205" s="25" t="inlineStr">
        <is>
          <t>Formerly PE-Backed</t>
        </is>
      </c>
      <c r="N205" s="26" t="n">
        <v>190.0</v>
      </c>
      <c r="O205" s="27" t="inlineStr">
        <is>
          <t>Generating Revenue</t>
        </is>
      </c>
      <c r="P205" s="28" t="inlineStr">
        <is>
          <t>Acquired/Merged</t>
        </is>
      </c>
      <c r="Q205" s="29" t="inlineStr">
        <is>
          <t>Debt Financed, Private Equity, Publicly Listed</t>
        </is>
      </c>
      <c r="R205" s="30" t="inlineStr">
        <is>
          <t>www.colenational.com</t>
        </is>
      </c>
      <c r="S205" s="31" t="n">
        <v>13709.0</v>
      </c>
      <c r="T205" s="32" t="inlineStr">
        <is>
          <t>1995: 5000, 1996: 5000, 1997: 8600, 1998: 9200, 1999: 9200, 2000: 12800, 2001: 13800, 2002: 17000, 2003: 15516, 2004: 13709</t>
        </is>
      </c>
      <c r="U205" s="33" t="inlineStr">
        <is>
          <t/>
        </is>
      </c>
      <c r="V205" s="34" t="inlineStr">
        <is>
          <t/>
        </is>
      </c>
      <c r="W205" s="35" t="n">
        <v>1944.0</v>
      </c>
      <c r="X205" s="36" t="inlineStr">
        <is>
          <t/>
        </is>
      </c>
      <c r="Y205" s="37" t="inlineStr">
        <is>
          <t/>
        </is>
      </c>
      <c r="Z205" s="38" t="inlineStr">
        <is>
          <t/>
        </is>
      </c>
      <c r="AA205" s="39" t="n">
        <v>1226.28</v>
      </c>
      <c r="AB205" s="40" t="n">
        <v>769.78</v>
      </c>
      <c r="AC205" s="41" t="n">
        <v>1.69</v>
      </c>
      <c r="AD205" s="42" t="n">
        <v>674.78</v>
      </c>
      <c r="AE205" s="43" t="n">
        <v>43.23</v>
      </c>
      <c r="AF205" s="44" t="inlineStr">
        <is>
          <t>TTM 2Q2005</t>
        </is>
      </c>
      <c r="AG205" s="45" t="inlineStr">
        <is>
          <t/>
        </is>
      </c>
      <c r="AH205" s="46" t="inlineStr">
        <is>
          <t/>
        </is>
      </c>
      <c r="AI205" s="47" t="inlineStr">
        <is>
          <t/>
        </is>
      </c>
      <c r="AJ205" s="48" t="inlineStr">
        <is>
          <t>175277-26P</t>
        </is>
      </c>
      <c r="AK205" s="49" t="inlineStr">
        <is>
          <t>Joseph Cole</t>
        </is>
      </c>
      <c r="AL205" s="50" t="inlineStr">
        <is>
          <t>Founder</t>
        </is>
      </c>
      <c r="AM205" s="51" t="inlineStr">
        <is>
          <t/>
        </is>
      </c>
      <c r="AN205" s="52" t="inlineStr">
        <is>
          <t/>
        </is>
      </c>
      <c r="AO205" s="53" t="inlineStr">
        <is>
          <t>Twinsburg, OH</t>
        </is>
      </c>
      <c r="AP205" s="54" t="inlineStr">
        <is>
          <t>1925 Enterprise Parkway</t>
        </is>
      </c>
      <c r="AQ205" s="55" t="inlineStr">
        <is>
          <t/>
        </is>
      </c>
      <c r="AR205" s="56" t="inlineStr">
        <is>
          <t>Twinsburg</t>
        </is>
      </c>
      <c r="AS205" s="57" t="inlineStr">
        <is>
          <t>Ohio</t>
        </is>
      </c>
      <c r="AT205" s="58" t="inlineStr">
        <is>
          <t>44087</t>
        </is>
      </c>
      <c r="AU205" s="59" t="inlineStr">
        <is>
          <t>United States</t>
        </is>
      </c>
      <c r="AV205" s="60" t="inlineStr">
        <is>
          <t/>
        </is>
      </c>
      <c r="AW205" s="61" t="inlineStr">
        <is>
          <t/>
        </is>
      </c>
      <c r="AX205" s="62" t="inlineStr">
        <is>
          <t/>
        </is>
      </c>
      <c r="AY205" s="63" t="inlineStr">
        <is>
          <t>Americas</t>
        </is>
      </c>
      <c r="AZ205" s="64" t="inlineStr">
        <is>
          <t>North America</t>
        </is>
      </c>
      <c r="BA205" s="65" t="inlineStr">
        <is>
          <t>The company was acquired by Luxottica Group (MIL: LUX) for $401 million on October 1, 2004. This acquisition is a natural strategic move for Luxottica as the addition of Cole National retail operations and brands will give it the opportunity to enhance it's North American retail market offerings in product categories complementary to our LensCrafters and Sunglass Hut International operations. The company is no longer actively tracked by PitchBook.</t>
        </is>
      </c>
      <c r="BB205" s="66" t="inlineStr">
        <is>
          <t/>
        </is>
      </c>
      <c r="BC205" s="67" t="inlineStr">
        <is>
          <t/>
        </is>
      </c>
      <c r="BD205" s="68" t="inlineStr">
        <is>
          <t>Luxottica Group</t>
        </is>
      </c>
      <c r="BE205" s="69" t="inlineStr">
        <is>
          <t>Kohlberg Kravis Roberts</t>
        </is>
      </c>
      <c r="BF205" s="70" t="inlineStr">
        <is>
          <t/>
        </is>
      </c>
      <c r="BG205" s="71" t="inlineStr">
        <is>
          <t/>
        </is>
      </c>
      <c r="BH205" s="72" t="inlineStr">
        <is>
          <t>Kohlberg Kravis Roberts(www.kkr.com)</t>
        </is>
      </c>
      <c r="BI205" s="73" t="inlineStr">
        <is>
          <t/>
        </is>
      </c>
      <c r="BJ205" s="74" t="inlineStr">
        <is>
          <t>League Park Advisors(Advisor: General), Western Reserve Partners(Advisor: General)</t>
        </is>
      </c>
      <c r="BK205" s="75" t="inlineStr">
        <is>
          <t>Apollo Global Management(Debt Financing), Bank of America Merrill Lynch(Debt Financing), Deloitte(Advisor: General), Lehman Brothers(Advisor: General), M&amp;A Capital(Advisor: General), Wachtell, Lipton, Rosen &amp; Katz(Legal Advisor)</t>
        </is>
      </c>
      <c r="BL205" s="76" t="n">
        <v>30895.0</v>
      </c>
      <c r="BM205" s="77" t="n">
        <v>318.0</v>
      </c>
      <c r="BN205" s="78" t="inlineStr">
        <is>
          <t>Actual</t>
        </is>
      </c>
      <c r="BO205" s="79" t="n">
        <v>318.0</v>
      </c>
      <c r="BP205" s="80" t="inlineStr">
        <is>
          <t/>
        </is>
      </c>
      <c r="BQ205" s="81" t="inlineStr">
        <is>
          <t>Buyout/LBO</t>
        </is>
      </c>
      <c r="BR205" s="82" t="inlineStr">
        <is>
          <t/>
        </is>
      </c>
      <c r="BS205" s="83" t="inlineStr">
        <is>
          <t/>
        </is>
      </c>
      <c r="BT205" s="84" t="inlineStr">
        <is>
          <t>Private Equity</t>
        </is>
      </c>
      <c r="BU205" s="85" t="inlineStr">
        <is>
          <t/>
        </is>
      </c>
      <c r="BV205" s="86" t="inlineStr">
        <is>
          <t/>
        </is>
      </c>
      <c r="BW205" s="87" t="inlineStr">
        <is>
          <t/>
        </is>
      </c>
      <c r="BX205" s="88" t="inlineStr">
        <is>
          <t>Completed</t>
        </is>
      </c>
      <c r="BY205" s="89" t="n">
        <v>38261.0</v>
      </c>
      <c r="BZ205" s="90" t="n">
        <v>401.0</v>
      </c>
      <c r="CA205" s="91" t="inlineStr">
        <is>
          <t>Actual</t>
        </is>
      </c>
      <c r="CB205" s="92" t="n">
        <v>401.0</v>
      </c>
      <c r="CC205" s="93" t="inlineStr">
        <is>
          <t>Actual</t>
        </is>
      </c>
      <c r="CD205" s="94" t="inlineStr">
        <is>
          <t>Merger/Acquisition</t>
        </is>
      </c>
      <c r="CE205" s="95" t="inlineStr">
        <is>
          <t/>
        </is>
      </c>
      <c r="CF205" s="96" t="inlineStr">
        <is>
          <t/>
        </is>
      </c>
      <c r="CG205" s="97" t="inlineStr">
        <is>
          <t>Corporate</t>
        </is>
      </c>
      <c r="CH205" s="98" t="inlineStr">
        <is>
          <t/>
        </is>
      </c>
      <c r="CI205" s="99" t="inlineStr">
        <is>
          <t/>
        </is>
      </c>
      <c r="CJ205" s="100" t="inlineStr">
        <is>
          <t/>
        </is>
      </c>
      <c r="CK205" s="101" t="inlineStr">
        <is>
          <t>Completed</t>
        </is>
      </c>
      <c r="CL205" s="102" t="inlineStr">
        <is>
          <t/>
        </is>
      </c>
      <c r="CM205" s="103" t="n">
        <v>190.0</v>
      </c>
      <c r="CN205" s="104" t="inlineStr">
        <is>
          <t/>
        </is>
      </c>
      <c r="CO205" s="105" t="inlineStr">
        <is>
          <t/>
        </is>
      </c>
      <c r="CP205" s="106" t="inlineStr">
        <is>
          <t/>
        </is>
      </c>
      <c r="CQ205" s="107" t="inlineStr">
        <is>
          <t/>
        </is>
      </c>
      <c r="CR205" s="108" t="inlineStr">
        <is>
          <t/>
        </is>
      </c>
      <c r="CS205" s="109" t="inlineStr">
        <is>
          <t/>
        </is>
      </c>
      <c r="CT205" s="110" t="inlineStr">
        <is>
          <t/>
        </is>
      </c>
      <c r="CU205" s="111" t="inlineStr">
        <is>
          <t/>
        </is>
      </c>
      <c r="CV205" s="112" t="inlineStr">
        <is>
          <t/>
        </is>
      </c>
      <c r="CW205" s="113" t="inlineStr">
        <is>
          <t/>
        </is>
      </c>
      <c r="CX205" s="114" t="inlineStr">
        <is>
          <t/>
        </is>
      </c>
      <c r="CY205" s="115" t="inlineStr">
        <is>
          <t/>
        </is>
      </c>
      <c r="CZ205" s="116" t="inlineStr">
        <is>
          <t/>
        </is>
      </c>
      <c r="DA205" s="117" t="inlineStr">
        <is>
          <t/>
        </is>
      </c>
      <c r="DB205" s="118" t="inlineStr">
        <is>
          <t/>
        </is>
      </c>
      <c r="DC205" s="119" t="inlineStr">
        <is>
          <t/>
        </is>
      </c>
      <c r="DD205" s="120" t="inlineStr">
        <is>
          <t/>
        </is>
      </c>
      <c r="DE205" s="121" t="inlineStr">
        <is>
          <t/>
        </is>
      </c>
      <c r="DF205" s="122" t="inlineStr">
        <is>
          <t/>
        </is>
      </c>
      <c r="DG205" s="123" t="inlineStr">
        <is>
          <t/>
        </is>
      </c>
      <c r="DH205" s="124" t="inlineStr">
        <is>
          <t/>
        </is>
      </c>
      <c r="DI205" s="125" t="inlineStr">
        <is>
          <t/>
        </is>
      </c>
      <c r="DJ205" s="126" t="inlineStr">
        <is>
          <t/>
        </is>
      </c>
      <c r="DK205" s="127" t="inlineStr">
        <is>
          <t/>
        </is>
      </c>
      <c r="DL205" s="128" t="inlineStr">
        <is>
          <t/>
        </is>
      </c>
      <c r="DM205" s="129" t="inlineStr">
        <is>
          <t/>
        </is>
      </c>
      <c r="DN205" s="130" t="inlineStr">
        <is>
          <t/>
        </is>
      </c>
      <c r="DO205" s="131" t="inlineStr">
        <is>
          <t/>
        </is>
      </c>
      <c r="DP205" s="132" t="inlineStr">
        <is>
          <t/>
        </is>
      </c>
      <c r="DQ205" s="133" t="inlineStr">
        <is>
          <t/>
        </is>
      </c>
      <c r="DR205" s="134" t="inlineStr">
        <is>
          <t/>
        </is>
      </c>
      <c r="DS205" s="135" t="inlineStr">
        <is>
          <t/>
        </is>
      </c>
      <c r="DT205" s="136" t="inlineStr">
        <is>
          <t/>
        </is>
      </c>
      <c r="DU205" s="137" t="inlineStr">
        <is>
          <t/>
        </is>
      </c>
      <c r="DV205" s="138" t="inlineStr">
        <is>
          <t/>
        </is>
      </c>
      <c r="DW205" s="139" t="inlineStr">
        <is>
          <t/>
        </is>
      </c>
      <c r="DX205" s="140" t="inlineStr">
        <is>
          <t/>
        </is>
      </c>
      <c r="DY205" s="141" t="inlineStr">
        <is>
          <t>PitchBook Research</t>
        </is>
      </c>
      <c r="DZ205" s="142" t="n">
        <v>43480.0</v>
      </c>
      <c r="EA205" s="143" t="n">
        <v>401.0</v>
      </c>
      <c r="EB205" s="144" t="n">
        <v>38261.0</v>
      </c>
      <c r="EC205" s="145" t="inlineStr">
        <is>
          <t>Merger/Acquisition</t>
        </is>
      </c>
      <c r="ED205" s="547">
        <f>HYPERLINK("https://my.pitchbook.com?c=55488-97", "View company online")</f>
      </c>
    </row>
    <row r="206">
      <c r="A206" s="147" t="inlineStr">
        <is>
          <t>165782-35</t>
        </is>
      </c>
      <c r="B206" s="148" t="inlineStr">
        <is>
          <t>Ningbo Shanshan (SHG: 600884)</t>
        </is>
      </c>
      <c r="C206" s="149" t="inlineStr">
        <is>
          <t/>
        </is>
      </c>
      <c r="D206" s="150" t="inlineStr">
        <is>
          <t/>
        </is>
      </c>
      <c r="E206" s="151" t="inlineStr">
        <is>
          <t>165782-35</t>
        </is>
      </c>
      <c r="F206" s="152" t="inlineStr">
        <is>
          <t>Ningbo Shanshan Co Ltd is a China-based company. Its businesses include the research, development, and production of lithium-ion battery materials, construction of charging piles, new energy vehicle operation and energy management services and apparel, venture capital, and financial leasing. The products include lithium battery cathode materials, anode materials, and electrolytes.</t>
        </is>
      </c>
      <c r="G206" s="153" t="inlineStr">
        <is>
          <t>Consumer Products and Services (B2C)</t>
        </is>
      </c>
      <c r="H206" s="154" t="inlineStr">
        <is>
          <t>Apparel and Accessories</t>
        </is>
      </c>
      <c r="I206" s="155" t="inlineStr">
        <is>
          <t>Clothing</t>
        </is>
      </c>
      <c r="J206" s="156" t="inlineStr">
        <is>
          <t>Clothing*</t>
        </is>
      </c>
      <c r="K206" s="157" t="inlineStr">
        <is>
          <t/>
        </is>
      </c>
      <c r="L206" s="158" t="inlineStr">
        <is>
          <t>casual wear, shirts, suits</t>
        </is>
      </c>
      <c r="M206" s="159" t="inlineStr">
        <is>
          <t>Corporation</t>
        </is>
      </c>
      <c r="N206" s="160" t="inlineStr">
        <is>
          <t/>
        </is>
      </c>
      <c r="O206" s="161" t="inlineStr">
        <is>
          <t>Profitable</t>
        </is>
      </c>
      <c r="P206" s="162" t="inlineStr">
        <is>
          <t>Publicly Held</t>
        </is>
      </c>
      <c r="Q206" s="163" t="inlineStr">
        <is>
          <t>Publicly Listed</t>
        </is>
      </c>
      <c r="R206" s="164" t="inlineStr">
        <is>
          <t>www.ssgf.net</t>
        </is>
      </c>
      <c r="S206" s="165" t="n">
        <v>4433.0</v>
      </c>
      <c r="T206" s="166" t="inlineStr">
        <is>
          <t>2000: 3508, 2001: 2209, 2002: 2154, 2003: 2685, 2004: 3608, 2005: 3786, 2006: 4028, 2007: 5767, 2008: 6485, 2009: 7536, 2010: 8398, 2011: 8867, 2012: 9393, 2013: 9135, 2014: 3059, 2015: 2638, 2016: 3679, 2017: 4433</t>
        </is>
      </c>
      <c r="U206" s="167" t="inlineStr">
        <is>
          <t>SHG</t>
        </is>
      </c>
      <c r="V206" s="168" t="inlineStr">
        <is>
          <t>600884</t>
        </is>
      </c>
      <c r="W206" s="169" t="n">
        <v>1989.0</v>
      </c>
      <c r="X206" s="170" t="inlineStr">
        <is>
          <t/>
        </is>
      </c>
      <c r="Y206" s="171" t="inlineStr">
        <is>
          <t/>
        </is>
      </c>
      <c r="Z206" s="172" t="inlineStr">
        <is>
          <t/>
        </is>
      </c>
      <c r="AA206" s="173" t="n">
        <v>1224.59</v>
      </c>
      <c r="AB206" s="174" t="n">
        <v>305.33</v>
      </c>
      <c r="AC206" s="175" t="n">
        <v>226.66</v>
      </c>
      <c r="AD206" s="176" t="n">
        <v>3728.81</v>
      </c>
      <c r="AE206" s="177" t="n">
        <v>377.08</v>
      </c>
      <c r="AF206" s="178" t="inlineStr">
        <is>
          <t>TTM 3Q2018</t>
        </is>
      </c>
      <c r="AG206" s="179" t="n">
        <v>338.91</v>
      </c>
      <c r="AH206" s="180" t="n">
        <v>2634.24</v>
      </c>
      <c r="AI206" s="181" t="n">
        <v>392.2</v>
      </c>
      <c r="AJ206" s="182" t="inlineStr">
        <is>
          <t/>
        </is>
      </c>
      <c r="AK206" s="183" t="inlineStr">
        <is>
          <t/>
        </is>
      </c>
      <c r="AL206" s="184" t="inlineStr">
        <is>
          <t/>
        </is>
      </c>
      <c r="AM206" s="185" t="inlineStr">
        <is>
          <t/>
        </is>
      </c>
      <c r="AN206" s="186" t="inlineStr">
        <is>
          <t/>
        </is>
      </c>
      <c r="AO206" s="187" t="inlineStr">
        <is>
          <t>NINGBO, China</t>
        </is>
      </c>
      <c r="AP206" s="188" t="inlineStr">
        <is>
          <t>8F, Shanshan Business Mansion</t>
        </is>
      </c>
      <c r="AQ206" s="189" t="inlineStr">
        <is>
          <t/>
        </is>
      </c>
      <c r="AR206" s="190" t="inlineStr">
        <is>
          <t>NINGBO</t>
        </is>
      </c>
      <c r="AS206" s="191" t="inlineStr">
        <is>
          <t/>
        </is>
      </c>
      <c r="AT206" s="192" t="inlineStr">
        <is>
          <t/>
        </is>
      </c>
      <c r="AU206" s="193" t="inlineStr">
        <is>
          <t>China</t>
        </is>
      </c>
      <c r="AV206" s="194" t="inlineStr">
        <is>
          <t>+86 (0)574 8820 8337</t>
        </is>
      </c>
      <c r="AW206" s="195" t="inlineStr">
        <is>
          <t>+86 (0)574 8820 8375</t>
        </is>
      </c>
      <c r="AX206" s="196" t="inlineStr">
        <is>
          <t/>
        </is>
      </c>
      <c r="AY206" s="197" t="inlineStr">
        <is>
          <t>Asia</t>
        </is>
      </c>
      <c r="AZ206" s="198" t="inlineStr">
        <is>
          <t>East Asia</t>
        </is>
      </c>
      <c r="BA206" s="199" t="inlineStr">
        <is>
          <t/>
        </is>
      </c>
      <c r="BB206" s="200" t="inlineStr">
        <is>
          <t/>
        </is>
      </c>
      <c r="BC206" s="201" t="inlineStr">
        <is>
          <t/>
        </is>
      </c>
      <c r="BD206" s="202" t="inlineStr">
        <is>
          <t/>
        </is>
      </c>
      <c r="BE206" s="203" t="inlineStr">
        <is>
          <t/>
        </is>
      </c>
      <c r="BF206" s="204" t="inlineStr">
        <is>
          <t/>
        </is>
      </c>
      <c r="BG206" s="205" t="inlineStr">
        <is>
          <t/>
        </is>
      </c>
      <c r="BH206" s="206" t="inlineStr">
        <is>
          <t/>
        </is>
      </c>
      <c r="BI206" s="207" t="inlineStr">
        <is>
          <t/>
        </is>
      </c>
      <c r="BJ206" s="208" t="inlineStr">
        <is>
          <t/>
        </is>
      </c>
      <c r="BK206" s="209" t="inlineStr">
        <is>
          <t/>
        </is>
      </c>
      <c r="BL206" s="210" t="inlineStr">
        <is>
          <t/>
        </is>
      </c>
      <c r="BM206" s="211" t="inlineStr">
        <is>
          <t/>
        </is>
      </c>
      <c r="BN206" s="212" t="inlineStr">
        <is>
          <t/>
        </is>
      </c>
      <c r="BO206" s="213" t="inlineStr">
        <is>
          <t/>
        </is>
      </c>
      <c r="BP206" s="214" t="inlineStr">
        <is>
          <t/>
        </is>
      </c>
      <c r="BQ206" s="215" t="inlineStr">
        <is>
          <t/>
        </is>
      </c>
      <c r="BR206" s="216" t="inlineStr">
        <is>
          <t/>
        </is>
      </c>
      <c r="BS206" s="217" t="inlineStr">
        <is>
          <t/>
        </is>
      </c>
      <c r="BT206" s="218" t="inlineStr">
        <is>
          <t/>
        </is>
      </c>
      <c r="BU206" s="219" t="inlineStr">
        <is>
          <t/>
        </is>
      </c>
      <c r="BV206" s="220" t="inlineStr">
        <is>
          <t/>
        </is>
      </c>
      <c r="BW206" s="221" t="inlineStr">
        <is>
          <t/>
        </is>
      </c>
      <c r="BX206" s="222" t="inlineStr">
        <is>
          <t/>
        </is>
      </c>
      <c r="BY206" s="223" t="inlineStr">
        <is>
          <t/>
        </is>
      </c>
      <c r="BZ206" s="224" t="inlineStr">
        <is>
          <t/>
        </is>
      </c>
      <c r="CA206" s="225" t="inlineStr">
        <is>
          <t/>
        </is>
      </c>
      <c r="CB206" s="226" t="inlineStr">
        <is>
          <t/>
        </is>
      </c>
      <c r="CC206" s="227" t="inlineStr">
        <is>
          <t/>
        </is>
      </c>
      <c r="CD206" s="228" t="inlineStr">
        <is>
          <t/>
        </is>
      </c>
      <c r="CE206" s="229" t="inlineStr">
        <is>
          <t/>
        </is>
      </c>
      <c r="CF206" s="230" t="inlineStr">
        <is>
          <t/>
        </is>
      </c>
      <c r="CG206" s="231" t="inlineStr">
        <is>
          <t/>
        </is>
      </c>
      <c r="CH206" s="232" t="inlineStr">
        <is>
          <t/>
        </is>
      </c>
      <c r="CI206" s="233" t="inlineStr">
        <is>
          <t/>
        </is>
      </c>
      <c r="CJ206" s="234" t="inlineStr">
        <is>
          <t/>
        </is>
      </c>
      <c r="CK206" s="235" t="inlineStr">
        <is>
          <t/>
        </is>
      </c>
      <c r="CL206" s="236" t="inlineStr">
        <is>
          <t/>
        </is>
      </c>
      <c r="CM206" s="237" t="inlineStr">
        <is>
          <t/>
        </is>
      </c>
      <c r="CN206" s="238" t="n">
        <v>-0.07</v>
      </c>
      <c r="CO206" s="239" t="n">
        <v>13.0</v>
      </c>
      <c r="CP206" s="240" t="n">
        <v>0.14</v>
      </c>
      <c r="CQ206" s="241" t="n">
        <v>66.73</v>
      </c>
      <c r="CR206" s="242" t="n">
        <v>-0.07</v>
      </c>
      <c r="CS206" s="243" t="n">
        <v>13.0</v>
      </c>
      <c r="CT206" s="244" t="inlineStr">
        <is>
          <t/>
        </is>
      </c>
      <c r="CU206" s="245" t="inlineStr">
        <is>
          <t/>
        </is>
      </c>
      <c r="CV206" s="246" t="inlineStr">
        <is>
          <t/>
        </is>
      </c>
      <c r="CW206" s="247" t="inlineStr">
        <is>
          <t/>
        </is>
      </c>
      <c r="CX206" s="248" t="n">
        <v>-0.07</v>
      </c>
      <c r="CY206" s="249" t="n">
        <v>11.0</v>
      </c>
      <c r="CZ206" s="250" t="inlineStr">
        <is>
          <t/>
        </is>
      </c>
      <c r="DA206" s="251" t="inlineStr">
        <is>
          <t/>
        </is>
      </c>
      <c r="DB206" s="252" t="n">
        <v>4.94</v>
      </c>
      <c r="DC206" s="253" t="n">
        <v>83.0</v>
      </c>
      <c r="DD206" s="254" t="n">
        <v>1.19</v>
      </c>
      <c r="DE206" s="255" t="n">
        <v>31.57</v>
      </c>
      <c r="DF206" s="256" t="n">
        <v>4.94</v>
      </c>
      <c r="DG206" s="257" t="n">
        <v>83.0</v>
      </c>
      <c r="DH206" s="258" t="inlineStr">
        <is>
          <t/>
        </is>
      </c>
      <c r="DI206" s="259" t="inlineStr">
        <is>
          <t/>
        </is>
      </c>
      <c r="DJ206" s="260" t="inlineStr">
        <is>
          <t/>
        </is>
      </c>
      <c r="DK206" s="261" t="inlineStr">
        <is>
          <t/>
        </is>
      </c>
      <c r="DL206" s="262" t="n">
        <v>4.94</v>
      </c>
      <c r="DM206" s="263" t="n">
        <v>82.0</v>
      </c>
      <c r="DN206" s="264" t="inlineStr">
        <is>
          <t/>
        </is>
      </c>
      <c r="DO206" s="265" t="inlineStr">
        <is>
          <t/>
        </is>
      </c>
      <c r="DP206" s="266" t="inlineStr">
        <is>
          <t/>
        </is>
      </c>
      <c r="DQ206" s="267" t="inlineStr">
        <is>
          <t/>
        </is>
      </c>
      <c r="DR206" s="268" t="inlineStr">
        <is>
          <t/>
        </is>
      </c>
      <c r="DS206" s="269" t="n">
        <v>168.0</v>
      </c>
      <c r="DT206" s="270" t="n">
        <v>-1.0</v>
      </c>
      <c r="DU206" s="271" t="n">
        <v>-0.59</v>
      </c>
      <c r="DV206" s="272" t="inlineStr">
        <is>
          <t/>
        </is>
      </c>
      <c r="DW206" s="273" t="inlineStr">
        <is>
          <t/>
        </is>
      </c>
      <c r="DX206" s="274" t="inlineStr">
        <is>
          <t/>
        </is>
      </c>
      <c r="DY206" s="275" t="inlineStr">
        <is>
          <t>PitchBook Research</t>
        </is>
      </c>
      <c r="DZ206" s="276" t="n">
        <v>43491.0</v>
      </c>
      <c r="EA206" s="277" t="inlineStr">
        <is>
          <t/>
        </is>
      </c>
      <c r="EB206" s="278" t="inlineStr">
        <is>
          <t/>
        </is>
      </c>
      <c r="EC206" s="279" t="inlineStr">
        <is>
          <t/>
        </is>
      </c>
      <c r="ED206" s="548">
        <f>HYPERLINK("https://my.pitchbook.com?c=165782-35", "View company online")</f>
      </c>
    </row>
    <row r="207">
      <c r="A207" s="13" t="inlineStr">
        <is>
          <t>54394-30</t>
        </is>
      </c>
      <c r="B207" s="14" t="inlineStr">
        <is>
          <t>Arvind (BOM: 500101)</t>
        </is>
      </c>
      <c r="C207" s="15" t="inlineStr">
        <is>
          <t>Arvind Mills</t>
        </is>
      </c>
      <c r="D207" s="16" t="inlineStr">
        <is>
          <t/>
        </is>
      </c>
      <c r="E207" s="17" t="inlineStr">
        <is>
          <t>54394-30</t>
        </is>
      </c>
      <c r="F207" s="18" t="inlineStr">
        <is>
          <t>Arvind Ltd is a global manufacturer and distributor of fabrics, domiciled in India. The company operates through four segments: textiles, branded apparel, others, and real estate. The largest contributor to revenue is the textiles business which offers denim products, woven and knit fabrics, and high-performance fabrics for use in industry. The branded apparel segment, the next largest by revenue, manufactures garments for use under various brand names. The others segment provides enterprise communication solutions for small businesses and corporations, and engages in construction activities. The smallest segment is real estate.</t>
        </is>
      </c>
      <c r="G207" s="19" t="inlineStr">
        <is>
          <t>Materials and Resources</t>
        </is>
      </c>
      <c r="H207" s="20" t="inlineStr">
        <is>
          <t>Textiles</t>
        </is>
      </c>
      <c r="I207" s="21" t="inlineStr">
        <is>
          <t>Other Textiles</t>
        </is>
      </c>
      <c r="J207" s="22" t="inlineStr">
        <is>
          <t>Clothing, Other Textiles*</t>
        </is>
      </c>
      <c r="K207" s="23" t="inlineStr">
        <is>
          <t>AgTech, Manufacturing, TMT</t>
        </is>
      </c>
      <c r="L207" s="24" t="inlineStr">
        <is>
          <t>dyed fabrics</t>
        </is>
      </c>
      <c r="M207" s="25" t="inlineStr">
        <is>
          <t>Corporation</t>
        </is>
      </c>
      <c r="N207" s="26" t="n">
        <v>110.95</v>
      </c>
      <c r="O207" s="27" t="inlineStr">
        <is>
          <t>Profitable</t>
        </is>
      </c>
      <c r="P207" s="28" t="inlineStr">
        <is>
          <t>Publicly Held</t>
        </is>
      </c>
      <c r="Q207" s="29" t="inlineStr">
        <is>
          <t>Private Equity, Publicly Listed</t>
        </is>
      </c>
      <c r="R207" s="30" t="inlineStr">
        <is>
          <t>www.arvind.com</t>
        </is>
      </c>
      <c r="S207" s="31" t="n">
        <v>29065.0</v>
      </c>
      <c r="T207" s="32" t="inlineStr">
        <is>
          <t>2016: 4201, 2017: 4668, 2018: 29065</t>
        </is>
      </c>
      <c r="U207" s="33" t="inlineStr">
        <is>
          <t>BOM</t>
        </is>
      </c>
      <c r="V207" s="34" t="inlineStr">
        <is>
          <t>500101</t>
        </is>
      </c>
      <c r="W207" s="35" t="n">
        <v>1931.0</v>
      </c>
      <c r="X207" s="36" t="inlineStr">
        <is>
          <t/>
        </is>
      </c>
      <c r="Y207" s="37" t="inlineStr">
        <is>
          <t/>
        </is>
      </c>
      <c r="Z207" s="38" t="inlineStr">
        <is>
          <t/>
        </is>
      </c>
      <c r="AA207" s="39" t="n">
        <v>1208.24</v>
      </c>
      <c r="AB207" s="40" t="n">
        <v>631.0</v>
      </c>
      <c r="AC207" s="41" t="n">
        <v>39.61</v>
      </c>
      <c r="AD207" s="42" t="n">
        <v>768.04</v>
      </c>
      <c r="AE207" s="43" t="n">
        <v>125.82</v>
      </c>
      <c r="AF207" s="44" t="inlineStr">
        <is>
          <t>TTM 3Q2019</t>
        </is>
      </c>
      <c r="AG207" s="45" t="n">
        <v>86.59</v>
      </c>
      <c r="AH207" s="46" t="n">
        <v>326.39</v>
      </c>
      <c r="AI207" s="47" t="n">
        <v>437.35</v>
      </c>
      <c r="AJ207" s="48" t="inlineStr">
        <is>
          <t>139859-47P</t>
        </is>
      </c>
      <c r="AK207" s="49" t="inlineStr">
        <is>
          <t>Jayesh Shah</t>
        </is>
      </c>
      <c r="AL207" s="50" t="inlineStr">
        <is>
          <t>Chief Financial Officer &amp; Director</t>
        </is>
      </c>
      <c r="AM207" s="51" t="inlineStr">
        <is>
          <t>jayesh.shah@arvind.in</t>
        </is>
      </c>
      <c r="AN207" s="52" t="inlineStr">
        <is>
          <t>+91 (0)79 3013 8000</t>
        </is>
      </c>
      <c r="AO207" s="53" t="inlineStr">
        <is>
          <t>Gujarat, India</t>
        </is>
      </c>
      <c r="AP207" s="54" t="inlineStr">
        <is>
          <t>Naroda Road</t>
        </is>
      </c>
      <c r="AQ207" s="55" t="inlineStr">
        <is>
          <t>Ahmedabad</t>
        </is>
      </c>
      <c r="AR207" s="56" t="inlineStr">
        <is>
          <t>Gujarat</t>
        </is>
      </c>
      <c r="AS207" s="57" t="inlineStr">
        <is>
          <t/>
        </is>
      </c>
      <c r="AT207" s="58" t="inlineStr">
        <is>
          <t>380025</t>
        </is>
      </c>
      <c r="AU207" s="59" t="inlineStr">
        <is>
          <t>India</t>
        </is>
      </c>
      <c r="AV207" s="60" t="inlineStr">
        <is>
          <t>+91 (0)79 3013 8000</t>
        </is>
      </c>
      <c r="AW207" s="61" t="inlineStr">
        <is>
          <t>+91 (0)79 3013 8671</t>
        </is>
      </c>
      <c r="AX207" s="62" t="inlineStr">
        <is>
          <t>info.retail@arvind.com</t>
        </is>
      </c>
      <c r="AY207" s="63" t="inlineStr">
        <is>
          <t>Asia</t>
        </is>
      </c>
      <c r="AZ207" s="64" t="inlineStr">
        <is>
          <t>South Asia</t>
        </is>
      </c>
      <c r="BA207" s="65" t="inlineStr">
        <is>
          <t>The company (BOM: 500101) received INR 7.4 billion of development capital from Multiples Alternative Assets Management on October 25, 2016 through a private placement. The transaction helps the company unlock the value for the brands business and add financial muscle to future strategic opportunities for the group.</t>
        </is>
      </c>
      <c r="BB207" s="66" t="inlineStr">
        <is>
          <t>CDC Group, Multiples Alternate Asset Management</t>
        </is>
      </c>
      <c r="BC207" s="67" t="n">
        <v>2.0</v>
      </c>
      <c r="BD207" s="68" t="inlineStr">
        <is>
          <t/>
        </is>
      </c>
      <c r="BE207" s="69" t="inlineStr">
        <is>
          <t/>
        </is>
      </c>
      <c r="BF207" s="70" t="inlineStr">
        <is>
          <t/>
        </is>
      </c>
      <c r="BG207" s="71" t="inlineStr">
        <is>
          <t>CDC Group(www.cdcgroup.com), Multiples Alternate Asset Management(www.multiplesequity.com)</t>
        </is>
      </c>
      <c r="BH207" s="72" t="inlineStr">
        <is>
          <t/>
        </is>
      </c>
      <c r="BI207" s="73" t="inlineStr">
        <is>
          <t/>
        </is>
      </c>
      <c r="BJ207" s="74" t="inlineStr">
        <is>
          <t>Cassels Brock &amp; Blackwell(Legal Advisor), Meghraj Group(Advisor: General)</t>
        </is>
      </c>
      <c r="BK207" s="75" t="inlineStr">
        <is>
          <t/>
        </is>
      </c>
      <c r="BL207" s="76" t="n">
        <v>34738.0</v>
      </c>
      <c r="BM207" s="77" t="inlineStr">
        <is>
          <t/>
        </is>
      </c>
      <c r="BN207" s="78" t="inlineStr">
        <is>
          <t/>
        </is>
      </c>
      <c r="BO207" s="79" t="inlineStr">
        <is>
          <t/>
        </is>
      </c>
      <c r="BP207" s="80" t="inlineStr">
        <is>
          <t/>
        </is>
      </c>
      <c r="BQ207" s="81" t="inlineStr">
        <is>
          <t>IPO</t>
        </is>
      </c>
      <c r="BR207" s="82" t="inlineStr">
        <is>
          <t/>
        </is>
      </c>
      <c r="BS207" s="83" t="inlineStr">
        <is>
          <t/>
        </is>
      </c>
      <c r="BT207" s="84" t="inlineStr">
        <is>
          <t>Public Investment</t>
        </is>
      </c>
      <c r="BU207" s="85" t="inlineStr">
        <is>
          <t/>
        </is>
      </c>
      <c r="BV207" s="86" t="inlineStr">
        <is>
          <t/>
        </is>
      </c>
      <c r="BW207" s="87" t="inlineStr">
        <is>
          <t/>
        </is>
      </c>
      <c r="BX207" s="88" t="inlineStr">
        <is>
          <t>Completed</t>
        </is>
      </c>
      <c r="BY207" s="89" t="n">
        <v>42668.0</v>
      </c>
      <c r="BZ207" s="90" t="n">
        <v>110.95</v>
      </c>
      <c r="CA207" s="91" t="inlineStr">
        <is>
          <t>Actual</t>
        </is>
      </c>
      <c r="CB207" s="92" t="n">
        <v>1109.49</v>
      </c>
      <c r="CC207" s="93" t="inlineStr">
        <is>
          <t>Estimated</t>
        </is>
      </c>
      <c r="CD207" s="94" t="inlineStr">
        <is>
          <t>PIPE</t>
        </is>
      </c>
      <c r="CE207" s="95" t="inlineStr">
        <is>
          <t/>
        </is>
      </c>
      <c r="CF207" s="96" t="inlineStr">
        <is>
          <t/>
        </is>
      </c>
      <c r="CG207" s="97" t="inlineStr">
        <is>
          <t>Private Equity</t>
        </is>
      </c>
      <c r="CH207" s="98" t="inlineStr">
        <is>
          <t/>
        </is>
      </c>
      <c r="CI207" s="99" t="inlineStr">
        <is>
          <t/>
        </is>
      </c>
      <c r="CJ207" s="100" t="inlineStr">
        <is>
          <t/>
        </is>
      </c>
      <c r="CK207" s="101" t="inlineStr">
        <is>
          <t>Completed</t>
        </is>
      </c>
      <c r="CL207" s="102" t="inlineStr">
        <is>
          <t/>
        </is>
      </c>
      <c r="CM207" s="103" t="inlineStr">
        <is>
          <t/>
        </is>
      </c>
      <c r="CN207" s="104" t="n">
        <v>0.34</v>
      </c>
      <c r="CO207" s="105" t="n">
        <v>92.0</v>
      </c>
      <c r="CP207" s="106" t="n">
        <v>0.07</v>
      </c>
      <c r="CQ207" s="107" t="n">
        <v>25.5</v>
      </c>
      <c r="CR207" s="108" t="n">
        <v>0.18</v>
      </c>
      <c r="CS207" s="109" t="n">
        <v>89.0</v>
      </c>
      <c r="CT207" s="110" t="n">
        <v>0.49</v>
      </c>
      <c r="CU207" s="111" t="n">
        <v>95.0</v>
      </c>
      <c r="CV207" s="112" t="n">
        <v>0.0</v>
      </c>
      <c r="CW207" s="113" t="n">
        <v>33.0</v>
      </c>
      <c r="CX207" s="114" t="n">
        <v>0.36</v>
      </c>
      <c r="CY207" s="115" t="n">
        <v>92.0</v>
      </c>
      <c r="CZ207" s="116" t="n">
        <v>0.49</v>
      </c>
      <c r="DA207" s="117" t="n">
        <v>95.0</v>
      </c>
      <c r="DB207" s="118" t="n">
        <v>3.03</v>
      </c>
      <c r="DC207" s="119" t="n">
        <v>75.0</v>
      </c>
      <c r="DD207" s="120" t="n">
        <v>0.69</v>
      </c>
      <c r="DE207" s="121" t="n">
        <v>29.71</v>
      </c>
      <c r="DF207" s="122" t="n">
        <v>5.78</v>
      </c>
      <c r="DG207" s="123" t="n">
        <v>85.0</v>
      </c>
      <c r="DH207" s="124" t="n">
        <v>0.29</v>
      </c>
      <c r="DI207" s="125" t="n">
        <v>28.0</v>
      </c>
      <c r="DJ207" s="126" t="n">
        <v>0.2</v>
      </c>
      <c r="DK207" s="127" t="n">
        <v>15.0</v>
      </c>
      <c r="DL207" s="128" t="n">
        <v>11.35</v>
      </c>
      <c r="DM207" s="129" t="n">
        <v>90.0</v>
      </c>
      <c r="DN207" s="130" t="n">
        <v>0.29</v>
      </c>
      <c r="DO207" s="131" t="n">
        <v>29.0</v>
      </c>
      <c r="DP207" s="132" t="n">
        <v>165.0</v>
      </c>
      <c r="DQ207" s="133" t="n">
        <v>-63.0</v>
      </c>
      <c r="DR207" s="134" t="n">
        <v>-27.63</v>
      </c>
      <c r="DS207" s="135" t="n">
        <v>386.0</v>
      </c>
      <c r="DT207" s="136" t="n">
        <v>2.0</v>
      </c>
      <c r="DU207" s="137" t="n">
        <v>0.52</v>
      </c>
      <c r="DV207" s="138" t="n">
        <v>104.0</v>
      </c>
      <c r="DW207" s="139" t="n">
        <v>1.0</v>
      </c>
      <c r="DX207" s="140" t="n">
        <v>0.97</v>
      </c>
      <c r="DY207" s="141" t="inlineStr">
        <is>
          <t>PitchBook Research</t>
        </is>
      </c>
      <c r="DZ207" s="142" t="n">
        <v>43549.0</v>
      </c>
      <c r="EA207" s="143" t="n">
        <v>1109.49</v>
      </c>
      <c r="EB207" s="144" t="n">
        <v>42668.0</v>
      </c>
      <c r="EC207" s="145" t="inlineStr">
        <is>
          <t>PIPE</t>
        </is>
      </c>
      <c r="ED207" s="547">
        <f>HYPERLINK("https://my.pitchbook.com?c=54394-30", "View company online")</f>
      </c>
    </row>
    <row r="208">
      <c r="A208" s="147" t="inlineStr">
        <is>
          <t>40666-60</t>
        </is>
      </c>
      <c r="B208" s="148" t="inlineStr">
        <is>
          <t>Zappos.com</t>
        </is>
      </c>
      <c r="C208" s="149" t="inlineStr">
        <is>
          <t>Shoesite.com</t>
        </is>
      </c>
      <c r="D208" s="150" t="inlineStr">
        <is>
          <t/>
        </is>
      </c>
      <c r="E208" s="151" t="inlineStr">
        <is>
          <t>40666-60</t>
        </is>
      </c>
      <c r="F208" s="152" t="inlineStr">
        <is>
          <t>Retailer of footwear products on an online platform. The company offers shoes, clothing, bags and luggage, accessories, boots, slippers, electronics, eyewear, watches and jewelry for women, men and kids.</t>
        </is>
      </c>
      <c r="G208" s="153" t="inlineStr">
        <is>
          <t>Consumer Products and Services (B2C)</t>
        </is>
      </c>
      <c r="H208" s="154" t="inlineStr">
        <is>
          <t>Retail</t>
        </is>
      </c>
      <c r="I208" s="155" t="inlineStr">
        <is>
          <t>Internet Retail</t>
        </is>
      </c>
      <c r="J208" s="156" t="inlineStr">
        <is>
          <t>Footwear, Internet Retail*</t>
        </is>
      </c>
      <c r="K208" s="157" t="inlineStr">
        <is>
          <t>E-Commerce, TMT</t>
        </is>
      </c>
      <c r="L208" s="158" t="inlineStr">
        <is>
          <t>clothing platform, ecommerce software, footwear platform</t>
        </is>
      </c>
      <c r="M208" s="159" t="inlineStr">
        <is>
          <t>Formerly VC-backed</t>
        </is>
      </c>
      <c r="N208" s="160" t="n">
        <v>90.12</v>
      </c>
      <c r="O208" s="161" t="inlineStr">
        <is>
          <t>Generating Revenue</t>
        </is>
      </c>
      <c r="P208" s="162" t="inlineStr">
        <is>
          <t>Acquired/Merged (Operating Subsidiary)</t>
        </is>
      </c>
      <c r="Q208" s="163" t="inlineStr">
        <is>
          <t>Venture Capital</t>
        </is>
      </c>
      <c r="R208" s="164" t="inlineStr">
        <is>
          <t>www.zappos.com</t>
        </is>
      </c>
      <c r="S208" s="165" t="n">
        <v>1500.0</v>
      </c>
      <c r="T208" s="166" t="inlineStr">
        <is>
          <t>2005: 800, 2006: 1000, 2007: 1300, 2009: 625, 2011: 1100, 2017: 1500</t>
        </is>
      </c>
      <c r="U208" s="167" t="inlineStr">
        <is>
          <t/>
        </is>
      </c>
      <c r="V208" s="168" t="inlineStr">
        <is>
          <t/>
        </is>
      </c>
      <c r="W208" s="169" t="n">
        <v>1999.0</v>
      </c>
      <c r="X208" s="170" t="inlineStr">
        <is>
          <t>Amazon.com</t>
        </is>
      </c>
      <c r="Y208" s="171" t="inlineStr">
        <is>
          <t>News (New) </t>
        </is>
      </c>
      <c r="Z208" s="172" t="inlineStr">
        <is>
          <t>News (New) , Competitor (New) Acorn Products Company, Competitor (New) RevZilla Motorsports</t>
        </is>
      </c>
      <c r="AA208" s="173" t="n">
        <v>1200.0</v>
      </c>
      <c r="AB208" s="174" t="inlineStr">
        <is>
          <t/>
        </is>
      </c>
      <c r="AC208" s="175" t="inlineStr">
        <is>
          <t/>
        </is>
      </c>
      <c r="AD208" s="176" t="inlineStr">
        <is>
          <t/>
        </is>
      </c>
      <c r="AE208" s="177" t="inlineStr">
        <is>
          <t/>
        </is>
      </c>
      <c r="AF208" s="178" t="inlineStr">
        <is>
          <t>FY 2009</t>
        </is>
      </c>
      <c r="AG208" s="179" t="inlineStr">
        <is>
          <t/>
        </is>
      </c>
      <c r="AH208" s="180" t="inlineStr">
        <is>
          <t/>
        </is>
      </c>
      <c r="AI208" s="181" t="inlineStr">
        <is>
          <t/>
        </is>
      </c>
      <c r="AJ208" s="182" t="inlineStr">
        <is>
          <t>106593-67P</t>
        </is>
      </c>
      <c r="AK208" s="183" t="inlineStr">
        <is>
          <t>Anthony Hsieh</t>
        </is>
      </c>
      <c r="AL208" s="184" t="inlineStr">
        <is>
          <t>Chief Executive Officer</t>
        </is>
      </c>
      <c r="AM208" s="185" t="inlineStr">
        <is>
          <t/>
        </is>
      </c>
      <c r="AN208" s="186" t="inlineStr">
        <is>
          <t>+1 (800) 927-7671</t>
        </is>
      </c>
      <c r="AO208" s="187" t="inlineStr">
        <is>
          <t>Las Vegas, NV</t>
        </is>
      </c>
      <c r="AP208" s="188" t="inlineStr">
        <is>
          <t>400 East Stewart Avenue</t>
        </is>
      </c>
      <c r="AQ208" s="189" t="inlineStr">
        <is>
          <t/>
        </is>
      </c>
      <c r="AR208" s="190" t="inlineStr">
        <is>
          <t>Las Vegas</t>
        </is>
      </c>
      <c r="AS208" s="191" t="inlineStr">
        <is>
          <t>Nevada</t>
        </is>
      </c>
      <c r="AT208" s="192" t="inlineStr">
        <is>
          <t>89101</t>
        </is>
      </c>
      <c r="AU208" s="193" t="inlineStr">
        <is>
          <t>United States</t>
        </is>
      </c>
      <c r="AV208" s="194" t="inlineStr">
        <is>
          <t>+1 (800) 927-7671</t>
        </is>
      </c>
      <c r="AW208" s="195" t="inlineStr">
        <is>
          <t/>
        </is>
      </c>
      <c r="AX208" s="196" t="inlineStr">
        <is>
          <t>securitydisclosure@zappos.com</t>
        </is>
      </c>
      <c r="AY208" s="197" t="inlineStr">
        <is>
          <t>Americas</t>
        </is>
      </c>
      <c r="AZ208" s="198" t="inlineStr">
        <is>
          <t>North America</t>
        </is>
      </c>
      <c r="BA208" s="199" t="inlineStr">
        <is>
          <t>The company was acquired by Amazon.com for $1.2 billion on November 2, 2009.</t>
        </is>
      </c>
      <c r="BB208" s="200" t="inlineStr">
        <is>
          <t/>
        </is>
      </c>
      <c r="BC208" s="201" t="inlineStr">
        <is>
          <t/>
        </is>
      </c>
      <c r="BD208" s="202" t="inlineStr">
        <is>
          <t>Amazon.com</t>
        </is>
      </c>
      <c r="BE208" s="203" t="inlineStr">
        <is>
          <t>Accelerator Ventures, Ali Partovi, Anthony Hsieh, BrainStorm Ventures, Brian Townsend, Cyan Banister, Eduardo Rallo, Erik Moore, Glynn Capital, Gregory Besner, Hadi Partovi, Keith Cox, Larry Gormley, Millennium Technology Value Partners, Morgan Stanley Expansion Capital, Scott Banister, Sequoia Capital, SV Angel, Tenaya Capital, Tennessee Community Ventures, Venture Frogs</t>
        </is>
      </c>
      <c r="BF208" s="204" t="inlineStr">
        <is>
          <t/>
        </is>
      </c>
      <c r="BG208" s="205" t="inlineStr">
        <is>
          <t/>
        </is>
      </c>
      <c r="BH208" s="206" t="inlineStr">
        <is>
          <t>Accelerator Ventures(www.acceleratorventures.com), Ali Partovi(www.partovi.org), BrainStorm Ventures(www.brainstorm.vc), Glynn Capital(www.glynncapital.com), Millennium Technology Value Partners(www.mtvlp.com), Sequoia Capital(www.sequoiacap.com), SV Angel(www.svangel.com), Tenaya Capital(www.tenayacapital.com), Tennessee Community Ventures(www.tncvfund.com), Venture Frogs(www.vfrogs.com)</t>
        </is>
      </c>
      <c r="BI208" s="207" t="inlineStr">
        <is>
          <t/>
        </is>
      </c>
      <c r="BJ208" s="208" t="inlineStr">
        <is>
          <t>Crown Growth(Advisor: General), Kohler Law Group(Legal Advisor)</t>
        </is>
      </c>
      <c r="BK208" s="209" t="inlineStr">
        <is>
          <t>Fenwick &amp; West(Legal Advisor), Morgan Stanley(Advisor: General), Wells Fargo(Debt Financing), Wilson Sonsini Goodrich &amp; Rosati(Legal Advisor)</t>
        </is>
      </c>
      <c r="BL208" s="210" t="n">
        <v>36161.0</v>
      </c>
      <c r="BM208" s="211" t="n">
        <v>0.15</v>
      </c>
      <c r="BN208" s="212" t="inlineStr">
        <is>
          <t>Actual</t>
        </is>
      </c>
      <c r="BO208" s="213" t="inlineStr">
        <is>
          <t/>
        </is>
      </c>
      <c r="BP208" s="214" t="inlineStr">
        <is>
          <t/>
        </is>
      </c>
      <c r="BQ208" s="215" t="inlineStr">
        <is>
          <t>Early Stage VC</t>
        </is>
      </c>
      <c r="BR208" s="216" t="inlineStr">
        <is>
          <t>Series A</t>
        </is>
      </c>
      <c r="BS208" s="217" t="inlineStr">
        <is>
          <t/>
        </is>
      </c>
      <c r="BT208" s="218" t="inlineStr">
        <is>
          <t>Venture Capital</t>
        </is>
      </c>
      <c r="BU208" s="219" t="inlineStr">
        <is>
          <t/>
        </is>
      </c>
      <c r="BV208" s="220" t="inlineStr">
        <is>
          <t/>
        </is>
      </c>
      <c r="BW208" s="221" t="inlineStr">
        <is>
          <t/>
        </is>
      </c>
      <c r="BX208" s="222" t="inlineStr">
        <is>
          <t>Completed</t>
        </is>
      </c>
      <c r="BY208" s="223" t="n">
        <v>40119.0</v>
      </c>
      <c r="BZ208" s="224" t="n">
        <v>1200.0</v>
      </c>
      <c r="CA208" s="225" t="inlineStr">
        <is>
          <t>Actual</t>
        </is>
      </c>
      <c r="CB208" s="226" t="n">
        <v>1200.0</v>
      </c>
      <c r="CC208" s="227" t="inlineStr">
        <is>
          <t>Actual</t>
        </is>
      </c>
      <c r="CD208" s="228" t="inlineStr">
        <is>
          <t>Merger/Acquisition</t>
        </is>
      </c>
      <c r="CE208" s="229" t="inlineStr">
        <is>
          <t/>
        </is>
      </c>
      <c r="CF208" s="230" t="inlineStr">
        <is>
          <t/>
        </is>
      </c>
      <c r="CG208" s="231" t="inlineStr">
        <is>
          <t>Corporate</t>
        </is>
      </c>
      <c r="CH208" s="232" t="inlineStr">
        <is>
          <t/>
        </is>
      </c>
      <c r="CI208" s="233" t="inlineStr">
        <is>
          <t/>
        </is>
      </c>
      <c r="CJ208" s="234" t="inlineStr">
        <is>
          <t/>
        </is>
      </c>
      <c r="CK208" s="235" t="inlineStr">
        <is>
          <t>Completed</t>
        </is>
      </c>
      <c r="CL208" s="236" t="n">
        <v>38288.0</v>
      </c>
      <c r="CM208" s="237" t="inlineStr">
        <is>
          <t/>
        </is>
      </c>
      <c r="CN208" s="238" t="inlineStr">
        <is>
          <t/>
        </is>
      </c>
      <c r="CO208" s="239" t="inlineStr">
        <is>
          <t/>
        </is>
      </c>
      <c r="CP208" s="240" t="inlineStr">
        <is>
          <t/>
        </is>
      </c>
      <c r="CQ208" s="241" t="inlineStr">
        <is>
          <t/>
        </is>
      </c>
      <c r="CR208" s="242" t="inlineStr">
        <is>
          <t/>
        </is>
      </c>
      <c r="CS208" s="243" t="inlineStr">
        <is>
          <t/>
        </is>
      </c>
      <c r="CT208" s="244" t="inlineStr">
        <is>
          <t/>
        </is>
      </c>
      <c r="CU208" s="245" t="inlineStr">
        <is>
          <t/>
        </is>
      </c>
      <c r="CV208" s="246" t="inlineStr">
        <is>
          <t/>
        </is>
      </c>
      <c r="CW208" s="247" t="inlineStr">
        <is>
          <t/>
        </is>
      </c>
      <c r="CX208" s="248" t="inlineStr">
        <is>
          <t/>
        </is>
      </c>
      <c r="CY208" s="249" t="inlineStr">
        <is>
          <t/>
        </is>
      </c>
      <c r="CZ208" s="250" t="inlineStr">
        <is>
          <t/>
        </is>
      </c>
      <c r="DA208" s="251" t="inlineStr">
        <is>
          <t/>
        </is>
      </c>
      <c r="DB208" s="252" t="inlineStr">
        <is>
          <t/>
        </is>
      </c>
      <c r="DC208" s="253" t="inlineStr">
        <is>
          <t/>
        </is>
      </c>
      <c r="DD208" s="254" t="inlineStr">
        <is>
          <t/>
        </is>
      </c>
      <c r="DE208" s="255" t="inlineStr">
        <is>
          <t/>
        </is>
      </c>
      <c r="DF208" s="256" t="inlineStr">
        <is>
          <t/>
        </is>
      </c>
      <c r="DG208" s="257" t="inlineStr">
        <is>
          <t/>
        </is>
      </c>
      <c r="DH208" s="258" t="inlineStr">
        <is>
          <t/>
        </is>
      </c>
      <c r="DI208" s="259" t="inlineStr">
        <is>
          <t/>
        </is>
      </c>
      <c r="DJ208" s="260" t="inlineStr">
        <is>
          <t/>
        </is>
      </c>
      <c r="DK208" s="261" t="inlineStr">
        <is>
          <t/>
        </is>
      </c>
      <c r="DL208" s="262" t="inlineStr">
        <is>
          <t/>
        </is>
      </c>
      <c r="DM208" s="263" t="inlineStr">
        <is>
          <t/>
        </is>
      </c>
      <c r="DN208" s="264" t="inlineStr">
        <is>
          <t/>
        </is>
      </c>
      <c r="DO208" s="265" t="inlineStr">
        <is>
          <t/>
        </is>
      </c>
      <c r="DP208" s="266" t="inlineStr">
        <is>
          <t/>
        </is>
      </c>
      <c r="DQ208" s="267" t="inlineStr">
        <is>
          <t/>
        </is>
      </c>
      <c r="DR208" s="268" t="inlineStr">
        <is>
          <t/>
        </is>
      </c>
      <c r="DS208" s="269" t="inlineStr">
        <is>
          <t/>
        </is>
      </c>
      <c r="DT208" s="270" t="inlineStr">
        <is>
          <t/>
        </is>
      </c>
      <c r="DU208" s="271" t="inlineStr">
        <is>
          <t/>
        </is>
      </c>
      <c r="DV208" s="272" t="inlineStr">
        <is>
          <t/>
        </is>
      </c>
      <c r="DW208" s="273" t="inlineStr">
        <is>
          <t/>
        </is>
      </c>
      <c r="DX208" s="274" t="inlineStr">
        <is>
          <t/>
        </is>
      </c>
      <c r="DY208" s="275" t="inlineStr">
        <is>
          <t>PitchBook Research</t>
        </is>
      </c>
      <c r="DZ208" s="276" t="n">
        <v>43500.0</v>
      </c>
      <c r="EA208" s="277" t="n">
        <v>1200.0</v>
      </c>
      <c r="EB208" s="278" t="n">
        <v>40119.0</v>
      </c>
      <c r="EC208" s="279" t="inlineStr">
        <is>
          <t>Merger/Acquisition</t>
        </is>
      </c>
      <c r="ED208" s="548">
        <f>HYPERLINK("https://my.pitchbook.com?c=40666-60", "View company online")</f>
      </c>
    </row>
    <row r="209">
      <c r="A209" s="13" t="inlineStr">
        <is>
          <t>147047-32</t>
        </is>
      </c>
      <c r="B209" s="14" t="inlineStr">
        <is>
          <t>Cynthia Rowley</t>
        </is>
      </c>
      <c r="C209" s="15" t="inlineStr">
        <is>
          <t/>
        </is>
      </c>
      <c r="D209" s="16" t="inlineStr">
        <is>
          <t/>
        </is>
      </c>
      <c r="E209" s="17" t="inlineStr">
        <is>
          <t>147047-32</t>
        </is>
      </c>
      <c r="F209" s="18" t="inlineStr">
        <is>
          <t>Developer of a lifestyle brand designed to offer a diverse range of clothing and accessories. The company's brand specializes in swimwear which is available both on an online platform as well as stores, enabling consumers to get branded clothes at a reasonable price.</t>
        </is>
      </c>
      <c r="G209" s="19" t="inlineStr">
        <is>
          <t>Consumer Products and Services (B2C)</t>
        </is>
      </c>
      <c r="H209" s="20" t="inlineStr">
        <is>
          <t>Apparel and Accessories</t>
        </is>
      </c>
      <c r="I209" s="21" t="inlineStr">
        <is>
          <t>Clothing</t>
        </is>
      </c>
      <c r="J209" s="22" t="inlineStr">
        <is>
          <t>Clothing*, Department Stores, Internet Retail</t>
        </is>
      </c>
      <c r="K209" s="23" t="inlineStr">
        <is>
          <t>E-Commerce</t>
        </is>
      </c>
      <c r="L209" s="24" t="inlineStr">
        <is>
          <t>clothes, clothing, swimwear</t>
        </is>
      </c>
      <c r="M209" s="25" t="inlineStr">
        <is>
          <t>Corporation</t>
        </is>
      </c>
      <c r="N209" s="26" t="inlineStr">
        <is>
          <t/>
        </is>
      </c>
      <c r="O209" s="27" t="inlineStr">
        <is>
          <t>Generating Revenue</t>
        </is>
      </c>
      <c r="P209" s="28" t="inlineStr">
        <is>
          <t>Privately Held (no backing)</t>
        </is>
      </c>
      <c r="Q209" s="29" t="inlineStr">
        <is>
          <t>Other Private Companies</t>
        </is>
      </c>
      <c r="R209" s="30" t="inlineStr">
        <is>
          <t>www.cynthiarowley.com</t>
        </is>
      </c>
      <c r="S209" s="31" t="inlineStr">
        <is>
          <t/>
        </is>
      </c>
      <c r="T209" s="32" t="inlineStr">
        <is>
          <t/>
        </is>
      </c>
      <c r="U209" s="33" t="inlineStr">
        <is>
          <t/>
        </is>
      </c>
      <c r="V209" s="34" t="inlineStr">
        <is>
          <t/>
        </is>
      </c>
      <c r="W209" s="35" t="n">
        <v>1988.0</v>
      </c>
      <c r="X209" s="36" t="inlineStr">
        <is>
          <t/>
        </is>
      </c>
      <c r="Y209" s="37" t="inlineStr">
        <is>
          <t/>
        </is>
      </c>
      <c r="Z209" s="38" t="inlineStr">
        <is>
          <t/>
        </is>
      </c>
      <c r="AA209" s="39" t="n">
        <v>1200.0</v>
      </c>
      <c r="AB209" s="40" t="inlineStr">
        <is>
          <t/>
        </is>
      </c>
      <c r="AC209" s="41" t="inlineStr">
        <is>
          <t/>
        </is>
      </c>
      <c r="AD209" s="42" t="inlineStr">
        <is>
          <t/>
        </is>
      </c>
      <c r="AE209" s="43" t="inlineStr">
        <is>
          <t/>
        </is>
      </c>
      <c r="AF209" s="44" t="inlineStr">
        <is>
          <t>FY 2015</t>
        </is>
      </c>
      <c r="AG209" s="45" t="inlineStr">
        <is>
          <t/>
        </is>
      </c>
      <c r="AH209" s="46" t="inlineStr">
        <is>
          <t/>
        </is>
      </c>
      <c r="AI209" s="47" t="inlineStr">
        <is>
          <t/>
        </is>
      </c>
      <c r="AJ209" s="48" t="inlineStr">
        <is>
          <t>196340-95P</t>
        </is>
      </c>
      <c r="AK209" s="49" t="inlineStr">
        <is>
          <t>Cynthia Rowley</t>
        </is>
      </c>
      <c r="AL209" s="50" t="inlineStr">
        <is>
          <t>Founder</t>
        </is>
      </c>
      <c r="AM209" s="51" t="inlineStr">
        <is>
          <t/>
        </is>
      </c>
      <c r="AN209" s="52" t="inlineStr">
        <is>
          <t>+1 (970) 319-1622</t>
        </is>
      </c>
      <c r="AO209" s="53" t="inlineStr">
        <is>
          <t>New York, NY</t>
        </is>
      </c>
      <c r="AP209" s="54" t="inlineStr">
        <is>
          <t>550 Seventh Avenue</t>
        </is>
      </c>
      <c r="AQ209" s="55" t="inlineStr">
        <is>
          <t/>
        </is>
      </c>
      <c r="AR209" s="56" t="inlineStr">
        <is>
          <t>New York</t>
        </is>
      </c>
      <c r="AS209" s="57" t="inlineStr">
        <is>
          <t>New York</t>
        </is>
      </c>
      <c r="AT209" s="58" t="inlineStr">
        <is>
          <t>10018</t>
        </is>
      </c>
      <c r="AU209" s="59" t="inlineStr">
        <is>
          <t>United States</t>
        </is>
      </c>
      <c r="AV209" s="60" t="inlineStr">
        <is>
          <t>+1 (970) 319-1622</t>
        </is>
      </c>
      <c r="AW209" s="61" t="inlineStr">
        <is>
          <t/>
        </is>
      </c>
      <c r="AX209" s="62" t="inlineStr">
        <is>
          <t>contact@cynthiarowley.com</t>
        </is>
      </c>
      <c r="AY209" s="63" t="inlineStr">
        <is>
          <t>Americas</t>
        </is>
      </c>
      <c r="AZ209" s="64" t="inlineStr">
        <is>
          <t>North America</t>
        </is>
      </c>
      <c r="BA209" s="65" t="inlineStr">
        <is>
          <t/>
        </is>
      </c>
      <c r="BB209" s="66" t="inlineStr">
        <is>
          <t/>
        </is>
      </c>
      <c r="BC209" s="67" t="inlineStr">
        <is>
          <t/>
        </is>
      </c>
      <c r="BD209" s="68" t="inlineStr">
        <is>
          <t/>
        </is>
      </c>
      <c r="BE209" s="69" t="inlineStr">
        <is>
          <t/>
        </is>
      </c>
      <c r="BF209" s="70" t="inlineStr">
        <is>
          <t/>
        </is>
      </c>
      <c r="BG209" s="71" t="inlineStr">
        <is>
          <t/>
        </is>
      </c>
      <c r="BH209" s="72" t="inlineStr">
        <is>
          <t/>
        </is>
      </c>
      <c r="BI209" s="73" t="inlineStr">
        <is>
          <t/>
        </is>
      </c>
      <c r="BJ209" s="74" t="inlineStr">
        <is>
          <t/>
        </is>
      </c>
      <c r="BK209" s="75" t="inlineStr">
        <is>
          <t/>
        </is>
      </c>
      <c r="BL209" s="76" t="inlineStr">
        <is>
          <t/>
        </is>
      </c>
      <c r="BM209" s="77" t="inlineStr">
        <is>
          <t/>
        </is>
      </c>
      <c r="BN209" s="78" t="inlineStr">
        <is>
          <t/>
        </is>
      </c>
      <c r="BO209" s="79" t="inlineStr">
        <is>
          <t/>
        </is>
      </c>
      <c r="BP209" s="80" t="inlineStr">
        <is>
          <t/>
        </is>
      </c>
      <c r="BQ209" s="81" t="inlineStr">
        <is>
          <t/>
        </is>
      </c>
      <c r="BR209" s="82" t="inlineStr">
        <is>
          <t/>
        </is>
      </c>
      <c r="BS209" s="83" t="inlineStr">
        <is>
          <t/>
        </is>
      </c>
      <c r="BT209" s="84" t="inlineStr">
        <is>
          <t/>
        </is>
      </c>
      <c r="BU209" s="85" t="inlineStr">
        <is>
          <t/>
        </is>
      </c>
      <c r="BV209" s="86" t="inlineStr">
        <is>
          <t/>
        </is>
      </c>
      <c r="BW209" s="87" t="inlineStr">
        <is>
          <t/>
        </is>
      </c>
      <c r="BX209" s="88" t="inlineStr">
        <is>
          <t/>
        </is>
      </c>
      <c r="BY209" s="89" t="inlineStr">
        <is>
          <t/>
        </is>
      </c>
      <c r="BZ209" s="90" t="inlineStr">
        <is>
          <t/>
        </is>
      </c>
      <c r="CA209" s="91" t="inlineStr">
        <is>
          <t/>
        </is>
      </c>
      <c r="CB209" s="92" t="inlineStr">
        <is>
          <t/>
        </is>
      </c>
      <c r="CC209" s="93" t="inlineStr">
        <is>
          <t/>
        </is>
      </c>
      <c r="CD209" s="94" t="inlineStr">
        <is>
          <t/>
        </is>
      </c>
      <c r="CE209" s="95" t="inlineStr">
        <is>
          <t/>
        </is>
      </c>
      <c r="CF209" s="96" t="inlineStr">
        <is>
          <t/>
        </is>
      </c>
      <c r="CG209" s="97" t="inlineStr">
        <is>
          <t/>
        </is>
      </c>
      <c r="CH209" s="98" t="inlineStr">
        <is>
          <t/>
        </is>
      </c>
      <c r="CI209" s="99" t="inlineStr">
        <is>
          <t/>
        </is>
      </c>
      <c r="CJ209" s="100" t="inlineStr">
        <is>
          <t/>
        </is>
      </c>
      <c r="CK209" s="101" t="inlineStr">
        <is>
          <t/>
        </is>
      </c>
      <c r="CL209" s="102" t="inlineStr">
        <is>
          <t/>
        </is>
      </c>
      <c r="CM209" s="103" t="inlineStr">
        <is>
          <t/>
        </is>
      </c>
      <c r="CN209" s="104" t="n">
        <v>-1.01</v>
      </c>
      <c r="CO209" s="105" t="n">
        <v>4.0</v>
      </c>
      <c r="CP209" s="106" t="n">
        <v>0.01</v>
      </c>
      <c r="CQ209" s="107" t="n">
        <v>0.72</v>
      </c>
      <c r="CR209" s="108" t="n">
        <v>-1.97</v>
      </c>
      <c r="CS209" s="109" t="n">
        <v>4.0</v>
      </c>
      <c r="CT209" s="110" t="n">
        <v>-0.06</v>
      </c>
      <c r="CU209" s="111" t="n">
        <v>13.0</v>
      </c>
      <c r="CV209" s="112" t="n">
        <v>-4.07</v>
      </c>
      <c r="CW209" s="113" t="n">
        <v>11.0</v>
      </c>
      <c r="CX209" s="114" t="n">
        <v>0.14</v>
      </c>
      <c r="CY209" s="115" t="n">
        <v>87.0</v>
      </c>
      <c r="CZ209" s="116" t="n">
        <v>-0.06</v>
      </c>
      <c r="DA209" s="117" t="n">
        <v>16.0</v>
      </c>
      <c r="DB209" s="118" t="n">
        <v>59.59</v>
      </c>
      <c r="DC209" s="119" t="n">
        <v>99.0</v>
      </c>
      <c r="DD209" s="120" t="n">
        <v>4.93</v>
      </c>
      <c r="DE209" s="121" t="n">
        <v>9.02</v>
      </c>
      <c r="DF209" s="122" t="n">
        <v>42.46</v>
      </c>
      <c r="DG209" s="123" t="n">
        <v>98.0</v>
      </c>
      <c r="DH209" s="124" t="n">
        <v>76.72</v>
      </c>
      <c r="DI209" s="125" t="n">
        <v>97.0</v>
      </c>
      <c r="DJ209" s="126" t="n">
        <v>8.48</v>
      </c>
      <c r="DK209" s="127" t="n">
        <v>84.0</v>
      </c>
      <c r="DL209" s="128" t="n">
        <v>76.44</v>
      </c>
      <c r="DM209" s="129" t="n">
        <v>99.0</v>
      </c>
      <c r="DN209" s="130" t="n">
        <v>76.72</v>
      </c>
      <c r="DO209" s="131" t="n">
        <v>98.0</v>
      </c>
      <c r="DP209" s="132" t="n">
        <v>6075.0</v>
      </c>
      <c r="DQ209" s="133" t="n">
        <v>-273.0</v>
      </c>
      <c r="DR209" s="134" t="n">
        <v>-4.3</v>
      </c>
      <c r="DS209" s="135" t="n">
        <v>2593.0</v>
      </c>
      <c r="DT209" s="136" t="n">
        <v>11.0</v>
      </c>
      <c r="DU209" s="137" t="n">
        <v>0.43</v>
      </c>
      <c r="DV209" s="138" t="n">
        <v>27550.0</v>
      </c>
      <c r="DW209" s="139" t="n">
        <v>-37.0</v>
      </c>
      <c r="DX209" s="140" t="n">
        <v>-0.13</v>
      </c>
      <c r="DY209" s="141" t="inlineStr">
        <is>
          <t>PitchBook Research</t>
        </is>
      </c>
      <c r="DZ209" s="142" t="n">
        <v>43416.0</v>
      </c>
      <c r="EA209" s="143" t="inlineStr">
        <is>
          <t/>
        </is>
      </c>
      <c r="EB209" s="144" t="inlineStr">
        <is>
          <t/>
        </is>
      </c>
      <c r="EC209" s="145" t="inlineStr">
        <is>
          <t/>
        </is>
      </c>
      <c r="ED209" s="547">
        <f>HYPERLINK("https://my.pitchbook.com?c=147047-32", "View company online")</f>
      </c>
    </row>
    <row r="210">
      <c r="A210" s="147" t="inlineStr">
        <is>
          <t>159337-00</t>
        </is>
      </c>
      <c r="B210" s="148" t="inlineStr">
        <is>
          <t>Ciba Vision</t>
        </is>
      </c>
      <c r="C210" s="149" t="inlineStr">
        <is>
          <t/>
        </is>
      </c>
      <c r="D210" s="150" t="inlineStr">
        <is>
          <t>Ciba</t>
        </is>
      </c>
      <c r="E210" s="151" t="inlineStr">
        <is>
          <t>159337-00</t>
        </is>
      </c>
      <c r="F210" s="152" t="inlineStr">
        <is>
          <t>Manufacturer of contact lenses and lens care products. The company's products include high-oxygen, breathable lenses for healthy eyes, high-oxygen extended wear lenses that can be worn for up to 30 continuous nights and daily disposable contact lenses enabling users to change, enhance and illuminate eyes.</t>
        </is>
      </c>
      <c r="G210" s="153" t="inlineStr">
        <is>
          <t>Consumer Products and Services (B2C)</t>
        </is>
      </c>
      <c r="H210" s="154" t="inlineStr">
        <is>
          <t>Apparel and Accessories</t>
        </is>
      </c>
      <c r="I210" s="155" t="inlineStr">
        <is>
          <t>Accessories</t>
        </is>
      </c>
      <c r="J210" s="156" t="inlineStr">
        <is>
          <t>Accessories*, Personal Products</t>
        </is>
      </c>
      <c r="K210" s="157" t="inlineStr">
        <is>
          <t>Manufacturing</t>
        </is>
      </c>
      <c r="L210" s="158" t="inlineStr">
        <is>
          <t>breathable lenses, cosmetic contact lens, cosmetic contact lenses</t>
        </is>
      </c>
      <c r="M210" s="159" t="inlineStr">
        <is>
          <t>Corporate Backed or Acquired</t>
        </is>
      </c>
      <c r="N210" s="160" t="inlineStr">
        <is>
          <t/>
        </is>
      </c>
      <c r="O210" s="161" t="inlineStr">
        <is>
          <t>Generating Revenue</t>
        </is>
      </c>
      <c r="P210" s="162" t="inlineStr">
        <is>
          <t>Acquired/Merged (Operating Subsidiary)</t>
        </is>
      </c>
      <c r="Q210" s="163" t="inlineStr">
        <is>
          <t>M&amp;A</t>
        </is>
      </c>
      <c r="R210" s="164" t="inlineStr">
        <is>
          <t>www.cibavision.us</t>
        </is>
      </c>
      <c r="S210" s="165" t="inlineStr">
        <is>
          <t/>
        </is>
      </c>
      <c r="T210" s="166" t="inlineStr">
        <is>
          <t/>
        </is>
      </c>
      <c r="U210" s="167" t="inlineStr">
        <is>
          <t/>
        </is>
      </c>
      <c r="V210" s="168" t="inlineStr">
        <is>
          <t/>
        </is>
      </c>
      <c r="W210" s="169" t="n">
        <v>1980.0</v>
      </c>
      <c r="X210" s="170" t="inlineStr">
        <is>
          <t>Alcon</t>
        </is>
      </c>
      <c r="Y210" s="171" t="inlineStr">
        <is>
          <t/>
        </is>
      </c>
      <c r="Z210" s="172" t="inlineStr">
        <is>
          <t/>
        </is>
      </c>
      <c r="AA210" s="173" t="n">
        <v>1200.0</v>
      </c>
      <c r="AB210" s="174" t="inlineStr">
        <is>
          <t/>
        </is>
      </c>
      <c r="AC210" s="175" t="inlineStr">
        <is>
          <t/>
        </is>
      </c>
      <c r="AD210" s="176" t="inlineStr">
        <is>
          <t/>
        </is>
      </c>
      <c r="AE210" s="177" t="inlineStr">
        <is>
          <t/>
        </is>
      </c>
      <c r="AF210" s="178" t="inlineStr">
        <is>
          <t>FY 2017</t>
        </is>
      </c>
      <c r="AG210" s="179" t="inlineStr">
        <is>
          <t/>
        </is>
      </c>
      <c r="AH210" s="180" t="inlineStr">
        <is>
          <t/>
        </is>
      </c>
      <c r="AI210" s="181" t="inlineStr">
        <is>
          <t/>
        </is>
      </c>
      <c r="AJ210" s="182" t="inlineStr">
        <is>
          <t>154961-11P</t>
        </is>
      </c>
      <c r="AK210" s="183" t="inlineStr">
        <is>
          <t>John McKenna</t>
        </is>
      </c>
      <c r="AL210" s="184" t="inlineStr">
        <is>
          <t>Chief Financial Officer</t>
        </is>
      </c>
      <c r="AM210" s="185" t="inlineStr">
        <is>
          <t>john.mckenna@cibavision.com</t>
        </is>
      </c>
      <c r="AN210" s="186" t="inlineStr">
        <is>
          <t>+1 (678) 415-4255</t>
        </is>
      </c>
      <c r="AO210" s="187" t="inlineStr">
        <is>
          <t>Duluth, GA</t>
        </is>
      </c>
      <c r="AP210" s="188" t="inlineStr">
        <is>
          <t>11460 Johns Creek Parkway</t>
        </is>
      </c>
      <c r="AQ210" s="189" t="inlineStr">
        <is>
          <t/>
        </is>
      </c>
      <c r="AR210" s="190" t="inlineStr">
        <is>
          <t>Duluth</t>
        </is>
      </c>
      <c r="AS210" s="191" t="inlineStr">
        <is>
          <t>Georgia</t>
        </is>
      </c>
      <c r="AT210" s="192" t="inlineStr">
        <is>
          <t>30097</t>
        </is>
      </c>
      <c r="AU210" s="193" t="inlineStr">
        <is>
          <t>United States</t>
        </is>
      </c>
      <c r="AV210" s="194" t="inlineStr">
        <is>
          <t>+1 (678) 415-4255</t>
        </is>
      </c>
      <c r="AW210" s="195" t="inlineStr">
        <is>
          <t/>
        </is>
      </c>
      <c r="AX210" s="196" t="inlineStr">
        <is>
          <t/>
        </is>
      </c>
      <c r="AY210" s="197" t="inlineStr">
        <is>
          <t>Americas</t>
        </is>
      </c>
      <c r="AZ210" s="198" t="inlineStr">
        <is>
          <t>North America</t>
        </is>
      </c>
      <c r="BA210" s="199" t="inlineStr">
        <is>
          <t>The company was acquired by CibaVision on February 9, 2012, for an undisclosed amount.</t>
        </is>
      </c>
      <c r="BB210" s="200" t="inlineStr">
        <is>
          <t/>
        </is>
      </c>
      <c r="BC210" s="201" t="inlineStr">
        <is>
          <t/>
        </is>
      </c>
      <c r="BD210" s="202" t="inlineStr">
        <is>
          <t>Alcon</t>
        </is>
      </c>
      <c r="BE210" s="203" t="inlineStr">
        <is>
          <t/>
        </is>
      </c>
      <c r="BF210" s="204" t="inlineStr">
        <is>
          <t/>
        </is>
      </c>
      <c r="BG210" s="205" t="inlineStr">
        <is>
          <t/>
        </is>
      </c>
      <c r="BH210" s="206" t="inlineStr">
        <is>
          <t/>
        </is>
      </c>
      <c r="BI210" s="207" t="inlineStr">
        <is>
          <t/>
        </is>
      </c>
      <c r="BJ210" s="208" t="inlineStr">
        <is>
          <t>Hi Tech Partners(Consulting), Hunt Executive Search(Consulting), Meridian Associates (Chicago)(Consulting)</t>
        </is>
      </c>
      <c r="BK210" s="209" t="inlineStr">
        <is>
          <t/>
        </is>
      </c>
      <c r="BL210" s="210" t="n">
        <v>40948.0</v>
      </c>
      <c r="BM210" s="211" t="inlineStr">
        <is>
          <t/>
        </is>
      </c>
      <c r="BN210" s="212" t="inlineStr">
        <is>
          <t/>
        </is>
      </c>
      <c r="BO210" s="213" t="inlineStr">
        <is>
          <t/>
        </is>
      </c>
      <c r="BP210" s="214" t="inlineStr">
        <is>
          <t/>
        </is>
      </c>
      <c r="BQ210" s="215" t="inlineStr">
        <is>
          <t>Merger/Acquisition</t>
        </is>
      </c>
      <c r="BR210" s="216" t="inlineStr">
        <is>
          <t/>
        </is>
      </c>
      <c r="BS210" s="217" t="inlineStr">
        <is>
          <t/>
        </is>
      </c>
      <c r="BT210" s="218" t="inlineStr">
        <is>
          <t>Corporate</t>
        </is>
      </c>
      <c r="BU210" s="219" t="inlineStr">
        <is>
          <t/>
        </is>
      </c>
      <c r="BV210" s="220" t="inlineStr">
        <is>
          <t/>
        </is>
      </c>
      <c r="BW210" s="221" t="inlineStr">
        <is>
          <t/>
        </is>
      </c>
      <c r="BX210" s="222" t="inlineStr">
        <is>
          <t>Completed</t>
        </is>
      </c>
      <c r="BY210" s="223" t="n">
        <v>40948.0</v>
      </c>
      <c r="BZ210" s="224" t="inlineStr">
        <is>
          <t/>
        </is>
      </c>
      <c r="CA210" s="225" t="inlineStr">
        <is>
          <t/>
        </is>
      </c>
      <c r="CB210" s="226" t="inlineStr">
        <is>
          <t/>
        </is>
      </c>
      <c r="CC210" s="227" t="inlineStr">
        <is>
          <t/>
        </is>
      </c>
      <c r="CD210" s="228" t="inlineStr">
        <is>
          <t>Merger/Acquisition</t>
        </is>
      </c>
      <c r="CE210" s="229" t="inlineStr">
        <is>
          <t/>
        </is>
      </c>
      <c r="CF210" s="230" t="inlineStr">
        <is>
          <t/>
        </is>
      </c>
      <c r="CG210" s="231" t="inlineStr">
        <is>
          <t>Corporate</t>
        </is>
      </c>
      <c r="CH210" s="232" t="inlineStr">
        <is>
          <t/>
        </is>
      </c>
      <c r="CI210" s="233" t="inlineStr">
        <is>
          <t/>
        </is>
      </c>
      <c r="CJ210" s="234" t="inlineStr">
        <is>
          <t/>
        </is>
      </c>
      <c r="CK210" s="235" t="inlineStr">
        <is>
          <t>Completed</t>
        </is>
      </c>
      <c r="CL210" s="236" t="inlineStr">
        <is>
          <t/>
        </is>
      </c>
      <c r="CM210" s="237" t="inlineStr">
        <is>
          <t/>
        </is>
      </c>
      <c r="CN210" s="238" t="n">
        <v>-0.03</v>
      </c>
      <c r="CO210" s="239" t="n">
        <v>15.0</v>
      </c>
      <c r="CP210" s="240" t="n">
        <v>-0.02</v>
      </c>
      <c r="CQ210" s="241" t="n">
        <v>-150.2</v>
      </c>
      <c r="CR210" s="242" t="n">
        <v>0.0</v>
      </c>
      <c r="CS210" s="243" t="n">
        <v>14.0</v>
      </c>
      <c r="CT210" s="244" t="n">
        <v>-0.06</v>
      </c>
      <c r="CU210" s="245" t="n">
        <v>13.0</v>
      </c>
      <c r="CV210" s="246" t="inlineStr">
        <is>
          <t/>
        </is>
      </c>
      <c r="CW210" s="247" t="inlineStr">
        <is>
          <t/>
        </is>
      </c>
      <c r="CX210" s="248" t="n">
        <v>0.0</v>
      </c>
      <c r="CY210" s="249" t="n">
        <v>11.0</v>
      </c>
      <c r="CZ210" s="250" t="n">
        <v>-0.06</v>
      </c>
      <c r="DA210" s="251" t="n">
        <v>16.0</v>
      </c>
      <c r="DB210" s="252" t="n">
        <v>1.46</v>
      </c>
      <c r="DC210" s="253" t="n">
        <v>60.0</v>
      </c>
      <c r="DD210" s="254" t="n">
        <v>0.02</v>
      </c>
      <c r="DE210" s="255" t="n">
        <v>1.34</v>
      </c>
      <c r="DF210" s="256" t="n">
        <v>0.12</v>
      </c>
      <c r="DG210" s="257" t="n">
        <v>9.0</v>
      </c>
      <c r="DH210" s="258" t="n">
        <v>2.81</v>
      </c>
      <c r="DI210" s="259" t="n">
        <v>69.0</v>
      </c>
      <c r="DJ210" s="260" t="inlineStr">
        <is>
          <t/>
        </is>
      </c>
      <c r="DK210" s="261" t="inlineStr">
        <is>
          <t/>
        </is>
      </c>
      <c r="DL210" s="262" t="n">
        <v>0.12</v>
      </c>
      <c r="DM210" s="263" t="n">
        <v>9.0</v>
      </c>
      <c r="DN210" s="264" t="n">
        <v>2.81</v>
      </c>
      <c r="DO210" s="265" t="n">
        <v>70.0</v>
      </c>
      <c r="DP210" s="266" t="inlineStr">
        <is>
          <t/>
        </is>
      </c>
      <c r="DQ210" s="267" t="inlineStr">
        <is>
          <t/>
        </is>
      </c>
      <c r="DR210" s="268" t="inlineStr">
        <is>
          <t/>
        </is>
      </c>
      <c r="DS210" s="269" t="n">
        <v>4.0</v>
      </c>
      <c r="DT210" s="270" t="n">
        <v>0.0</v>
      </c>
      <c r="DU210" s="271" t="n">
        <v>0.0</v>
      </c>
      <c r="DV210" s="272" t="n">
        <v>1009.0</v>
      </c>
      <c r="DW210" s="273" t="n">
        <v>-2.0</v>
      </c>
      <c r="DX210" s="274" t="n">
        <v>-0.2</v>
      </c>
      <c r="DY210" s="275" t="inlineStr">
        <is>
          <t>PitchBook Research</t>
        </is>
      </c>
      <c r="DZ210" s="276" t="n">
        <v>43398.0</v>
      </c>
      <c r="EA210" s="277" t="inlineStr">
        <is>
          <t/>
        </is>
      </c>
      <c r="EB210" s="278" t="inlineStr">
        <is>
          <t/>
        </is>
      </c>
      <c r="EC210" s="279" t="inlineStr">
        <is>
          <t/>
        </is>
      </c>
      <c r="ED210" s="548">
        <f>HYPERLINK("https://my.pitchbook.com?c=159337-00", "View company online")</f>
      </c>
    </row>
    <row r="211">
      <c r="A211" s="13" t="inlineStr">
        <is>
          <t>152445-25</t>
        </is>
      </c>
      <c r="B211" s="14" t="inlineStr">
        <is>
          <t>Goldas</t>
        </is>
      </c>
      <c r="C211" s="15" t="inlineStr">
        <is>
          <t/>
        </is>
      </c>
      <c r="D211" s="16" t="inlineStr">
        <is>
          <t/>
        </is>
      </c>
      <c r="E211" s="17" t="inlineStr">
        <is>
          <t>152445-25</t>
        </is>
      </c>
      <c r="F211" s="18" t="inlineStr">
        <is>
          <t>Manufacturer of precious metal products. The company is engaged in the manufacture and sale of precious metal products, such as gold and silver jewelry, as well as trade of precious crude metals. It produces jewelry, including rings, earrings, necklaces, pins, bracelets and tie tacks from eight to 24 carat gold, and 925 carat silver.</t>
        </is>
      </c>
      <c r="G211" s="19" t="inlineStr">
        <is>
          <t>Consumer Products and Services (B2C)</t>
        </is>
      </c>
      <c r="H211" s="20" t="inlineStr">
        <is>
          <t>Apparel and Accessories</t>
        </is>
      </c>
      <c r="I211" s="21" t="inlineStr">
        <is>
          <t>Accessories</t>
        </is>
      </c>
      <c r="J211" s="22" t="inlineStr">
        <is>
          <t>Accessories*, Precious Metals and Minerals Mining</t>
        </is>
      </c>
      <c r="K211" s="23" t="inlineStr">
        <is>
          <t>Manufacturing</t>
        </is>
      </c>
      <c r="L211" s="24" t="inlineStr">
        <is>
          <t>metal mining service, silver jewelry manufacturer</t>
        </is>
      </c>
      <c r="M211" s="25" t="inlineStr">
        <is>
          <t>Formerly PE-Backed</t>
        </is>
      </c>
      <c r="N211" s="26" t="n">
        <v>38.81</v>
      </c>
      <c r="O211" s="27" t="inlineStr">
        <is>
          <t>Bankruptcy: Liquidation</t>
        </is>
      </c>
      <c r="P211" s="28" t="inlineStr">
        <is>
          <t>Out of Business</t>
        </is>
      </c>
      <c r="Q211" s="29" t="inlineStr">
        <is>
          <t>Private Equity, Publicly Listed</t>
        </is>
      </c>
      <c r="R211" s="30" t="inlineStr">
        <is>
          <t>www.goldas.com</t>
        </is>
      </c>
      <c r="S211" s="31" t="n">
        <v>151.0</v>
      </c>
      <c r="T211" s="32" t="inlineStr">
        <is>
          <t>2008: 447, 2010: 424, 2011: 313, 2012: 245</t>
        </is>
      </c>
      <c r="U211" s="33" t="inlineStr">
        <is>
          <t/>
        </is>
      </c>
      <c r="V211" s="34" t="inlineStr">
        <is>
          <t/>
        </is>
      </c>
      <c r="W211" s="35" t="n">
        <v>1993.0</v>
      </c>
      <c r="X211" s="36" t="inlineStr">
        <is>
          <t/>
        </is>
      </c>
      <c r="Y211" s="37" t="inlineStr">
        <is>
          <t/>
        </is>
      </c>
      <c r="Z211" s="38" t="inlineStr">
        <is>
          <t/>
        </is>
      </c>
      <c r="AA211" s="39" t="n">
        <v>1195.14</v>
      </c>
      <c r="AB211" s="40" t="n">
        <v>1.62</v>
      </c>
      <c r="AC211" s="41" t="n">
        <v>12.52</v>
      </c>
      <c r="AD211" s="42" t="n">
        <v>61.71</v>
      </c>
      <c r="AE211" s="43" t="n">
        <v>12.54</v>
      </c>
      <c r="AF211" s="44" t="inlineStr">
        <is>
          <t>TTM 3Q2012</t>
        </is>
      </c>
      <c r="AG211" s="45" t="inlineStr">
        <is>
          <t/>
        </is>
      </c>
      <c r="AH211" s="46" t="inlineStr">
        <is>
          <t/>
        </is>
      </c>
      <c r="AI211" s="47" t="inlineStr">
        <is>
          <t/>
        </is>
      </c>
      <c r="AJ211" s="48" t="inlineStr">
        <is>
          <t>126179-56P</t>
        </is>
      </c>
      <c r="AK211" s="49" t="inlineStr">
        <is>
          <t>M. Sedat Yalinkaya</t>
        </is>
      </c>
      <c r="AL211" s="50" t="inlineStr">
        <is>
          <t>Chief Executive Officer &amp; Board Member</t>
        </is>
      </c>
      <c r="AM211" s="51" t="inlineStr">
        <is>
          <t/>
        </is>
      </c>
      <c r="AN211" s="52" t="inlineStr">
        <is>
          <t/>
        </is>
      </c>
      <c r="AO211" s="53" t="inlineStr">
        <is>
          <t>Istanbul, Turkey</t>
        </is>
      </c>
      <c r="AP211" s="54" t="inlineStr">
        <is>
          <t>Keresteciler Sitesi Ihlamur Sk.</t>
        </is>
      </c>
      <c r="AQ211" s="55" t="inlineStr">
        <is>
          <t>No:4-6 Merter</t>
        </is>
      </c>
      <c r="AR211" s="56" t="inlineStr">
        <is>
          <t>Istanbul</t>
        </is>
      </c>
      <c r="AS211" s="57" t="inlineStr">
        <is>
          <t/>
        </is>
      </c>
      <c r="AT211" s="58" t="inlineStr">
        <is>
          <t>34169</t>
        </is>
      </c>
      <c r="AU211" s="59" t="inlineStr">
        <is>
          <t>Turkey</t>
        </is>
      </c>
      <c r="AV211" s="60" t="inlineStr">
        <is>
          <t/>
        </is>
      </c>
      <c r="AW211" s="61" t="inlineStr">
        <is>
          <t/>
        </is>
      </c>
      <c r="AX211" s="62" t="inlineStr">
        <is>
          <t/>
        </is>
      </c>
      <c r="AY211" s="63" t="inlineStr">
        <is>
          <t>Middle East</t>
        </is>
      </c>
      <c r="AZ211" s="64" t="inlineStr">
        <is>
          <t>Middle East</t>
        </is>
      </c>
      <c r="BA211" s="65" t="inlineStr">
        <is>
          <t>The company (OTC: GDASY) was liquidated and ceased operations in April 2013 and is no longer actively tracked by PitchBook.</t>
        </is>
      </c>
      <c r="BB211" s="66" t="inlineStr">
        <is>
          <t/>
        </is>
      </c>
      <c r="BC211" s="67" t="inlineStr">
        <is>
          <t/>
        </is>
      </c>
      <c r="BD211" s="68" t="inlineStr">
        <is>
          <t/>
        </is>
      </c>
      <c r="BE211" s="69" t="inlineStr">
        <is>
          <t>Global Emerging Markets</t>
        </is>
      </c>
      <c r="BF211" s="70" t="inlineStr">
        <is>
          <t/>
        </is>
      </c>
      <c r="BG211" s="71" t="inlineStr">
        <is>
          <t/>
        </is>
      </c>
      <c r="BH211" s="72" t="inlineStr">
        <is>
          <t>Global Emerging Markets(www.gemny.com)</t>
        </is>
      </c>
      <c r="BI211" s="73" t="inlineStr">
        <is>
          <t/>
        </is>
      </c>
      <c r="BJ211" s="74" t="inlineStr">
        <is>
          <t/>
        </is>
      </c>
      <c r="BK211" s="75" t="inlineStr">
        <is>
          <t/>
        </is>
      </c>
      <c r="BL211" s="76" t="n">
        <v>36522.0</v>
      </c>
      <c r="BM211" s="77" t="inlineStr">
        <is>
          <t/>
        </is>
      </c>
      <c r="BN211" s="78" t="inlineStr">
        <is>
          <t/>
        </is>
      </c>
      <c r="BO211" s="79" t="inlineStr">
        <is>
          <t/>
        </is>
      </c>
      <c r="BP211" s="80" t="inlineStr">
        <is>
          <t/>
        </is>
      </c>
      <c r="BQ211" s="81" t="inlineStr">
        <is>
          <t>IPO</t>
        </is>
      </c>
      <c r="BR211" s="82" t="inlineStr">
        <is>
          <t/>
        </is>
      </c>
      <c r="BS211" s="83" t="inlineStr">
        <is>
          <t/>
        </is>
      </c>
      <c r="BT211" s="84" t="inlineStr">
        <is>
          <t>Public Investment</t>
        </is>
      </c>
      <c r="BU211" s="85" t="inlineStr">
        <is>
          <t/>
        </is>
      </c>
      <c r="BV211" s="86" t="inlineStr">
        <is>
          <t/>
        </is>
      </c>
      <c r="BW211" s="87" t="inlineStr">
        <is>
          <t/>
        </is>
      </c>
      <c r="BX211" s="88" t="inlineStr">
        <is>
          <t>Completed</t>
        </is>
      </c>
      <c r="BY211" s="89" t="n">
        <v>41365.0</v>
      </c>
      <c r="BZ211" s="90" t="inlineStr">
        <is>
          <t/>
        </is>
      </c>
      <c r="CA211" s="91" t="inlineStr">
        <is>
          <t/>
        </is>
      </c>
      <c r="CB211" s="92" t="inlineStr">
        <is>
          <t/>
        </is>
      </c>
      <c r="CC211" s="93" t="inlineStr">
        <is>
          <t/>
        </is>
      </c>
      <c r="CD211" s="94" t="inlineStr">
        <is>
          <t>Bankruptcy: Liquidation</t>
        </is>
      </c>
      <c r="CE211" s="95" t="inlineStr">
        <is>
          <t/>
        </is>
      </c>
      <c r="CF211" s="96" t="inlineStr">
        <is>
          <t/>
        </is>
      </c>
      <c r="CG211" s="97" t="inlineStr">
        <is>
          <t>Bankruptcy</t>
        </is>
      </c>
      <c r="CH211" s="98" t="inlineStr">
        <is>
          <t/>
        </is>
      </c>
      <c r="CI211" s="99" t="inlineStr">
        <is>
          <t/>
        </is>
      </c>
      <c r="CJ211" s="100" t="inlineStr">
        <is>
          <t/>
        </is>
      </c>
      <c r="CK211" s="101" t="inlineStr">
        <is>
          <t>Completed</t>
        </is>
      </c>
      <c r="CL211" s="102" t="inlineStr">
        <is>
          <t/>
        </is>
      </c>
      <c r="CM211" s="103" t="inlineStr">
        <is>
          <t/>
        </is>
      </c>
      <c r="CN211" s="104" t="inlineStr">
        <is>
          <t/>
        </is>
      </c>
      <c r="CO211" s="105" t="inlineStr">
        <is>
          <t/>
        </is>
      </c>
      <c r="CP211" s="106" t="inlineStr">
        <is>
          <t/>
        </is>
      </c>
      <c r="CQ211" s="107" t="inlineStr">
        <is>
          <t/>
        </is>
      </c>
      <c r="CR211" s="108" t="inlineStr">
        <is>
          <t/>
        </is>
      </c>
      <c r="CS211" s="109" t="inlineStr">
        <is>
          <t/>
        </is>
      </c>
      <c r="CT211" s="110" t="inlineStr">
        <is>
          <t/>
        </is>
      </c>
      <c r="CU211" s="111" t="inlineStr">
        <is>
          <t/>
        </is>
      </c>
      <c r="CV211" s="112" t="inlineStr">
        <is>
          <t/>
        </is>
      </c>
      <c r="CW211" s="113" t="inlineStr">
        <is>
          <t/>
        </is>
      </c>
      <c r="CX211" s="114" t="inlineStr">
        <is>
          <t/>
        </is>
      </c>
      <c r="CY211" s="115" t="inlineStr">
        <is>
          <t/>
        </is>
      </c>
      <c r="CZ211" s="116" t="inlineStr">
        <is>
          <t/>
        </is>
      </c>
      <c r="DA211" s="117" t="inlineStr">
        <is>
          <t/>
        </is>
      </c>
      <c r="DB211" s="118" t="inlineStr">
        <is>
          <t/>
        </is>
      </c>
      <c r="DC211" s="119" t="inlineStr">
        <is>
          <t/>
        </is>
      </c>
      <c r="DD211" s="120" t="inlineStr">
        <is>
          <t/>
        </is>
      </c>
      <c r="DE211" s="121" t="inlineStr">
        <is>
          <t/>
        </is>
      </c>
      <c r="DF211" s="122" t="inlineStr">
        <is>
          <t/>
        </is>
      </c>
      <c r="DG211" s="123" t="inlineStr">
        <is>
          <t/>
        </is>
      </c>
      <c r="DH211" s="124" t="inlineStr">
        <is>
          <t/>
        </is>
      </c>
      <c r="DI211" s="125" t="inlineStr">
        <is>
          <t/>
        </is>
      </c>
      <c r="DJ211" s="126" t="inlineStr">
        <is>
          <t/>
        </is>
      </c>
      <c r="DK211" s="127" t="inlineStr">
        <is>
          <t/>
        </is>
      </c>
      <c r="DL211" s="128" t="inlineStr">
        <is>
          <t/>
        </is>
      </c>
      <c r="DM211" s="129" t="inlineStr">
        <is>
          <t/>
        </is>
      </c>
      <c r="DN211" s="130" t="inlineStr">
        <is>
          <t/>
        </is>
      </c>
      <c r="DO211" s="131" t="inlineStr">
        <is>
          <t/>
        </is>
      </c>
      <c r="DP211" s="132" t="inlineStr">
        <is>
          <t/>
        </is>
      </c>
      <c r="DQ211" s="133" t="inlineStr">
        <is>
          <t/>
        </is>
      </c>
      <c r="DR211" s="134" t="inlineStr">
        <is>
          <t/>
        </is>
      </c>
      <c r="DS211" s="135" t="inlineStr">
        <is>
          <t/>
        </is>
      </c>
      <c r="DT211" s="136" t="inlineStr">
        <is>
          <t/>
        </is>
      </c>
      <c r="DU211" s="137" t="inlineStr">
        <is>
          <t/>
        </is>
      </c>
      <c r="DV211" s="138" t="inlineStr">
        <is>
          <t/>
        </is>
      </c>
      <c r="DW211" s="139" t="inlineStr">
        <is>
          <t/>
        </is>
      </c>
      <c r="DX211" s="140" t="inlineStr">
        <is>
          <t/>
        </is>
      </c>
      <c r="DY211" s="141" t="inlineStr">
        <is>
          <t>PitchBook Research</t>
        </is>
      </c>
      <c r="DZ211" s="142" t="n">
        <v>43351.0</v>
      </c>
      <c r="EA211" s="143" t="inlineStr">
        <is>
          <t/>
        </is>
      </c>
      <c r="EB211" s="144" t="inlineStr">
        <is>
          <t/>
        </is>
      </c>
      <c r="EC211" s="145" t="inlineStr">
        <is>
          <t/>
        </is>
      </c>
      <c r="ED211" s="547">
        <f>HYPERLINK("https://my.pitchbook.com?c=152445-25", "View company online")</f>
      </c>
    </row>
    <row r="212">
      <c r="A212" s="147" t="inlineStr">
        <is>
          <t>165587-50</t>
        </is>
      </c>
      <c r="B212" s="148" t="inlineStr">
        <is>
          <t>Handsome (South Korea) (KRX: 020000)</t>
        </is>
      </c>
      <c r="C212" s="149" t="inlineStr">
        <is>
          <t/>
        </is>
      </c>
      <c r="D212" s="150" t="inlineStr">
        <is>
          <t>TheHandsome.com</t>
        </is>
      </c>
      <c r="E212" s="151" t="inlineStr">
        <is>
          <t>165587-50</t>
        </is>
      </c>
      <c r="F212" s="152" t="inlineStr">
        <is>
          <t>Handsome Corp is a Korea-based apparel manufacturer. Its key business includes the manufacturing and marketing of various types of apparel under brands such as Time, Time Homme, Mine, System, System Homme, SJSJ, Chloe and Lanvin. The company's marketing channel comprises of department stores, sales agencies and direct management agencies. A nominal portion of its revenue is generated through rentals and golf resort operations.</t>
        </is>
      </c>
      <c r="G212" s="153" t="inlineStr">
        <is>
          <t>Consumer Products and Services (B2C)</t>
        </is>
      </c>
      <c r="H212" s="154" t="inlineStr">
        <is>
          <t>Apparel and Accessories</t>
        </is>
      </c>
      <c r="I212" s="155" t="inlineStr">
        <is>
          <t>Clothing</t>
        </is>
      </c>
      <c r="J212" s="156" t="inlineStr">
        <is>
          <t>Accessories, Clothing*</t>
        </is>
      </c>
      <c r="K212" s="157" t="inlineStr">
        <is>
          <t>Manufacturing</t>
        </is>
      </c>
      <c r="L212" s="158" t="inlineStr">
        <is>
          <t>accessory manufacturer, apparel manufacturing</t>
        </is>
      </c>
      <c r="M212" s="159" t="inlineStr">
        <is>
          <t>Corporation</t>
        </is>
      </c>
      <c r="N212" s="160" t="inlineStr">
        <is>
          <t/>
        </is>
      </c>
      <c r="O212" s="161" t="inlineStr">
        <is>
          <t>Profitable</t>
        </is>
      </c>
      <c r="P212" s="162" t="inlineStr">
        <is>
          <t>Publicly Held</t>
        </is>
      </c>
      <c r="Q212" s="163" t="inlineStr">
        <is>
          <t>Publicly Listed</t>
        </is>
      </c>
      <c r="R212" s="164" t="inlineStr">
        <is>
          <t>www.thehandsome.com</t>
        </is>
      </c>
      <c r="S212" s="165" t="n">
        <v>989.0</v>
      </c>
      <c r="T212" s="166" t="inlineStr">
        <is>
          <t>2007: 974, 2008: 886, 2009: 860, 2010: 832, 2011: 542, 2012: 591, 2013: 672, 2014: 767, 2015: 881, 2016: 991, 2017: 1040, 2018: 989</t>
        </is>
      </c>
      <c r="U212" s="167" t="inlineStr">
        <is>
          <t>KRX</t>
        </is>
      </c>
      <c r="V212" s="168" t="inlineStr">
        <is>
          <t>020000</t>
        </is>
      </c>
      <c r="W212" s="169" t="n">
        <v>1987.0</v>
      </c>
      <c r="X212" s="170" t="inlineStr">
        <is>
          <t/>
        </is>
      </c>
      <c r="Y212" s="171" t="inlineStr">
        <is>
          <t/>
        </is>
      </c>
      <c r="Z212" s="172" t="inlineStr">
        <is>
          <t/>
        </is>
      </c>
      <c r="AA212" s="173" t="n">
        <v>1182.05</v>
      </c>
      <c r="AB212" s="174" t="n">
        <v>679.47</v>
      </c>
      <c r="AC212" s="175" t="n">
        <v>67.65</v>
      </c>
      <c r="AD212" s="176" t="n">
        <v>626.82</v>
      </c>
      <c r="AE212" s="177" t="n">
        <v>115.19</v>
      </c>
      <c r="AF212" s="178" t="inlineStr">
        <is>
          <t>FY 2018</t>
        </is>
      </c>
      <c r="AG212" s="179" t="n">
        <v>89.7</v>
      </c>
      <c r="AH212" s="180" t="n">
        <v>794.16</v>
      </c>
      <c r="AI212" s="181" t="n">
        <v>-85.33</v>
      </c>
      <c r="AJ212" s="182" t="inlineStr">
        <is>
          <t/>
        </is>
      </c>
      <c r="AK212" s="183" t="inlineStr">
        <is>
          <t/>
        </is>
      </c>
      <c r="AL212" s="184" t="inlineStr">
        <is>
          <t/>
        </is>
      </c>
      <c r="AM212" s="185" t="inlineStr">
        <is>
          <t/>
        </is>
      </c>
      <c r="AN212" s="186" t="inlineStr">
        <is>
          <t/>
        </is>
      </c>
      <c r="AO212" s="187" t="inlineStr">
        <is>
          <t>Seoul, South Korea</t>
        </is>
      </c>
      <c r="AP212" s="188" t="inlineStr">
        <is>
          <t>523, Donsan daero</t>
        </is>
      </c>
      <c r="AQ212" s="189" t="inlineStr">
        <is>
          <t>Cheongdam dong, Gangnam- gu</t>
        </is>
      </c>
      <c r="AR212" s="190" t="inlineStr">
        <is>
          <t>Seoul</t>
        </is>
      </c>
      <c r="AS212" s="191" t="inlineStr">
        <is>
          <t/>
        </is>
      </c>
      <c r="AT212" s="192" t="inlineStr">
        <is>
          <t>06013</t>
        </is>
      </c>
      <c r="AU212" s="193" t="inlineStr">
        <is>
          <t>South Korea</t>
        </is>
      </c>
      <c r="AV212" s="194" t="inlineStr">
        <is>
          <t>+82 (0)23 416 2000</t>
        </is>
      </c>
      <c r="AW212" s="195" t="inlineStr">
        <is>
          <t>+82 (0)2 518 1828</t>
        </is>
      </c>
      <c r="AX212" s="196" t="inlineStr">
        <is>
          <t/>
        </is>
      </c>
      <c r="AY212" s="197" t="inlineStr">
        <is>
          <t>Asia</t>
        </is>
      </c>
      <c r="AZ212" s="198" t="inlineStr">
        <is>
          <t>East Asia</t>
        </is>
      </c>
      <c r="BA212" s="199" t="inlineStr">
        <is>
          <t/>
        </is>
      </c>
      <c r="BB212" s="200" t="inlineStr">
        <is>
          <t/>
        </is>
      </c>
      <c r="BC212" s="201" t="inlineStr">
        <is>
          <t/>
        </is>
      </c>
      <c r="BD212" s="202" t="inlineStr">
        <is>
          <t/>
        </is>
      </c>
      <c r="BE212" s="203" t="inlineStr">
        <is>
          <t/>
        </is>
      </c>
      <c r="BF212" s="204" t="inlineStr">
        <is>
          <t/>
        </is>
      </c>
      <c r="BG212" s="205" t="inlineStr">
        <is>
          <t/>
        </is>
      </c>
      <c r="BH212" s="206" t="inlineStr">
        <is>
          <t/>
        </is>
      </c>
      <c r="BI212" s="207" t="inlineStr">
        <is>
          <t/>
        </is>
      </c>
      <c r="BJ212" s="208" t="inlineStr">
        <is>
          <t/>
        </is>
      </c>
      <c r="BK212" s="209" t="inlineStr">
        <is>
          <t/>
        </is>
      </c>
      <c r="BL212" s="210" t="inlineStr">
        <is>
          <t/>
        </is>
      </c>
      <c r="BM212" s="211" t="inlineStr">
        <is>
          <t/>
        </is>
      </c>
      <c r="BN212" s="212" t="inlineStr">
        <is>
          <t/>
        </is>
      </c>
      <c r="BO212" s="213" t="inlineStr">
        <is>
          <t/>
        </is>
      </c>
      <c r="BP212" s="214" t="inlineStr">
        <is>
          <t/>
        </is>
      </c>
      <c r="BQ212" s="215" t="inlineStr">
        <is>
          <t/>
        </is>
      </c>
      <c r="BR212" s="216" t="inlineStr">
        <is>
          <t/>
        </is>
      </c>
      <c r="BS212" s="217" t="inlineStr">
        <is>
          <t/>
        </is>
      </c>
      <c r="BT212" s="218" t="inlineStr">
        <is>
          <t/>
        </is>
      </c>
      <c r="BU212" s="219" t="inlineStr">
        <is>
          <t/>
        </is>
      </c>
      <c r="BV212" s="220" t="inlineStr">
        <is>
          <t/>
        </is>
      </c>
      <c r="BW212" s="221" t="inlineStr">
        <is>
          <t/>
        </is>
      </c>
      <c r="BX212" s="222" t="inlineStr">
        <is>
          <t/>
        </is>
      </c>
      <c r="BY212" s="223" t="inlineStr">
        <is>
          <t/>
        </is>
      </c>
      <c r="BZ212" s="224" t="inlineStr">
        <is>
          <t/>
        </is>
      </c>
      <c r="CA212" s="225" t="inlineStr">
        <is>
          <t/>
        </is>
      </c>
      <c r="CB212" s="226" t="inlineStr">
        <is>
          <t/>
        </is>
      </c>
      <c r="CC212" s="227" t="inlineStr">
        <is>
          <t/>
        </is>
      </c>
      <c r="CD212" s="228" t="inlineStr">
        <is>
          <t/>
        </is>
      </c>
      <c r="CE212" s="229" t="inlineStr">
        <is>
          <t/>
        </is>
      </c>
      <c r="CF212" s="230" t="inlineStr">
        <is>
          <t/>
        </is>
      </c>
      <c r="CG212" s="231" t="inlineStr">
        <is>
          <t/>
        </is>
      </c>
      <c r="CH212" s="232" t="inlineStr">
        <is>
          <t/>
        </is>
      </c>
      <c r="CI212" s="233" t="inlineStr">
        <is>
          <t/>
        </is>
      </c>
      <c r="CJ212" s="234" t="inlineStr">
        <is>
          <t/>
        </is>
      </c>
      <c r="CK212" s="235" t="inlineStr">
        <is>
          <t/>
        </is>
      </c>
      <c r="CL212" s="236" t="inlineStr">
        <is>
          <t/>
        </is>
      </c>
      <c r="CM212" s="237" t="inlineStr">
        <is>
          <t/>
        </is>
      </c>
      <c r="CN212" s="238" t="n">
        <v>-5.03</v>
      </c>
      <c r="CO212" s="239" t="n">
        <v>1.0</v>
      </c>
      <c r="CP212" s="240" t="n">
        <v>0.0</v>
      </c>
      <c r="CQ212" s="241" t="n">
        <v>0.0</v>
      </c>
      <c r="CR212" s="242" t="n">
        <v>-5.03</v>
      </c>
      <c r="CS212" s="243" t="n">
        <v>1.0</v>
      </c>
      <c r="CT212" s="244" t="inlineStr">
        <is>
          <t/>
        </is>
      </c>
      <c r="CU212" s="245" t="inlineStr">
        <is>
          <t/>
        </is>
      </c>
      <c r="CV212" s="246" t="n">
        <v>-5.03</v>
      </c>
      <c r="CW212" s="247" t="n">
        <v>8.0</v>
      </c>
      <c r="CX212" s="248" t="inlineStr">
        <is>
          <t/>
        </is>
      </c>
      <c r="CY212" s="249" t="inlineStr">
        <is>
          <t/>
        </is>
      </c>
      <c r="CZ212" s="250" t="inlineStr">
        <is>
          <t/>
        </is>
      </c>
      <c r="DA212" s="251" t="inlineStr">
        <is>
          <t/>
        </is>
      </c>
      <c r="DB212" s="252" t="n">
        <v>2.59</v>
      </c>
      <c r="DC212" s="253" t="n">
        <v>72.0</v>
      </c>
      <c r="DD212" s="254" t="n">
        <v>0.0</v>
      </c>
      <c r="DE212" s="255" t="n">
        <v>0.0</v>
      </c>
      <c r="DF212" s="256" t="n">
        <v>2.59</v>
      </c>
      <c r="DG212" s="257" t="n">
        <v>72.0</v>
      </c>
      <c r="DH212" s="258" t="inlineStr">
        <is>
          <t/>
        </is>
      </c>
      <c r="DI212" s="259" t="inlineStr">
        <is>
          <t/>
        </is>
      </c>
      <c r="DJ212" s="260" t="n">
        <v>2.59</v>
      </c>
      <c r="DK212" s="261" t="n">
        <v>69.0</v>
      </c>
      <c r="DL212" s="262" t="inlineStr">
        <is>
          <t/>
        </is>
      </c>
      <c r="DM212" s="263" t="inlineStr">
        <is>
          <t/>
        </is>
      </c>
      <c r="DN212" s="264" t="inlineStr">
        <is>
          <t/>
        </is>
      </c>
      <c r="DO212" s="265" t="inlineStr">
        <is>
          <t/>
        </is>
      </c>
      <c r="DP212" s="266" t="n">
        <v>1873.0</v>
      </c>
      <c r="DQ212" s="267" t="n">
        <v>-243.0</v>
      </c>
      <c r="DR212" s="268" t="n">
        <v>-11.48</v>
      </c>
      <c r="DS212" s="269" t="inlineStr">
        <is>
          <t/>
        </is>
      </c>
      <c r="DT212" s="270" t="inlineStr">
        <is>
          <t/>
        </is>
      </c>
      <c r="DU212" s="271" t="inlineStr">
        <is>
          <t/>
        </is>
      </c>
      <c r="DV212" s="272" t="inlineStr">
        <is>
          <t/>
        </is>
      </c>
      <c r="DW212" s="273" t="inlineStr">
        <is>
          <t/>
        </is>
      </c>
      <c r="DX212" s="274" t="inlineStr">
        <is>
          <t/>
        </is>
      </c>
      <c r="DY212" s="275" t="inlineStr">
        <is>
          <t>PitchBook Research</t>
        </is>
      </c>
      <c r="DZ212" s="276" t="n">
        <v>43491.0</v>
      </c>
      <c r="EA212" s="277" t="inlineStr">
        <is>
          <t/>
        </is>
      </c>
      <c r="EB212" s="278" t="inlineStr">
        <is>
          <t/>
        </is>
      </c>
      <c r="EC212" s="279" t="inlineStr">
        <is>
          <t/>
        </is>
      </c>
      <c r="ED212" s="548">
        <f>HYPERLINK("https://my.pitchbook.com?c=165587-50", "View company online")</f>
      </c>
    </row>
    <row r="213">
      <c r="A213" s="13" t="inlineStr">
        <is>
          <t>59357-80</t>
        </is>
      </c>
      <c r="B213" s="14" t="inlineStr">
        <is>
          <t>SuperGroup (LON: SDRY)</t>
        </is>
      </c>
      <c r="C213" s="15" t="inlineStr">
        <is>
          <t/>
        </is>
      </c>
      <c r="D213" s="16" t="inlineStr">
        <is>
          <t>Superdry</t>
        </is>
      </c>
      <c r="E213" s="17" t="inlineStr">
        <is>
          <t>59357-80</t>
        </is>
      </c>
      <c r="F213" s="18" t="inlineStr">
        <is>
          <t>Superdry PLC, formerly known as SuperGroup PLC was founded on November 02, 2009. The Company is engaged in designing clothing and accessories and selling through multiple routes to market including Retail, Wholesale and online. Its business segments include Retail and Wholesale. The Retail segment comprises the operation of UK and Republic of Ireland stores, concessions and internet sites and Wholesale segment comprises the design and ownership of brands, and wholesale distribution of own brand products worldwide and the operation of European stores.</t>
        </is>
      </c>
      <c r="G213" s="19" t="inlineStr">
        <is>
          <t>Business Products and Services (B2B)</t>
        </is>
      </c>
      <c r="H213" s="20" t="inlineStr">
        <is>
          <t>Commercial Products</t>
        </is>
      </c>
      <c r="I213" s="21" t="inlineStr">
        <is>
          <t>Distributors/Wholesale</t>
        </is>
      </c>
      <c r="J213" s="22" t="inlineStr">
        <is>
          <t>Accessories, Clothing, Distributors/Wholesale*</t>
        </is>
      </c>
      <c r="K213" s="23" t="inlineStr">
        <is>
          <t>Industrials</t>
        </is>
      </c>
      <c r="L213" s="24" t="inlineStr">
        <is>
          <t>cloth designer, fashion wear, menswear retailer</t>
        </is>
      </c>
      <c r="M213" s="25" t="inlineStr">
        <is>
          <t>Corporate Backed or Acquired</t>
        </is>
      </c>
      <c r="N213" s="26" t="n">
        <v>188.22</v>
      </c>
      <c r="O213" s="27" t="inlineStr">
        <is>
          <t>Profitable</t>
        </is>
      </c>
      <c r="P213" s="28" t="inlineStr">
        <is>
          <t>Publicly Held</t>
        </is>
      </c>
      <c r="Q213" s="29" t="inlineStr">
        <is>
          <t>M&amp;A, Publicly Listed</t>
        </is>
      </c>
      <c r="R213" s="30" t="inlineStr">
        <is>
          <t>supergroup.co.uk</t>
        </is>
      </c>
      <c r="S213" s="31" t="n">
        <v>4805.0</v>
      </c>
      <c r="T213" s="32" t="inlineStr">
        <is>
          <t>2009: 404, 2010: 789, 2011: 1267, 2012: 1761, 2013: 2010, 2014: 2219, 2015: 2340, 2016: 4484, 2017: 4863, 2018: 4805</t>
        </is>
      </c>
      <c r="U213" s="33" t="inlineStr">
        <is>
          <t>LON</t>
        </is>
      </c>
      <c r="V213" s="34" t="inlineStr">
        <is>
          <t>SDRY</t>
        </is>
      </c>
      <c r="W213" s="35" t="n">
        <v>2003.0</v>
      </c>
      <c r="X213" s="36" t="inlineStr">
        <is>
          <t/>
        </is>
      </c>
      <c r="Y213" s="37" t="inlineStr">
        <is>
          <t/>
        </is>
      </c>
      <c r="Z213" s="38" t="inlineStr">
        <is>
          <t>News (New) </t>
        </is>
      </c>
      <c r="AA213" s="39" t="n">
        <v>1187.72</v>
      </c>
      <c r="AB213" s="40" t="n">
        <v>685.7</v>
      </c>
      <c r="AC213" s="41" t="n">
        <v>84.59</v>
      </c>
      <c r="AD213" s="42" t="n">
        <v>772.45</v>
      </c>
      <c r="AE213" s="43" t="n">
        <v>141.52</v>
      </c>
      <c r="AF213" s="44" t="inlineStr">
        <is>
          <t>TTM 2Q2019</t>
        </is>
      </c>
      <c r="AG213" s="45" t="n">
        <v>111.17</v>
      </c>
      <c r="AH213" s="46" t="n">
        <v>585.62</v>
      </c>
      <c r="AI213" s="47" t="n">
        <v>-10.8</v>
      </c>
      <c r="AJ213" s="48" t="inlineStr">
        <is>
          <t>72770-50P</t>
        </is>
      </c>
      <c r="AK213" s="49" t="inlineStr">
        <is>
          <t>Julian Dunkerton</t>
        </is>
      </c>
      <c r="AL213" s="50" t="inlineStr">
        <is>
          <t>Co-Founder &amp; Director, Product and Brand</t>
        </is>
      </c>
      <c r="AM213" s="51" t="inlineStr">
        <is>
          <t>julian.dunkerton@superdry.com</t>
        </is>
      </c>
      <c r="AN213" s="52" t="inlineStr">
        <is>
          <t>+44 (0)12 4257 8376</t>
        </is>
      </c>
      <c r="AO213" s="53" t="inlineStr">
        <is>
          <t>Cheltenham, United Kingdom</t>
        </is>
      </c>
      <c r="AP213" s="54" t="inlineStr">
        <is>
          <t>Unit 60</t>
        </is>
      </c>
      <c r="AQ213" s="55" t="inlineStr">
        <is>
          <t>The Runnings</t>
        </is>
      </c>
      <c r="AR213" s="56" t="inlineStr">
        <is>
          <t>Cheltenham</t>
        </is>
      </c>
      <c r="AS213" s="57" t="inlineStr">
        <is>
          <t>England</t>
        </is>
      </c>
      <c r="AT213" s="58" t="inlineStr">
        <is>
          <t>GL51 9NW</t>
        </is>
      </c>
      <c r="AU213" s="59" t="inlineStr">
        <is>
          <t>United Kingdom</t>
        </is>
      </c>
      <c r="AV213" s="60" t="inlineStr">
        <is>
          <t>+44 (0)12 4257 8376</t>
        </is>
      </c>
      <c r="AW213" s="61" t="inlineStr">
        <is>
          <t/>
        </is>
      </c>
      <c r="AX213" s="62" t="inlineStr">
        <is>
          <t>care@superdry.com</t>
        </is>
      </c>
      <c r="AY213" s="63" t="inlineStr">
        <is>
          <t>Europe</t>
        </is>
      </c>
      <c r="AZ213" s="64" t="inlineStr">
        <is>
          <t>Western Europe</t>
        </is>
      </c>
      <c r="BA213" s="65" t="inlineStr">
        <is>
          <t>Mr. Julian Dunkerton sold a 5% stake in the company (LON: SGP) for GBP 53 million on February 12, 2016.</t>
        </is>
      </c>
      <c r="BB213" s="66" t="inlineStr">
        <is>
          <t/>
        </is>
      </c>
      <c r="BC213" s="67" t="inlineStr">
        <is>
          <t/>
        </is>
      </c>
      <c r="BD213" s="68" t="inlineStr">
        <is>
          <t/>
        </is>
      </c>
      <c r="BE213" s="69" t="inlineStr">
        <is>
          <t/>
        </is>
      </c>
      <c r="BF213" s="70" t="inlineStr">
        <is>
          <t/>
        </is>
      </c>
      <c r="BG213" s="71" t="inlineStr">
        <is>
          <t/>
        </is>
      </c>
      <c r="BH213" s="72" t="inlineStr">
        <is>
          <t/>
        </is>
      </c>
      <c r="BI213" s="73" t="inlineStr">
        <is>
          <t/>
        </is>
      </c>
      <c r="BJ213" s="74" t="inlineStr">
        <is>
          <t>BPE Solicitors(Legal Advisor), Tughans Solicitors(Legal Advisor)</t>
        </is>
      </c>
      <c r="BK213" s="75" t="inlineStr">
        <is>
          <t>Canaccord Genuity(Underwriter), Fox Williams(Legal Advisor), Investec(Underwriter), Investment Management Holdings(Underwriter), Irwin Mitchell(Legal Advisor), Navarre Corporate Finance(Advisor: General), PwC(Accounting)</t>
        </is>
      </c>
      <c r="BL213" s="76" t="n">
        <v>40261.0</v>
      </c>
      <c r="BM213" s="77" t="n">
        <v>188.22</v>
      </c>
      <c r="BN213" s="78" t="inlineStr">
        <is>
          <t>Actual</t>
        </is>
      </c>
      <c r="BO213" s="79" t="n">
        <v>594.76</v>
      </c>
      <c r="BP213" s="80" t="inlineStr">
        <is>
          <t>Actual</t>
        </is>
      </c>
      <c r="BQ213" s="81" t="inlineStr">
        <is>
          <t>IPO</t>
        </is>
      </c>
      <c r="BR213" s="82" t="inlineStr">
        <is>
          <t/>
        </is>
      </c>
      <c r="BS213" s="83" t="inlineStr">
        <is>
          <t/>
        </is>
      </c>
      <c r="BT213" s="84" t="inlineStr">
        <is>
          <t>Public Investment</t>
        </is>
      </c>
      <c r="BU213" s="85" t="inlineStr">
        <is>
          <t/>
        </is>
      </c>
      <c r="BV213" s="86" t="inlineStr">
        <is>
          <t/>
        </is>
      </c>
      <c r="BW213" s="87" t="inlineStr">
        <is>
          <t/>
        </is>
      </c>
      <c r="BX213" s="88" t="inlineStr">
        <is>
          <t>Completed</t>
        </is>
      </c>
      <c r="BY213" s="89" t="n">
        <v>42412.0</v>
      </c>
      <c r="BZ213" s="90" t="n">
        <v>75.91</v>
      </c>
      <c r="CA213" s="91" t="inlineStr">
        <is>
          <t>Actual</t>
        </is>
      </c>
      <c r="CB213" s="92" t="n">
        <v>1518.2</v>
      </c>
      <c r="CC213" s="93" t="inlineStr">
        <is>
          <t>Estimated</t>
        </is>
      </c>
      <c r="CD213" s="94" t="inlineStr">
        <is>
          <t>Secondary Transaction - Open Market</t>
        </is>
      </c>
      <c r="CE213" s="95" t="inlineStr">
        <is>
          <t/>
        </is>
      </c>
      <c r="CF213" s="96" t="inlineStr">
        <is>
          <t/>
        </is>
      </c>
      <c r="CG213" s="97" t="inlineStr">
        <is>
          <t>Corporate</t>
        </is>
      </c>
      <c r="CH213" s="98" t="inlineStr">
        <is>
          <t/>
        </is>
      </c>
      <c r="CI213" s="99" t="inlineStr">
        <is>
          <t/>
        </is>
      </c>
      <c r="CJ213" s="100" t="inlineStr">
        <is>
          <t/>
        </is>
      </c>
      <c r="CK213" s="101" t="inlineStr">
        <is>
          <t>Completed</t>
        </is>
      </c>
      <c r="CL213" s="102" t="inlineStr">
        <is>
          <t/>
        </is>
      </c>
      <c r="CM213" s="103" t="inlineStr">
        <is>
          <t/>
        </is>
      </c>
      <c r="CN213" s="104" t="n">
        <v>0.2</v>
      </c>
      <c r="CO213" s="105" t="n">
        <v>89.0</v>
      </c>
      <c r="CP213" s="106" t="n">
        <v>0.07</v>
      </c>
      <c r="CQ213" s="107" t="n">
        <v>49.65</v>
      </c>
      <c r="CR213" s="108" t="n">
        <v>0.33</v>
      </c>
      <c r="CS213" s="109" t="n">
        <v>92.0</v>
      </c>
      <c r="CT213" s="110" t="n">
        <v>0.07</v>
      </c>
      <c r="CU213" s="111" t="n">
        <v>68.0</v>
      </c>
      <c r="CV213" s="112" t="inlineStr">
        <is>
          <t/>
        </is>
      </c>
      <c r="CW213" s="113" t="inlineStr">
        <is>
          <t/>
        </is>
      </c>
      <c r="CX213" s="114" t="n">
        <v>0.33</v>
      </c>
      <c r="CY213" s="115" t="n">
        <v>92.0</v>
      </c>
      <c r="CZ213" s="116" t="n">
        <v>0.01</v>
      </c>
      <c r="DA213" s="117" t="n">
        <v>63.0</v>
      </c>
      <c r="DB213" s="118" t="n">
        <v>688.6</v>
      </c>
      <c r="DC213" s="119" t="n">
        <v>100.0</v>
      </c>
      <c r="DD213" s="120" t="n">
        <v>5.06</v>
      </c>
      <c r="DE213" s="121" t="n">
        <v>0.74</v>
      </c>
      <c r="DF213" s="122" t="n">
        <v>24.91</v>
      </c>
      <c r="DG213" s="123" t="n">
        <v>96.0</v>
      </c>
      <c r="DH213" s="124" t="n">
        <v>1352.28</v>
      </c>
      <c r="DI213" s="125" t="n">
        <v>100.0</v>
      </c>
      <c r="DJ213" s="126" t="inlineStr">
        <is>
          <t/>
        </is>
      </c>
      <c r="DK213" s="127" t="inlineStr">
        <is>
          <t/>
        </is>
      </c>
      <c r="DL213" s="128" t="n">
        <v>24.91</v>
      </c>
      <c r="DM213" s="129" t="n">
        <v>95.0</v>
      </c>
      <c r="DN213" s="130" t="n">
        <v>266.06</v>
      </c>
      <c r="DO213" s="131" t="n">
        <v>99.0</v>
      </c>
      <c r="DP213" s="132" t="n">
        <v>54.0</v>
      </c>
      <c r="DQ213" s="133" t="n">
        <v>0.0</v>
      </c>
      <c r="DR213" s="134" t="n">
        <v>0.0</v>
      </c>
      <c r="DS213" s="135" t="n">
        <v>843.0</v>
      </c>
      <c r="DT213" s="136" t="n">
        <v>7.0</v>
      </c>
      <c r="DU213" s="137" t="n">
        <v>0.84</v>
      </c>
      <c r="DV213" s="138" t="n">
        <v>95533.0</v>
      </c>
      <c r="DW213" s="139" t="n">
        <v>-44.0</v>
      </c>
      <c r="DX213" s="140" t="n">
        <v>-0.05</v>
      </c>
      <c r="DY213" s="141" t="inlineStr">
        <is>
          <t>PitchBook Research</t>
        </is>
      </c>
      <c r="DZ213" s="142" t="n">
        <v>43493.0</v>
      </c>
      <c r="EA213" s="143" t="n">
        <v>1518.2</v>
      </c>
      <c r="EB213" s="144" t="n">
        <v>42412.0</v>
      </c>
      <c r="EC213" s="145" t="inlineStr">
        <is>
          <t>Secondary Transaction - Open Market</t>
        </is>
      </c>
      <c r="ED213" s="547">
        <f>HYPERLINK("https://my.pitchbook.com?c=59357-80", "View company online")</f>
      </c>
    </row>
    <row r="214">
      <c r="A214" s="147" t="inlineStr">
        <is>
          <t>55720-54</t>
        </is>
      </c>
      <c r="B214" s="148" t="inlineStr">
        <is>
          <t>Topshop</t>
        </is>
      </c>
      <c r="C214" s="149" t="inlineStr">
        <is>
          <t>Arcadia Group Investments, Mccord, Rail Miles, Peter Robinson's Topshop</t>
        </is>
      </c>
      <c r="D214" s="150" t="inlineStr">
        <is>
          <t/>
        </is>
      </c>
      <c r="E214" s="151" t="inlineStr">
        <is>
          <t>55720-54</t>
        </is>
      </c>
      <c r="F214" s="152" t="inlineStr">
        <is>
          <t>Retailer of women's clothing and accessories. The company's wide range of apparel and other accessories is sold through its retail stores located all across the United Kingdom and internationally as well as through its website.</t>
        </is>
      </c>
      <c r="G214" s="153" t="inlineStr">
        <is>
          <t>Consumer Products and Services (B2C)</t>
        </is>
      </c>
      <c r="H214" s="154" t="inlineStr">
        <is>
          <t>Apparel and Accessories</t>
        </is>
      </c>
      <c r="I214" s="155" t="inlineStr">
        <is>
          <t>Clothing</t>
        </is>
      </c>
      <c r="J214" s="156" t="inlineStr">
        <is>
          <t>Clothing*, Internet Retail, Specialty Retail</t>
        </is>
      </c>
      <c r="K214" s="157" t="inlineStr">
        <is>
          <t/>
        </is>
      </c>
      <c r="L214" s="158" t="inlineStr">
        <is>
          <t>women attire, women costumes, women garments, women wardrobe</t>
        </is>
      </c>
      <c r="M214" s="159" t="inlineStr">
        <is>
          <t>Private Equity-Backed</t>
        </is>
      </c>
      <c r="N214" s="160" t="inlineStr">
        <is>
          <t/>
        </is>
      </c>
      <c r="O214" s="161" t="inlineStr">
        <is>
          <t>Profitable</t>
        </is>
      </c>
      <c r="P214" s="162" t="inlineStr">
        <is>
          <t>Privately Held (backing)</t>
        </is>
      </c>
      <c r="Q214" s="163" t="inlineStr">
        <is>
          <t>Private Equity</t>
        </is>
      </c>
      <c r="R214" s="164" t="inlineStr">
        <is>
          <t>www.topshop.com</t>
        </is>
      </c>
      <c r="S214" s="165" t="n">
        <v>9096.0</v>
      </c>
      <c r="T214" s="166" t="inlineStr">
        <is>
          <t>2013: 9194, 2014: 9641, 2015: 9423, 2016: 9096</t>
        </is>
      </c>
      <c r="U214" s="167" t="inlineStr">
        <is>
          <t/>
        </is>
      </c>
      <c r="V214" s="168" t="inlineStr">
        <is>
          <t/>
        </is>
      </c>
      <c r="W214" s="169" t="n">
        <v>1964.0</v>
      </c>
      <c r="X214" s="170" t="inlineStr">
        <is>
          <t/>
        </is>
      </c>
      <c r="Y214" s="171" t="inlineStr">
        <is>
          <t/>
        </is>
      </c>
      <c r="Z214" s="172" t="inlineStr">
        <is>
          <t/>
        </is>
      </c>
      <c r="AA214" s="173" t="n">
        <v>1181.88</v>
      </c>
      <c r="AB214" s="174" t="n">
        <v>142.44</v>
      </c>
      <c r="AC214" s="175" t="inlineStr">
        <is>
          <t/>
        </is>
      </c>
      <c r="AD214" s="176" t="inlineStr">
        <is>
          <t/>
        </is>
      </c>
      <c r="AE214" s="177" t="n">
        <v>59.68</v>
      </c>
      <c r="AF214" s="178" t="inlineStr">
        <is>
          <t>FY 2017</t>
        </is>
      </c>
      <c r="AG214" s="179" t="inlineStr">
        <is>
          <t/>
        </is>
      </c>
      <c r="AH214" s="180" t="inlineStr">
        <is>
          <t/>
        </is>
      </c>
      <c r="AI214" s="181" t="inlineStr">
        <is>
          <t/>
        </is>
      </c>
      <c r="AJ214" s="182" t="inlineStr">
        <is>
          <t>72143-83P</t>
        </is>
      </c>
      <c r="AK214" s="183" t="inlineStr">
        <is>
          <t>Philip Green</t>
        </is>
      </c>
      <c r="AL214" s="184" t="inlineStr">
        <is>
          <t>Chief Executive Officer &amp; Board Member</t>
        </is>
      </c>
      <c r="AM214" s="185" t="inlineStr">
        <is>
          <t>greenp@arcadiagroup.co.uk</t>
        </is>
      </c>
      <c r="AN214" s="186" t="inlineStr">
        <is>
          <t>+44 (0)84 4243 0000</t>
        </is>
      </c>
      <c r="AO214" s="187" t="inlineStr">
        <is>
          <t>London, United Kingdom</t>
        </is>
      </c>
      <c r="AP214" s="188" t="inlineStr">
        <is>
          <t>Colegrave House</t>
        </is>
      </c>
      <c r="AQ214" s="189" t="inlineStr">
        <is>
          <t>70 Berners Street</t>
        </is>
      </c>
      <c r="AR214" s="190" t="inlineStr">
        <is>
          <t>London</t>
        </is>
      </c>
      <c r="AS214" s="191" t="inlineStr">
        <is>
          <t>England</t>
        </is>
      </c>
      <c r="AT214" s="192" t="inlineStr">
        <is>
          <t>W1T 3NL</t>
        </is>
      </c>
      <c r="AU214" s="193" t="inlineStr">
        <is>
          <t>United Kingdom</t>
        </is>
      </c>
      <c r="AV214" s="194" t="inlineStr">
        <is>
          <t>+44 (0)34 4984 0264</t>
        </is>
      </c>
      <c r="AW214" s="195" t="inlineStr">
        <is>
          <t/>
        </is>
      </c>
      <c r="AX214" s="196" t="inlineStr">
        <is>
          <t/>
        </is>
      </c>
      <c r="AY214" s="197" t="inlineStr">
        <is>
          <t>Europe</t>
        </is>
      </c>
      <c r="AZ214" s="198" t="inlineStr">
        <is>
          <t>Western Europe</t>
        </is>
      </c>
      <c r="BA214" s="199" t="inlineStr">
        <is>
          <t>The company received an undisclosed amount of development capital from Sandbridge Capital.</t>
        </is>
      </c>
      <c r="BB214" s="200" t="inlineStr">
        <is>
          <t>Leonard Green &amp; Partners, Sandbridge Capital</t>
        </is>
      </c>
      <c r="BC214" s="201" t="n">
        <v>2.0</v>
      </c>
      <c r="BD214" s="202" t="inlineStr">
        <is>
          <t/>
        </is>
      </c>
      <c r="BE214" s="203" t="inlineStr">
        <is>
          <t/>
        </is>
      </c>
      <c r="BF214" s="204" t="inlineStr">
        <is>
          <t>TPG Capital</t>
        </is>
      </c>
      <c r="BG214" s="205" t="inlineStr">
        <is>
          <t>Leonard Green &amp; Partners(www.leonardgreen.com), Sandbridge Capital(www.sandbridgecap.com)</t>
        </is>
      </c>
      <c r="BH214" s="206" t="inlineStr">
        <is>
          <t/>
        </is>
      </c>
      <c r="BI214" s="207" t="inlineStr">
        <is>
          <t>TPG Capital(www.tpg.com)</t>
        </is>
      </c>
      <c r="BJ214" s="208" t="inlineStr">
        <is>
          <t>PwC(Auditor), Robert K. Futterman &amp; Associates(Consulting), Rushton Atlantic(Valuation/Appraiser), Target Advisor(Advisor: General)</t>
        </is>
      </c>
      <c r="BK214" s="209" t="inlineStr">
        <is>
          <t/>
        </is>
      </c>
      <c r="BL214" s="210" t="n">
        <v>41248.0</v>
      </c>
      <c r="BM214" s="211" t="n">
        <v>805.0</v>
      </c>
      <c r="BN214" s="212" t="inlineStr">
        <is>
          <t>Actual</t>
        </is>
      </c>
      <c r="BO214" s="213" t="n">
        <v>3220.0</v>
      </c>
      <c r="BP214" s="214" t="inlineStr">
        <is>
          <t>Estimated</t>
        </is>
      </c>
      <c r="BQ214" s="215" t="inlineStr">
        <is>
          <t>Secondary Transaction - Private</t>
        </is>
      </c>
      <c r="BR214" s="216" t="inlineStr">
        <is>
          <t/>
        </is>
      </c>
      <c r="BS214" s="217" t="inlineStr">
        <is>
          <t/>
        </is>
      </c>
      <c r="BT214" s="218" t="inlineStr">
        <is>
          <t>Private Equity</t>
        </is>
      </c>
      <c r="BU214" s="219" t="inlineStr">
        <is>
          <t/>
        </is>
      </c>
      <c r="BV214" s="220" t="inlineStr">
        <is>
          <t/>
        </is>
      </c>
      <c r="BW214" s="221" t="inlineStr">
        <is>
          <t/>
        </is>
      </c>
      <c r="BX214" s="222" t="inlineStr">
        <is>
          <t>Completed</t>
        </is>
      </c>
      <c r="BY214" s="223" t="inlineStr">
        <is>
          <t/>
        </is>
      </c>
      <c r="BZ214" s="224" t="inlineStr">
        <is>
          <t/>
        </is>
      </c>
      <c r="CA214" s="225" t="inlineStr">
        <is>
          <t/>
        </is>
      </c>
      <c r="CB214" s="226" t="inlineStr">
        <is>
          <t/>
        </is>
      </c>
      <c r="CC214" s="227" t="inlineStr">
        <is>
          <t/>
        </is>
      </c>
      <c r="CD214" s="228" t="inlineStr">
        <is>
          <t>PE Growth/Expansion</t>
        </is>
      </c>
      <c r="CE214" s="229" t="inlineStr">
        <is>
          <t/>
        </is>
      </c>
      <c r="CF214" s="230" t="inlineStr">
        <is>
          <t/>
        </is>
      </c>
      <c r="CG214" s="231" t="inlineStr">
        <is>
          <t>Private Equity</t>
        </is>
      </c>
      <c r="CH214" s="232" t="inlineStr">
        <is>
          <t/>
        </is>
      </c>
      <c r="CI214" s="233" t="inlineStr">
        <is>
          <t/>
        </is>
      </c>
      <c r="CJ214" s="234" t="inlineStr">
        <is>
          <t/>
        </is>
      </c>
      <c r="CK214" s="235" t="inlineStr">
        <is>
          <t>Completed</t>
        </is>
      </c>
      <c r="CL214" s="236" t="inlineStr">
        <is>
          <t/>
        </is>
      </c>
      <c r="CM214" s="237" t="inlineStr">
        <is>
          <t/>
        </is>
      </c>
      <c r="CN214" s="238" t="n">
        <v>-1.09</v>
      </c>
      <c r="CO214" s="239" t="n">
        <v>4.0</v>
      </c>
      <c r="CP214" s="240" t="n">
        <v>-0.02</v>
      </c>
      <c r="CQ214" s="241" t="n">
        <v>-1.72</v>
      </c>
      <c r="CR214" s="242" t="n">
        <v>-2.13</v>
      </c>
      <c r="CS214" s="243" t="n">
        <v>4.0</v>
      </c>
      <c r="CT214" s="244" t="n">
        <v>-0.04</v>
      </c>
      <c r="CU214" s="245" t="n">
        <v>17.0</v>
      </c>
      <c r="CV214" s="246" t="n">
        <v>-4.48</v>
      </c>
      <c r="CW214" s="247" t="n">
        <v>10.0</v>
      </c>
      <c r="CX214" s="248" t="n">
        <v>0.22</v>
      </c>
      <c r="CY214" s="249" t="n">
        <v>89.0</v>
      </c>
      <c r="CZ214" s="250" t="n">
        <v>-0.08</v>
      </c>
      <c r="DA214" s="251" t="n">
        <v>12.0</v>
      </c>
      <c r="DB214" s="252" t="n">
        <v>2275.21</v>
      </c>
      <c r="DC214" s="253" t="n">
        <v>100.0</v>
      </c>
      <c r="DD214" s="254" t="n">
        <v>52.28</v>
      </c>
      <c r="DE214" s="255" t="n">
        <v>2.35</v>
      </c>
      <c r="DF214" s="256" t="n">
        <v>394.52</v>
      </c>
      <c r="DG214" s="257" t="n">
        <v>100.0</v>
      </c>
      <c r="DH214" s="258" t="n">
        <v>4155.9</v>
      </c>
      <c r="DI214" s="259" t="n">
        <v>100.0</v>
      </c>
      <c r="DJ214" s="260" t="n">
        <v>46.84</v>
      </c>
      <c r="DK214" s="261" t="n">
        <v>95.0</v>
      </c>
      <c r="DL214" s="262" t="n">
        <v>742.21</v>
      </c>
      <c r="DM214" s="263" t="n">
        <v>100.0</v>
      </c>
      <c r="DN214" s="264" t="n">
        <v>3526.24</v>
      </c>
      <c r="DO214" s="265" t="n">
        <v>100.0</v>
      </c>
      <c r="DP214" s="266" t="n">
        <v>33624.0</v>
      </c>
      <c r="DQ214" s="267" t="n">
        <v>-2026.0</v>
      </c>
      <c r="DR214" s="268" t="n">
        <v>-5.68</v>
      </c>
      <c r="DS214" s="269" t="n">
        <v>25192.0</v>
      </c>
      <c r="DT214" s="270" t="n">
        <v>97.0</v>
      </c>
      <c r="DU214" s="271" t="n">
        <v>0.39</v>
      </c>
      <c r="DV214" s="272" t="n">
        <v>1266737.0</v>
      </c>
      <c r="DW214" s="273" t="n">
        <v>-1867.0</v>
      </c>
      <c r="DX214" s="274" t="n">
        <v>-0.15</v>
      </c>
      <c r="DY214" s="275" t="inlineStr">
        <is>
          <t>PitchBook Research</t>
        </is>
      </c>
      <c r="DZ214" s="276" t="n">
        <v>43351.0</v>
      </c>
      <c r="EA214" s="277" t="n">
        <v>3220.0</v>
      </c>
      <c r="EB214" s="278" t="n">
        <v>41248.0</v>
      </c>
      <c r="EC214" s="279" t="inlineStr">
        <is>
          <t>Secondary Transaction - Private</t>
        </is>
      </c>
      <c r="ED214" s="548">
        <f>HYPERLINK("https://my.pitchbook.com?c=55720-54", "View company online")</f>
      </c>
    </row>
    <row r="215">
      <c r="A215" s="13" t="inlineStr">
        <is>
          <t>169605-01</t>
        </is>
      </c>
      <c r="B215" s="14" t="inlineStr">
        <is>
          <t>Ningbo Peacebird Fashion Company (SHG: 603877)</t>
        </is>
      </c>
      <c r="C215" s="15" t="inlineStr">
        <is>
          <t/>
        </is>
      </c>
      <c r="D215" s="16" t="inlineStr">
        <is>
          <t>Peacebird</t>
        </is>
      </c>
      <c r="E215" s="17" t="inlineStr">
        <is>
          <t>169605-01</t>
        </is>
      </c>
      <c r="F215" s="18" t="inlineStr">
        <is>
          <t>Ningbo Peacebird Fashion Co Ltd is a retail-oriented multi-brand fashion company. It focuses on providing customers with fashion products of high quality at the competitive price. The main products of the company include women's, men's and children's clothing, and the main brand contains PEACEBIRD, PEACEBIRD, LED'IN, MATERIAL GIRL, AMAZING PEACE, Mini Peace, and among others. It holds more than 4000 stores across 31 provinces, autonomous regions, and municipalities. Geographically, it operates through China, however, its products are distributed in both Chinese and international market.</t>
        </is>
      </c>
      <c r="G215" s="19" t="inlineStr">
        <is>
          <t>Consumer Products and Services (B2C)</t>
        </is>
      </c>
      <c r="H215" s="20" t="inlineStr">
        <is>
          <t>Apparel and Accessories</t>
        </is>
      </c>
      <c r="I215" s="21" t="inlineStr">
        <is>
          <t>Clothing</t>
        </is>
      </c>
      <c r="J215" s="22" t="inlineStr">
        <is>
          <t>Clothing*, Department Stores</t>
        </is>
      </c>
      <c r="K215" s="23" t="inlineStr">
        <is>
          <t/>
        </is>
      </c>
      <c r="L215" s="24" t="inlineStr">
        <is>
          <t>clothing line, fashionable clothing, men's clothing</t>
        </is>
      </c>
      <c r="M215" s="25" t="inlineStr">
        <is>
          <t>Corporation</t>
        </is>
      </c>
      <c r="N215" s="26" t="inlineStr">
        <is>
          <t/>
        </is>
      </c>
      <c r="O215" s="27" t="inlineStr">
        <is>
          <t>Profitable</t>
        </is>
      </c>
      <c r="P215" s="28" t="inlineStr">
        <is>
          <t>Publicly Held</t>
        </is>
      </c>
      <c r="Q215" s="29" t="inlineStr">
        <is>
          <t>Publicly Listed</t>
        </is>
      </c>
      <c r="R215" s="30" t="inlineStr">
        <is>
          <t>www.peacebird.com</t>
        </is>
      </c>
      <c r="S215" s="31" t="n">
        <v>11434.0</v>
      </c>
      <c r="T215" s="32" t="inlineStr">
        <is>
          <t>2013: 7425, 2014: 8335, 2015: 9943, 2016: 11285, 2017: 11434</t>
        </is>
      </c>
      <c r="U215" s="33" t="inlineStr">
        <is>
          <t>SHG</t>
        </is>
      </c>
      <c r="V215" s="34" t="inlineStr">
        <is>
          <t>603877</t>
        </is>
      </c>
      <c r="W215" s="35" t="n">
        <v>1995.0</v>
      </c>
      <c r="X215" s="36" t="inlineStr">
        <is>
          <t/>
        </is>
      </c>
      <c r="Y215" s="37" t="inlineStr">
        <is>
          <t/>
        </is>
      </c>
      <c r="Z215" s="38" t="inlineStr">
        <is>
          <t/>
        </is>
      </c>
      <c r="AA215" s="39" t="n">
        <v>1179.98</v>
      </c>
      <c r="AB215" s="40" t="n">
        <v>615.18</v>
      </c>
      <c r="AC215" s="41" t="n">
        <v>86.95</v>
      </c>
      <c r="AD215" s="42" t="n">
        <v>1435.61</v>
      </c>
      <c r="AE215" s="43" t="n">
        <v>135.21</v>
      </c>
      <c r="AF215" s="44" t="inlineStr">
        <is>
          <t>TTM 3Q2018</t>
        </is>
      </c>
      <c r="AG215" s="45" t="n">
        <v>124.76</v>
      </c>
      <c r="AH215" s="46" t="n">
        <v>1435.07</v>
      </c>
      <c r="AI215" s="47" t="n">
        <v>15.87</v>
      </c>
      <c r="AJ215" s="48" t="inlineStr">
        <is>
          <t/>
        </is>
      </c>
      <c r="AK215" s="49" t="inlineStr">
        <is>
          <t/>
        </is>
      </c>
      <c r="AL215" s="50" t="inlineStr">
        <is>
          <t/>
        </is>
      </c>
      <c r="AM215" s="51" t="inlineStr">
        <is>
          <t/>
        </is>
      </c>
      <c r="AN215" s="52" t="inlineStr">
        <is>
          <t/>
        </is>
      </c>
      <c r="AO215" s="53" t="inlineStr">
        <is>
          <t>Ningbo, China</t>
        </is>
      </c>
      <c r="AP215" s="54" t="inlineStr">
        <is>
          <t>No 826 South</t>
        </is>
      </c>
      <c r="AQ215" s="55" t="inlineStr">
        <is>
          <t>Ningbo City Ring Road</t>
        </is>
      </c>
      <c r="AR215" s="56" t="inlineStr">
        <is>
          <t>Ningbo</t>
        </is>
      </c>
      <c r="AS215" s="57" t="inlineStr">
        <is>
          <t>Zhejiang</t>
        </is>
      </c>
      <c r="AT215" s="58" t="inlineStr">
        <is>
          <t>315011</t>
        </is>
      </c>
      <c r="AU215" s="59" t="inlineStr">
        <is>
          <t>China</t>
        </is>
      </c>
      <c r="AV215" s="60" t="inlineStr">
        <is>
          <t>+86 (0)140 0780 8878</t>
        </is>
      </c>
      <c r="AW215" s="61" t="inlineStr">
        <is>
          <t/>
        </is>
      </c>
      <c r="AX215" s="62" t="inlineStr">
        <is>
          <t>info@peacebird.com</t>
        </is>
      </c>
      <c r="AY215" s="63" t="inlineStr">
        <is>
          <t>Asia</t>
        </is>
      </c>
      <c r="AZ215" s="64" t="inlineStr">
        <is>
          <t>East Asia</t>
        </is>
      </c>
      <c r="BA215" s="65" t="inlineStr">
        <is>
          <t/>
        </is>
      </c>
      <c r="BB215" s="66" t="inlineStr">
        <is>
          <t/>
        </is>
      </c>
      <c r="BC215" s="67" t="inlineStr">
        <is>
          <t/>
        </is>
      </c>
      <c r="BD215" s="68" t="inlineStr">
        <is>
          <t/>
        </is>
      </c>
      <c r="BE215" s="69" t="inlineStr">
        <is>
          <t/>
        </is>
      </c>
      <c r="BF215" s="70" t="inlineStr">
        <is>
          <t/>
        </is>
      </c>
      <c r="BG215" s="71" t="inlineStr">
        <is>
          <t/>
        </is>
      </c>
      <c r="BH215" s="72" t="inlineStr">
        <is>
          <t/>
        </is>
      </c>
      <c r="BI215" s="73" t="inlineStr">
        <is>
          <t/>
        </is>
      </c>
      <c r="BJ215" s="74" t="inlineStr">
        <is>
          <t/>
        </is>
      </c>
      <c r="BK215" s="75" t="inlineStr">
        <is>
          <t/>
        </is>
      </c>
      <c r="BL215" s="76" t="inlineStr">
        <is>
          <t/>
        </is>
      </c>
      <c r="BM215" s="77" t="inlineStr">
        <is>
          <t/>
        </is>
      </c>
      <c r="BN215" s="78" t="inlineStr">
        <is>
          <t/>
        </is>
      </c>
      <c r="BO215" s="79" t="inlineStr">
        <is>
          <t/>
        </is>
      </c>
      <c r="BP215" s="80" t="inlineStr">
        <is>
          <t/>
        </is>
      </c>
      <c r="BQ215" s="81" t="inlineStr">
        <is>
          <t/>
        </is>
      </c>
      <c r="BR215" s="82" t="inlineStr">
        <is>
          <t/>
        </is>
      </c>
      <c r="BS215" s="83" t="inlineStr">
        <is>
          <t/>
        </is>
      </c>
      <c r="BT215" s="84" t="inlineStr">
        <is>
          <t/>
        </is>
      </c>
      <c r="BU215" s="85" t="inlineStr">
        <is>
          <t/>
        </is>
      </c>
      <c r="BV215" s="86" t="inlineStr">
        <is>
          <t/>
        </is>
      </c>
      <c r="BW215" s="87" t="inlineStr">
        <is>
          <t/>
        </is>
      </c>
      <c r="BX215" s="88" t="inlineStr">
        <is>
          <t/>
        </is>
      </c>
      <c r="BY215" s="89" t="inlineStr">
        <is>
          <t/>
        </is>
      </c>
      <c r="BZ215" s="90" t="inlineStr">
        <is>
          <t/>
        </is>
      </c>
      <c r="CA215" s="91" t="inlineStr">
        <is>
          <t/>
        </is>
      </c>
      <c r="CB215" s="92" t="inlineStr">
        <is>
          <t/>
        </is>
      </c>
      <c r="CC215" s="93" t="inlineStr">
        <is>
          <t/>
        </is>
      </c>
      <c r="CD215" s="94" t="inlineStr">
        <is>
          <t/>
        </is>
      </c>
      <c r="CE215" s="95" t="inlineStr">
        <is>
          <t/>
        </is>
      </c>
      <c r="CF215" s="96" t="inlineStr">
        <is>
          <t/>
        </is>
      </c>
      <c r="CG215" s="97" t="inlineStr">
        <is>
          <t/>
        </is>
      </c>
      <c r="CH215" s="98" t="inlineStr">
        <is>
          <t/>
        </is>
      </c>
      <c r="CI215" s="99" t="inlineStr">
        <is>
          <t/>
        </is>
      </c>
      <c r="CJ215" s="100" t="inlineStr">
        <is>
          <t/>
        </is>
      </c>
      <c r="CK215" s="101" t="inlineStr">
        <is>
          <t/>
        </is>
      </c>
      <c r="CL215" s="102" t="inlineStr">
        <is>
          <t/>
        </is>
      </c>
      <c r="CM215" s="103" t="inlineStr">
        <is>
          <t/>
        </is>
      </c>
      <c r="CN215" s="104" t="n">
        <v>0.09</v>
      </c>
      <c r="CO215" s="105" t="n">
        <v>84.0</v>
      </c>
      <c r="CP215" s="106" t="n">
        <v>-0.09</v>
      </c>
      <c r="CQ215" s="107" t="n">
        <v>-48.69</v>
      </c>
      <c r="CR215" s="108" t="n">
        <v>0.09</v>
      </c>
      <c r="CS215" s="109" t="n">
        <v>87.0</v>
      </c>
      <c r="CT215" s="110" t="inlineStr">
        <is>
          <t/>
        </is>
      </c>
      <c r="CU215" s="111" t="inlineStr">
        <is>
          <t/>
        </is>
      </c>
      <c r="CV215" s="112" t="inlineStr">
        <is>
          <t/>
        </is>
      </c>
      <c r="CW215" s="113" t="inlineStr">
        <is>
          <t/>
        </is>
      </c>
      <c r="CX215" s="114" t="n">
        <v>0.09</v>
      </c>
      <c r="CY215" s="115" t="n">
        <v>86.0</v>
      </c>
      <c r="CZ215" s="116" t="inlineStr">
        <is>
          <t/>
        </is>
      </c>
      <c r="DA215" s="117" t="inlineStr">
        <is>
          <t/>
        </is>
      </c>
      <c r="DB215" s="118" t="n">
        <v>4.47</v>
      </c>
      <c r="DC215" s="119" t="n">
        <v>82.0</v>
      </c>
      <c r="DD215" s="120" t="n">
        <v>1.12</v>
      </c>
      <c r="DE215" s="121" t="n">
        <v>33.23</v>
      </c>
      <c r="DF215" s="122" t="n">
        <v>4.47</v>
      </c>
      <c r="DG215" s="123" t="n">
        <v>81.0</v>
      </c>
      <c r="DH215" s="124" t="inlineStr">
        <is>
          <t/>
        </is>
      </c>
      <c r="DI215" s="125" t="inlineStr">
        <is>
          <t/>
        </is>
      </c>
      <c r="DJ215" s="126" t="inlineStr">
        <is>
          <t/>
        </is>
      </c>
      <c r="DK215" s="127" t="inlineStr">
        <is>
          <t/>
        </is>
      </c>
      <c r="DL215" s="128" t="n">
        <v>4.47</v>
      </c>
      <c r="DM215" s="129" t="n">
        <v>80.0</v>
      </c>
      <c r="DN215" s="130" t="inlineStr">
        <is>
          <t/>
        </is>
      </c>
      <c r="DO215" s="131" t="inlineStr">
        <is>
          <t/>
        </is>
      </c>
      <c r="DP215" s="132" t="n">
        <v>87.0</v>
      </c>
      <c r="DQ215" s="133" t="n">
        <v>-30.0</v>
      </c>
      <c r="DR215" s="134" t="n">
        <v>-25.64</v>
      </c>
      <c r="DS215" s="135" t="n">
        <v>151.0</v>
      </c>
      <c r="DT215" s="136" t="n">
        <v>1.0</v>
      </c>
      <c r="DU215" s="137" t="n">
        <v>0.67</v>
      </c>
      <c r="DV215" s="138" t="inlineStr">
        <is>
          <t/>
        </is>
      </c>
      <c r="DW215" s="139" t="inlineStr">
        <is>
          <t/>
        </is>
      </c>
      <c r="DX215" s="140" t="inlineStr">
        <is>
          <t/>
        </is>
      </c>
      <c r="DY215" s="141" t="inlineStr">
        <is>
          <t>PitchBook Research</t>
        </is>
      </c>
      <c r="DZ215" s="142" t="n">
        <v>43493.0</v>
      </c>
      <c r="EA215" s="143" t="inlineStr">
        <is>
          <t/>
        </is>
      </c>
      <c r="EB215" s="144" t="inlineStr">
        <is>
          <t/>
        </is>
      </c>
      <c r="EC215" s="145" t="inlineStr">
        <is>
          <t/>
        </is>
      </c>
      <c r="ED215" s="547">
        <f>HYPERLINK("https://my.pitchbook.com?c=169605-01", "View company online")</f>
      </c>
    </row>
    <row r="216">
      <c r="A216" s="147" t="inlineStr">
        <is>
          <t>11026-27</t>
        </is>
      </c>
      <c r="B216" s="148" t="inlineStr">
        <is>
          <t>Safilo Group (MIL: SFL)</t>
        </is>
      </c>
      <c r="C216" s="149" t="inlineStr">
        <is>
          <t/>
        </is>
      </c>
      <c r="D216" s="150" t="inlineStr">
        <is>
          <t>Safilo</t>
        </is>
      </c>
      <c r="E216" s="151" t="inlineStr">
        <is>
          <t>11026-27</t>
        </is>
      </c>
      <c r="F216" s="152" t="inlineStr">
        <is>
          <t>Safilo Group SpA manufactures and distributes sunglasses and prescription eyewear to wholesalers and retailers. The firm sells its products through a network of commercial subsidiaries and independent distributors. Its products are sold through the Carrera, Polaroid, Smith, Safilo, and Oxydo brands, as well as a range of licensed brands. The company divides its operations into two segments: Wholesale and Retail. The vast majority of sales are made through wholesale distribution channels. Italy contributes the largest proportion of revenue relative to any other country. The firm operates in Italy, Europe, America and Asia.</t>
        </is>
      </c>
      <c r="G216" s="153" t="inlineStr">
        <is>
          <t>Consumer Products and Services (B2C)</t>
        </is>
      </c>
      <c r="H216" s="154" t="inlineStr">
        <is>
          <t>Apparel and Accessories</t>
        </is>
      </c>
      <c r="I216" s="155" t="inlineStr">
        <is>
          <t>Accessories</t>
        </is>
      </c>
      <c r="J216" s="156" t="inlineStr">
        <is>
          <t>Accessories*</t>
        </is>
      </c>
      <c r="K216" s="157" t="inlineStr">
        <is>
          <t>Manufacturing</t>
        </is>
      </c>
      <c r="L216" s="158" t="inlineStr">
        <is>
          <t>eyewear, glass, goggles, lenses, optical, sunglasses</t>
        </is>
      </c>
      <c r="M216" s="159" t="inlineStr">
        <is>
          <t>Formerly PE-Backed</t>
        </is>
      </c>
      <c r="N216" s="160" t="n">
        <v>373.47</v>
      </c>
      <c r="O216" s="161" t="inlineStr">
        <is>
          <t>Profitable</t>
        </is>
      </c>
      <c r="P216" s="162" t="inlineStr">
        <is>
          <t>Publicly Held</t>
        </is>
      </c>
      <c r="Q216" s="163" t="inlineStr">
        <is>
          <t>Debt Financed, Private Equity, Publicly Listed</t>
        </is>
      </c>
      <c r="R216" s="164" t="inlineStr">
        <is>
          <t>www.safilo.com</t>
        </is>
      </c>
      <c r="S216" s="165" t="n">
        <v>6862.0</v>
      </c>
      <c r="T216" s="166" t="inlineStr">
        <is>
          <t>2006: 7359, 2007: 8002, 2008: 8710, 2009: 8380, 2010: 8244, 2011: 8075, 2012: 8054, 2013: 8053, 2014: 7742, 2015: 7382, 2016: 7128, 2017: 7109, 2018: 6862</t>
        </is>
      </c>
      <c r="U216" s="167" t="inlineStr">
        <is>
          <t>MIL</t>
        </is>
      </c>
      <c r="V216" s="168" t="inlineStr">
        <is>
          <t>SFL</t>
        </is>
      </c>
      <c r="W216" s="169" t="n">
        <v>1934.0</v>
      </c>
      <c r="X216" s="170" t="inlineStr">
        <is>
          <t/>
        </is>
      </c>
      <c r="Y216" s="171" t="inlineStr">
        <is>
          <t/>
        </is>
      </c>
      <c r="Z216" s="172" t="inlineStr">
        <is>
          <t>News (New) </t>
        </is>
      </c>
      <c r="AA216" s="173" t="n">
        <v>1176.72</v>
      </c>
      <c r="AB216" s="174" t="n">
        <v>580.2</v>
      </c>
      <c r="AC216" s="175" t="n">
        <v>-305.22</v>
      </c>
      <c r="AD216" s="176" t="n">
        <v>683.76</v>
      </c>
      <c r="AE216" s="177" t="n">
        <v>-209.57</v>
      </c>
      <c r="AF216" s="178" t="inlineStr">
        <is>
          <t>TTM 2Q2018</t>
        </is>
      </c>
      <c r="AG216" s="179" t="n">
        <v>-261.16</v>
      </c>
      <c r="AH216" s="180" t="n">
        <v>222.96</v>
      </c>
      <c r="AI216" s="181" t="n">
        <v>197.87</v>
      </c>
      <c r="AJ216" s="182" t="inlineStr">
        <is>
          <t>156381-04P</t>
        </is>
      </c>
      <c r="AK216" s="183" t="inlineStr">
        <is>
          <t>Gerd Graehsler</t>
        </is>
      </c>
      <c r="AL216" s="184" t="inlineStr">
        <is>
          <t>Chief Financial Officer</t>
        </is>
      </c>
      <c r="AM216" s="185" t="inlineStr">
        <is>
          <t>gerd.graehsler@safilo.com</t>
        </is>
      </c>
      <c r="AN216" s="186" t="inlineStr">
        <is>
          <t>+39 04 9698 5111</t>
        </is>
      </c>
      <c r="AO216" s="187" t="inlineStr">
        <is>
          <t>Padova, Italy</t>
        </is>
      </c>
      <c r="AP216" s="188" t="inlineStr">
        <is>
          <t>Sede Legale Settima Strada 15</t>
        </is>
      </c>
      <c r="AQ216" s="189" t="inlineStr">
        <is>
          <t/>
        </is>
      </c>
      <c r="AR216" s="190" t="inlineStr">
        <is>
          <t>Padova</t>
        </is>
      </c>
      <c r="AS216" s="191" t="inlineStr">
        <is>
          <t/>
        </is>
      </c>
      <c r="AT216" s="192" t="inlineStr">
        <is>
          <t>35129</t>
        </is>
      </c>
      <c r="AU216" s="193" t="inlineStr">
        <is>
          <t>Italy</t>
        </is>
      </c>
      <c r="AV216" s="194" t="inlineStr">
        <is>
          <t>+39 04 9698 5111</t>
        </is>
      </c>
      <c r="AW216" s="195" t="inlineStr">
        <is>
          <t>+39 04 9698 5360</t>
        </is>
      </c>
      <c r="AX216" s="196" t="inlineStr">
        <is>
          <t>info@safilo.com</t>
        </is>
      </c>
      <c r="AY216" s="197" t="inlineStr">
        <is>
          <t>Europe</t>
        </is>
      </c>
      <c r="AZ216" s="198" t="inlineStr">
        <is>
          <t>Southern Europe</t>
        </is>
      </c>
      <c r="BA216" s="199" t="inlineStr">
        <is>
          <t>HAL Investments acquired a 5% stake in the company (MIL:SFL) in an open market transaction. Also, CAAM SGR, Fidelity Investments and TIAA-CREF Asset Management sold their stake in the company via an open market transaction on an undisclosed date.</t>
        </is>
      </c>
      <c r="BB216" s="200" t="inlineStr">
        <is>
          <t>HAL Investments</t>
        </is>
      </c>
      <c r="BC216" s="201" t="n">
        <v>1.0</v>
      </c>
      <c r="BD216" s="202" t="inlineStr">
        <is>
          <t/>
        </is>
      </c>
      <c r="BE216" s="203" t="inlineStr">
        <is>
          <t>aPriori Capital Partners, CAAM SGR, Fidelity Investments, TIAA-CREF Asset Management</t>
        </is>
      </c>
      <c r="BF216" s="204" t="inlineStr">
        <is>
          <t>Apax Partners, Bain Capital, CVC Capital Partners, PAI Partners</t>
        </is>
      </c>
      <c r="BG216" s="205" t="inlineStr">
        <is>
          <t>HAL Investments(www.halinvestments.nl)</t>
        </is>
      </c>
      <c r="BH216" s="206" t="inlineStr">
        <is>
          <t>aPriori Capital Partners(www.aprioricapital.com), Fidelity Investments(www.fidelity.com), TIAA-CREF Asset Management(www.tiaa.org/public/assetmanagement)</t>
        </is>
      </c>
      <c r="BI216" s="207" t="inlineStr">
        <is>
          <t>Apax Partners(www.apax.com), Bain Capital(www.baincapital.com), CVC Capital Partners(www.cvc.com), PAI Partners(www.paipartners.com)</t>
        </is>
      </c>
      <c r="BJ216" s="208" t="inlineStr">
        <is>
          <t>Mediobanca(Advisor: General)</t>
        </is>
      </c>
      <c r="BK216" s="209" t="inlineStr">
        <is>
          <t>Bank of America Merrill Lynch(Underwriter), Chiomenti Studio Legale(Legal Advisor), Clifford Chance(Legal Advisor), Credit Suisse(Advisor: General), Intesa Sanpaolo(Software Provider), Marena Agheni Bonvicini e Ludergani(Legal Advisor), PwC(Accounting), UniCredit(Underwriter)</t>
        </is>
      </c>
      <c r="BL216" s="210" t="n">
        <v>37641.0</v>
      </c>
      <c r="BM216" s="211" t="inlineStr">
        <is>
          <t/>
        </is>
      </c>
      <c r="BN216" s="212" t="inlineStr">
        <is>
          <t/>
        </is>
      </c>
      <c r="BO216" s="213" t="inlineStr">
        <is>
          <t/>
        </is>
      </c>
      <c r="BP216" s="214" t="inlineStr">
        <is>
          <t/>
        </is>
      </c>
      <c r="BQ216" s="215" t="inlineStr">
        <is>
          <t>Buyout/LBO</t>
        </is>
      </c>
      <c r="BR216" s="216" t="inlineStr">
        <is>
          <t>Management Buyout</t>
        </is>
      </c>
      <c r="BS216" s="217" t="inlineStr">
        <is>
          <t/>
        </is>
      </c>
      <c r="BT216" s="218" t="inlineStr">
        <is>
          <t>Private Equity</t>
        </is>
      </c>
      <c r="BU216" s="219" t="inlineStr">
        <is>
          <t/>
        </is>
      </c>
      <c r="BV216" s="220" t="inlineStr">
        <is>
          <t/>
        </is>
      </c>
      <c r="BW216" s="221" t="inlineStr">
        <is>
          <t/>
        </is>
      </c>
      <c r="BX216" s="222" t="inlineStr">
        <is>
          <t>Completed</t>
        </is>
      </c>
      <c r="BY216" s="223" t="inlineStr">
        <is>
          <t/>
        </is>
      </c>
      <c r="BZ216" s="224" t="inlineStr">
        <is>
          <t/>
        </is>
      </c>
      <c r="CA216" s="225" t="inlineStr">
        <is>
          <t/>
        </is>
      </c>
      <c r="CB216" s="226" t="inlineStr">
        <is>
          <t/>
        </is>
      </c>
      <c r="CC216" s="227" t="inlineStr">
        <is>
          <t/>
        </is>
      </c>
      <c r="CD216" s="228" t="inlineStr">
        <is>
          <t>Secondary Transaction - Open Market</t>
        </is>
      </c>
      <c r="CE216" s="229" t="inlineStr">
        <is>
          <t/>
        </is>
      </c>
      <c r="CF216" s="230" t="inlineStr">
        <is>
          <t/>
        </is>
      </c>
      <c r="CG216" s="231" t="inlineStr">
        <is>
          <t>Private Equity</t>
        </is>
      </c>
      <c r="CH216" s="232" t="inlineStr">
        <is>
          <t/>
        </is>
      </c>
      <c r="CI216" s="233" t="inlineStr">
        <is>
          <t/>
        </is>
      </c>
      <c r="CJ216" s="234" t="inlineStr">
        <is>
          <t/>
        </is>
      </c>
      <c r="CK216" s="235" t="inlineStr">
        <is>
          <t>Completed</t>
        </is>
      </c>
      <c r="CL216" s="236" t="inlineStr">
        <is>
          <t/>
        </is>
      </c>
      <c r="CM216" s="237" t="inlineStr">
        <is>
          <t/>
        </is>
      </c>
      <c r="CN216" s="238" t="n">
        <v>2.05</v>
      </c>
      <c r="CO216" s="239" t="n">
        <v>99.0</v>
      </c>
      <c r="CP216" s="240" t="n">
        <v>0.01</v>
      </c>
      <c r="CQ216" s="241" t="n">
        <v>0.42</v>
      </c>
      <c r="CR216" s="242" t="n">
        <v>4.14</v>
      </c>
      <c r="CS216" s="243" t="n">
        <v>100.0</v>
      </c>
      <c r="CT216" s="244" t="n">
        <v>-0.04</v>
      </c>
      <c r="CU216" s="245" t="n">
        <v>17.0</v>
      </c>
      <c r="CV216" s="246" t="n">
        <v>7.78</v>
      </c>
      <c r="CW216" s="247" t="n">
        <v>99.0</v>
      </c>
      <c r="CX216" s="248" t="n">
        <v>0.5</v>
      </c>
      <c r="CY216" s="249" t="n">
        <v>94.0</v>
      </c>
      <c r="CZ216" s="250" t="n">
        <v>-0.04</v>
      </c>
      <c r="DA216" s="251" t="n">
        <v>21.0</v>
      </c>
      <c r="DB216" s="252" t="n">
        <v>10.72</v>
      </c>
      <c r="DC216" s="253" t="n">
        <v>91.0</v>
      </c>
      <c r="DD216" s="254" t="n">
        <v>1.07</v>
      </c>
      <c r="DE216" s="255" t="n">
        <v>11.05</v>
      </c>
      <c r="DF216" s="256" t="n">
        <v>10.71</v>
      </c>
      <c r="DG216" s="257" t="n">
        <v>90.0</v>
      </c>
      <c r="DH216" s="258" t="n">
        <v>10.73</v>
      </c>
      <c r="DI216" s="259" t="n">
        <v>86.0</v>
      </c>
      <c r="DJ216" s="260" t="n">
        <v>4.77</v>
      </c>
      <c r="DK216" s="261" t="n">
        <v>78.0</v>
      </c>
      <c r="DL216" s="262" t="n">
        <v>16.65</v>
      </c>
      <c r="DM216" s="263" t="n">
        <v>92.0</v>
      </c>
      <c r="DN216" s="264" t="n">
        <v>10.73</v>
      </c>
      <c r="DO216" s="265" t="n">
        <v>88.0</v>
      </c>
      <c r="DP216" s="266" t="n">
        <v>3368.0</v>
      </c>
      <c r="DQ216" s="267" t="n">
        <v>283.0</v>
      </c>
      <c r="DR216" s="268" t="n">
        <v>9.17</v>
      </c>
      <c r="DS216" s="269" t="n">
        <v>563.0</v>
      </c>
      <c r="DT216" s="270" t="n">
        <v>3.0</v>
      </c>
      <c r="DU216" s="271" t="n">
        <v>0.54</v>
      </c>
      <c r="DV216" s="272" t="n">
        <v>3854.0</v>
      </c>
      <c r="DW216" s="273" t="n">
        <v>-3.0</v>
      </c>
      <c r="DX216" s="274" t="n">
        <v>-0.08</v>
      </c>
      <c r="DY216" s="275" t="inlineStr">
        <is>
          <t>PitchBook Research</t>
        </is>
      </c>
      <c r="DZ216" s="276" t="n">
        <v>43514.0</v>
      </c>
      <c r="EA216" s="277" t="n">
        <v>1645.89</v>
      </c>
      <c r="EB216" s="278" t="n">
        <v>38695.0</v>
      </c>
      <c r="EC216" s="279" t="inlineStr">
        <is>
          <t>IPO</t>
        </is>
      </c>
      <c r="ED216" s="548">
        <f>HYPERLINK("https://my.pitchbook.com?c=11026-27", "View company online")</f>
      </c>
    </row>
    <row r="217">
      <c r="A217" s="13" t="inlineStr">
        <is>
          <t>169905-43</t>
        </is>
      </c>
      <c r="B217" s="14" t="inlineStr">
        <is>
          <t>PAL Group Holdings Company (TKS: 2726)</t>
        </is>
      </c>
      <c r="C217" s="15" t="inlineStr">
        <is>
          <t>PAL Company</t>
        </is>
      </c>
      <c r="D217" s="16" t="inlineStr">
        <is>
          <t/>
        </is>
      </c>
      <c r="E217" s="17" t="inlineStr">
        <is>
          <t>169905-43</t>
        </is>
      </c>
      <c r="F217" s="18" t="inlineStr">
        <is>
          <t>PAL Group Holdings Co Ltd is a holding company with subsidiaries that are manufacturers and retailers of women's clothing, men's clothing, and miscellaneous goods. The company's stores operate under dozens of brands, including Asoko, Beardsley, Capricieux Lemage, Chez toi, Ciaopanic, Colle, Discoat, Daily Russet, Dou Dou, CPCM, Lattice, Kastane, Mystic, 3 Coins, Who's Who, Goocy, Live Tart, Prose Verse, Loungedress, Omekashi, and Recette. PAL Group's brands have stores located in Japan and offer on-line ordering.</t>
        </is>
      </c>
      <c r="G217" s="19" t="inlineStr">
        <is>
          <t>Consumer Products and Services (B2C)</t>
        </is>
      </c>
      <c r="H217" s="20" t="inlineStr">
        <is>
          <t>Apparel and Accessories</t>
        </is>
      </c>
      <c r="I217" s="21" t="inlineStr">
        <is>
          <t>Clothing</t>
        </is>
      </c>
      <c r="J217" s="22" t="inlineStr">
        <is>
          <t>Clothing*</t>
        </is>
      </c>
      <c r="K217" s="23" t="inlineStr">
        <is>
          <t>Manufacturing</t>
        </is>
      </c>
      <c r="L217" s="24" t="inlineStr">
        <is>
          <t>branding apparel, mens clothing, womens clothing</t>
        </is>
      </c>
      <c r="M217" s="25" t="inlineStr">
        <is>
          <t>Corporation</t>
        </is>
      </c>
      <c r="N217" s="26" t="inlineStr">
        <is>
          <t/>
        </is>
      </c>
      <c r="O217" s="27" t="inlineStr">
        <is>
          <t>Profitable</t>
        </is>
      </c>
      <c r="P217" s="28" t="inlineStr">
        <is>
          <t>Publicly Held</t>
        </is>
      </c>
      <c r="Q217" s="29" t="inlineStr">
        <is>
          <t>Publicly Listed</t>
        </is>
      </c>
      <c r="R217" s="30" t="inlineStr">
        <is>
          <t>www.palgroup.co.jp</t>
        </is>
      </c>
      <c r="S217" s="31" t="n">
        <v>6059.0</v>
      </c>
      <c r="T217" s="32" t="inlineStr">
        <is>
          <t>2006: 887, 2007: 1257, 2008: 1628, 2009: 1835, 2010: 2067, 2011: 2013, 2012: 1981, 2013: 2178, 2014: 2422, 2015: 2612, 2016: 2842, 2017: 3134, 2018: 6059</t>
        </is>
      </c>
      <c r="U217" s="33" t="inlineStr">
        <is>
          <t>TKS</t>
        </is>
      </c>
      <c r="V217" s="34" t="inlineStr">
        <is>
          <t>2726</t>
        </is>
      </c>
      <c r="W217" s="35" t="n">
        <v>1973.0</v>
      </c>
      <c r="X217" s="36" t="inlineStr">
        <is>
          <t/>
        </is>
      </c>
      <c r="Y217" s="37" t="inlineStr">
        <is>
          <t/>
        </is>
      </c>
      <c r="Z217" s="38" t="inlineStr">
        <is>
          <t/>
        </is>
      </c>
      <c r="AA217" s="39" t="n">
        <v>1170.41</v>
      </c>
      <c r="AB217" s="40" t="n">
        <v>651.82</v>
      </c>
      <c r="AC217" s="41" t="n">
        <v>28.61</v>
      </c>
      <c r="AD217" s="42" t="n">
        <v>362.81</v>
      </c>
      <c r="AE217" s="43" t="n">
        <v>55.95</v>
      </c>
      <c r="AF217" s="44" t="inlineStr">
        <is>
          <t>TTM 3Q2019</t>
        </is>
      </c>
      <c r="AG217" s="45" t="n">
        <v>55.95</v>
      </c>
      <c r="AH217" s="46" t="n">
        <v>624.34</v>
      </c>
      <c r="AI217" s="47" t="n">
        <v>-234.37</v>
      </c>
      <c r="AJ217" s="48" t="inlineStr">
        <is>
          <t/>
        </is>
      </c>
      <c r="AK217" s="49" t="inlineStr">
        <is>
          <t/>
        </is>
      </c>
      <c r="AL217" s="50" t="inlineStr">
        <is>
          <t/>
        </is>
      </c>
      <c r="AM217" s="51" t="inlineStr">
        <is>
          <t/>
        </is>
      </c>
      <c r="AN217" s="52" t="inlineStr">
        <is>
          <t/>
        </is>
      </c>
      <c r="AO217" s="53" t="inlineStr">
        <is>
          <t>Osaka, Japan</t>
        </is>
      </c>
      <c r="AP217" s="54" t="inlineStr">
        <is>
          <t>3-5-29 Nippon Life Yodoyabashi Building 4F</t>
        </is>
      </c>
      <c r="AQ217" s="55" t="inlineStr">
        <is>
          <t>Chuo-ku, Kitahama</t>
        </is>
      </c>
      <c r="AR217" s="56" t="inlineStr">
        <is>
          <t>Osaka</t>
        </is>
      </c>
      <c r="AS217" s="57" t="inlineStr">
        <is>
          <t/>
        </is>
      </c>
      <c r="AT217" s="58" t="inlineStr">
        <is>
          <t/>
        </is>
      </c>
      <c r="AU217" s="59" t="inlineStr">
        <is>
          <t>Japan</t>
        </is>
      </c>
      <c r="AV217" s="60" t="inlineStr">
        <is>
          <t>+81 (0)66 227 0308</t>
        </is>
      </c>
      <c r="AW217" s="61" t="inlineStr">
        <is>
          <t>+81 (0)66 231 1056</t>
        </is>
      </c>
      <c r="AX217" s="62" t="inlineStr">
        <is>
          <t/>
        </is>
      </c>
      <c r="AY217" s="63" t="inlineStr">
        <is>
          <t>Asia</t>
        </is>
      </c>
      <c r="AZ217" s="64" t="inlineStr">
        <is>
          <t>East Asia</t>
        </is>
      </c>
      <c r="BA217" s="65" t="inlineStr">
        <is>
          <t/>
        </is>
      </c>
      <c r="BB217" s="66" t="inlineStr">
        <is>
          <t/>
        </is>
      </c>
      <c r="BC217" s="67" t="inlineStr">
        <is>
          <t/>
        </is>
      </c>
      <c r="BD217" s="68" t="inlineStr">
        <is>
          <t/>
        </is>
      </c>
      <c r="BE217" s="69" t="inlineStr">
        <is>
          <t/>
        </is>
      </c>
      <c r="BF217" s="70" t="inlineStr">
        <is>
          <t/>
        </is>
      </c>
      <c r="BG217" s="71" t="inlineStr">
        <is>
          <t/>
        </is>
      </c>
      <c r="BH217" s="72" t="inlineStr">
        <is>
          <t/>
        </is>
      </c>
      <c r="BI217" s="73" t="inlineStr">
        <is>
          <t/>
        </is>
      </c>
      <c r="BJ217" s="74" t="inlineStr">
        <is>
          <t/>
        </is>
      </c>
      <c r="BK217" s="75" t="inlineStr">
        <is>
          <t/>
        </is>
      </c>
      <c r="BL217" s="76" t="inlineStr">
        <is>
          <t/>
        </is>
      </c>
      <c r="BM217" s="77" t="inlineStr">
        <is>
          <t/>
        </is>
      </c>
      <c r="BN217" s="78" t="inlineStr">
        <is>
          <t/>
        </is>
      </c>
      <c r="BO217" s="79" t="inlineStr">
        <is>
          <t/>
        </is>
      </c>
      <c r="BP217" s="80" t="inlineStr">
        <is>
          <t/>
        </is>
      </c>
      <c r="BQ217" s="81" t="inlineStr">
        <is>
          <t/>
        </is>
      </c>
      <c r="BR217" s="82" t="inlineStr">
        <is>
          <t/>
        </is>
      </c>
      <c r="BS217" s="83" t="inlineStr">
        <is>
          <t/>
        </is>
      </c>
      <c r="BT217" s="84" t="inlineStr">
        <is>
          <t/>
        </is>
      </c>
      <c r="BU217" s="85" t="inlineStr">
        <is>
          <t/>
        </is>
      </c>
      <c r="BV217" s="86" t="inlineStr">
        <is>
          <t/>
        </is>
      </c>
      <c r="BW217" s="87" t="inlineStr">
        <is>
          <t/>
        </is>
      </c>
      <c r="BX217" s="88" t="inlineStr">
        <is>
          <t/>
        </is>
      </c>
      <c r="BY217" s="89" t="inlineStr">
        <is>
          <t/>
        </is>
      </c>
      <c r="BZ217" s="90" t="inlineStr">
        <is>
          <t/>
        </is>
      </c>
      <c r="CA217" s="91" t="inlineStr">
        <is>
          <t/>
        </is>
      </c>
      <c r="CB217" s="92" t="inlineStr">
        <is>
          <t/>
        </is>
      </c>
      <c r="CC217" s="93" t="inlineStr">
        <is>
          <t/>
        </is>
      </c>
      <c r="CD217" s="94" t="inlineStr">
        <is>
          <t/>
        </is>
      </c>
      <c r="CE217" s="95" t="inlineStr">
        <is>
          <t/>
        </is>
      </c>
      <c r="CF217" s="96" t="inlineStr">
        <is>
          <t/>
        </is>
      </c>
      <c r="CG217" s="97" t="inlineStr">
        <is>
          <t/>
        </is>
      </c>
      <c r="CH217" s="98" t="inlineStr">
        <is>
          <t/>
        </is>
      </c>
      <c r="CI217" s="99" t="inlineStr">
        <is>
          <t/>
        </is>
      </c>
      <c r="CJ217" s="100" t="inlineStr">
        <is>
          <t/>
        </is>
      </c>
      <c r="CK217" s="101" t="inlineStr">
        <is>
          <t/>
        </is>
      </c>
      <c r="CL217" s="102" t="inlineStr">
        <is>
          <t/>
        </is>
      </c>
      <c r="CM217" s="103" t="inlineStr">
        <is>
          <t/>
        </is>
      </c>
      <c r="CN217" s="104" t="n">
        <v>0.15</v>
      </c>
      <c r="CO217" s="105" t="n">
        <v>87.0</v>
      </c>
      <c r="CP217" s="106" t="n">
        <v>0.03</v>
      </c>
      <c r="CQ217" s="107" t="n">
        <v>24.76</v>
      </c>
      <c r="CR217" s="108" t="n">
        <v>0.15</v>
      </c>
      <c r="CS217" s="109" t="n">
        <v>88.0</v>
      </c>
      <c r="CT217" s="110" t="inlineStr">
        <is>
          <t/>
        </is>
      </c>
      <c r="CU217" s="111" t="inlineStr">
        <is>
          <t/>
        </is>
      </c>
      <c r="CV217" s="112" t="inlineStr">
        <is>
          <t/>
        </is>
      </c>
      <c r="CW217" s="113" t="inlineStr">
        <is>
          <t/>
        </is>
      </c>
      <c r="CX217" s="114" t="n">
        <v>0.15</v>
      </c>
      <c r="CY217" s="115" t="n">
        <v>87.0</v>
      </c>
      <c r="CZ217" s="116" t="inlineStr">
        <is>
          <t/>
        </is>
      </c>
      <c r="DA217" s="117" t="inlineStr">
        <is>
          <t/>
        </is>
      </c>
      <c r="DB217" s="118" t="n">
        <v>37.47</v>
      </c>
      <c r="DC217" s="119" t="n">
        <v>97.0</v>
      </c>
      <c r="DD217" s="120" t="n">
        <v>9.25</v>
      </c>
      <c r="DE217" s="121" t="n">
        <v>32.77</v>
      </c>
      <c r="DF217" s="122" t="n">
        <v>37.47</v>
      </c>
      <c r="DG217" s="123" t="n">
        <v>98.0</v>
      </c>
      <c r="DH217" s="124" t="inlineStr">
        <is>
          <t/>
        </is>
      </c>
      <c r="DI217" s="125" t="inlineStr">
        <is>
          <t/>
        </is>
      </c>
      <c r="DJ217" s="126" t="inlineStr">
        <is>
          <t/>
        </is>
      </c>
      <c r="DK217" s="127" t="inlineStr">
        <is>
          <t/>
        </is>
      </c>
      <c r="DL217" s="128" t="n">
        <v>37.47</v>
      </c>
      <c r="DM217" s="129" t="n">
        <v>97.0</v>
      </c>
      <c r="DN217" s="130" t="inlineStr">
        <is>
          <t/>
        </is>
      </c>
      <c r="DO217" s="131" t="inlineStr">
        <is>
          <t/>
        </is>
      </c>
      <c r="DP217" s="132" t="inlineStr">
        <is>
          <t/>
        </is>
      </c>
      <c r="DQ217" s="133" t="inlineStr">
        <is>
          <t/>
        </is>
      </c>
      <c r="DR217" s="134" t="inlineStr">
        <is>
          <t/>
        </is>
      </c>
      <c r="DS217" s="135" t="n">
        <v>1272.0</v>
      </c>
      <c r="DT217" s="136" t="n">
        <v>4.0</v>
      </c>
      <c r="DU217" s="137" t="n">
        <v>0.32</v>
      </c>
      <c r="DV217" s="138" t="inlineStr">
        <is>
          <t/>
        </is>
      </c>
      <c r="DW217" s="139" t="inlineStr">
        <is>
          <t/>
        </is>
      </c>
      <c r="DX217" s="140" t="inlineStr">
        <is>
          <t/>
        </is>
      </c>
      <c r="DY217" s="141" t="inlineStr">
        <is>
          <t>PitchBook Research</t>
        </is>
      </c>
      <c r="DZ217" s="142" t="n">
        <v>43491.0</v>
      </c>
      <c r="EA217" s="143" t="inlineStr">
        <is>
          <t/>
        </is>
      </c>
      <c r="EB217" s="144" t="inlineStr">
        <is>
          <t/>
        </is>
      </c>
      <c r="EC217" s="145" t="inlineStr">
        <is>
          <t/>
        </is>
      </c>
      <c r="ED217" s="547">
        <f>HYPERLINK("https://my.pitchbook.com?c=169905-43", "View company online")</f>
      </c>
    </row>
    <row r="218">
      <c r="A218" s="147" t="inlineStr">
        <is>
          <t>43027-84</t>
        </is>
      </c>
      <c r="B218" s="148" t="inlineStr">
        <is>
          <t>XXL Sport &amp; Villmark (OSL: XXL)</t>
        </is>
      </c>
      <c r="C218" s="149" t="inlineStr">
        <is>
          <t/>
        </is>
      </c>
      <c r="D218" s="150" t="inlineStr">
        <is>
          <t>XXL</t>
        </is>
      </c>
      <c r="E218" s="151" t="inlineStr">
        <is>
          <t>43027-84</t>
        </is>
      </c>
      <c r="F218" s="152" t="inlineStr">
        <is>
          <t>XXL ASA is a sports retailer operating in Norway, Sweden, and Finland. The company strategy is to offer the lowest prices and the broadest assortment of products with focus on branded goods. The products are organized into six product categories: shoes, sportwear, outdoor, ski/bike, hunting and sports, and health and fitness. The product categories provide equipment, casual wear, sportswear, shoes, sleeping bags, cooking equipment, firearms, binoculars, GPS equipment, knives, axes, backpacks, and maps for various sports, including water sports, football, golf, tennis, ski, snowboarding, and hunting. The brands offered are mainly well-known and international: Nike, Adidas, Puma, O'Neill, Scott, Umarex, Nikon, Atomic, Fischer, Rossignol, Oakley, and Commaster, among others.</t>
        </is>
      </c>
      <c r="G218" s="153" t="inlineStr">
        <is>
          <t>Consumer Products and Services (B2C)</t>
        </is>
      </c>
      <c r="H218" s="154" t="inlineStr">
        <is>
          <t>Retail</t>
        </is>
      </c>
      <c r="I218" s="155" t="inlineStr">
        <is>
          <t>Specialty Retail</t>
        </is>
      </c>
      <c r="J218" s="156" t="inlineStr">
        <is>
          <t>Clothing, Footwear, Recreational Goods, Specialty Retail*</t>
        </is>
      </c>
      <c r="K218" s="157" t="inlineStr">
        <is>
          <t/>
        </is>
      </c>
      <c r="L218" s="158" t="inlineStr">
        <is>
          <t>bicycle, outdoor stock, ski accessories</t>
        </is>
      </c>
      <c r="M218" s="159" t="inlineStr">
        <is>
          <t>Formerly PE-Backed</t>
        </is>
      </c>
      <c r="N218" s="160" t="n">
        <v>221.73</v>
      </c>
      <c r="O218" s="161" t="inlineStr">
        <is>
          <t>Profitable</t>
        </is>
      </c>
      <c r="P218" s="162" t="inlineStr">
        <is>
          <t>Publicly Held</t>
        </is>
      </c>
      <c r="Q218" s="163" t="inlineStr">
        <is>
          <t>Private Equity, Publicly Listed</t>
        </is>
      </c>
      <c r="R218" s="164" t="inlineStr">
        <is>
          <t>www.xxlasa.com</t>
        </is>
      </c>
      <c r="S218" s="165" t="n">
        <v>2764.0</v>
      </c>
      <c r="T218" s="166" t="inlineStr">
        <is>
          <t>2010: 639, 2011: 811, 2012: 1100, 2013: 1360, 2014: 3109, 2015: 3566, 2016: 4283, 2017: 2764</t>
        </is>
      </c>
      <c r="U218" s="167" t="inlineStr">
        <is>
          <t>OSL</t>
        </is>
      </c>
      <c r="V218" s="168" t="inlineStr">
        <is>
          <t>XXL</t>
        </is>
      </c>
      <c r="W218" s="169" t="n">
        <v>2001.0</v>
      </c>
      <c r="X218" s="170" t="inlineStr">
        <is>
          <t/>
        </is>
      </c>
      <c r="Y218" s="171" t="inlineStr">
        <is>
          <t/>
        </is>
      </c>
      <c r="Z218" s="172" t="inlineStr">
        <is>
          <t/>
        </is>
      </c>
      <c r="AA218" s="173" t="n">
        <v>1168.48</v>
      </c>
      <c r="AB218" s="174" t="n">
        <v>454.38</v>
      </c>
      <c r="AC218" s="175" t="n">
        <v>52.66</v>
      </c>
      <c r="AD218" s="176" t="n">
        <v>940.44</v>
      </c>
      <c r="AE218" s="177" t="n">
        <v>98.88</v>
      </c>
      <c r="AF218" s="178" t="inlineStr">
        <is>
          <t>TTM 3Q2018</t>
        </is>
      </c>
      <c r="AG218" s="179" t="n">
        <v>75.96</v>
      </c>
      <c r="AH218" s="180" t="n">
        <v>479.5</v>
      </c>
      <c r="AI218" s="181" t="n">
        <v>253.01</v>
      </c>
      <c r="AJ218" s="182" t="inlineStr">
        <is>
          <t>46002-61P</t>
        </is>
      </c>
      <c r="AK218" s="183" t="inlineStr">
        <is>
          <t>Fredrik Steenbuch</t>
        </is>
      </c>
      <c r="AL218" s="184" t="inlineStr">
        <is>
          <t>Chief Executive Officer &amp; Managing Director</t>
        </is>
      </c>
      <c r="AM218" s="185" t="inlineStr">
        <is>
          <t/>
        </is>
      </c>
      <c r="AN218" s="186" t="inlineStr">
        <is>
          <t>+47 24 08 40 00</t>
        </is>
      </c>
      <c r="AO218" s="187" t="inlineStr">
        <is>
          <t>Oslo, Norway</t>
        </is>
      </c>
      <c r="AP218" s="188" t="inlineStr">
        <is>
          <t>Strømsveien 245</t>
        </is>
      </c>
      <c r="AQ218" s="189" t="inlineStr">
        <is>
          <t>Alna Senter</t>
        </is>
      </c>
      <c r="AR218" s="190" t="inlineStr">
        <is>
          <t>Oslo</t>
        </is>
      </c>
      <c r="AS218" s="191" t="inlineStr">
        <is>
          <t/>
        </is>
      </c>
      <c r="AT218" s="192" t="inlineStr">
        <is>
          <t>164</t>
        </is>
      </c>
      <c r="AU218" s="193" t="inlineStr">
        <is>
          <t>Norway</t>
        </is>
      </c>
      <c r="AV218" s="194" t="inlineStr">
        <is>
          <t>+47 24 08 40 00</t>
        </is>
      </c>
      <c r="AW218" s="195" t="inlineStr">
        <is>
          <t/>
        </is>
      </c>
      <c r="AX218" s="196" t="inlineStr">
        <is>
          <t>post.internett@xxl.no</t>
        </is>
      </c>
      <c r="AY218" s="197" t="inlineStr">
        <is>
          <t>Europe</t>
        </is>
      </c>
      <c r="AZ218" s="198" t="inlineStr">
        <is>
          <t>Northern Europe</t>
        </is>
      </c>
      <c r="BA218" s="199" t="inlineStr">
        <is>
          <t>EQT Partners sold 14% stake of the company's (OSL: XXL) common stock at a price of $83 per share on September 10, 2015. The company is no longer actively tracked by PitchBook.</t>
        </is>
      </c>
      <c r="BB218" s="200" t="inlineStr">
        <is>
          <t>Dolphin Management</t>
        </is>
      </c>
      <c r="BC218" s="201" t="n">
        <v>1.0</v>
      </c>
      <c r="BD218" s="202" t="inlineStr">
        <is>
          <t/>
        </is>
      </c>
      <c r="BE218" s="203" t="inlineStr">
        <is>
          <t>EQT</t>
        </is>
      </c>
      <c r="BF218" s="204" t="inlineStr">
        <is>
          <t/>
        </is>
      </c>
      <c r="BG218" s="205" t="inlineStr">
        <is>
          <t/>
        </is>
      </c>
      <c r="BH218" s="206" t="inlineStr">
        <is>
          <t>EQT(www.eqtpartners.com)</t>
        </is>
      </c>
      <c r="BI218" s="207" t="inlineStr">
        <is>
          <t/>
        </is>
      </c>
      <c r="BJ218" s="208" t="inlineStr">
        <is>
          <t/>
        </is>
      </c>
      <c r="BK218" s="209" t="inlineStr">
        <is>
          <t>ABG Sundal Collier(Underwriter), Carnegie Investment Bank(Advisor: General), Credit Suisse(Underwriter), DNB Bank(Underwriter), EY(Advisor: General), Guardian Corporate(Advisor: General), The Goldman Sachs Group(Underwriter), Thommessen(Legal Advisor)</t>
        </is>
      </c>
      <c r="BL218" s="210" t="n">
        <v>40331.0</v>
      </c>
      <c r="BM218" s="211" t="inlineStr">
        <is>
          <t/>
        </is>
      </c>
      <c r="BN218" s="212" t="inlineStr">
        <is>
          <t/>
        </is>
      </c>
      <c r="BO218" s="213" t="inlineStr">
        <is>
          <t/>
        </is>
      </c>
      <c r="BP218" s="214" t="inlineStr">
        <is>
          <t/>
        </is>
      </c>
      <c r="BQ218" s="215" t="inlineStr">
        <is>
          <t>Buyout/LBO</t>
        </is>
      </c>
      <c r="BR218" s="216" t="inlineStr">
        <is>
          <t/>
        </is>
      </c>
      <c r="BS218" s="217" t="inlineStr">
        <is>
          <t/>
        </is>
      </c>
      <c r="BT218" s="218" t="inlineStr">
        <is>
          <t>Private Equity</t>
        </is>
      </c>
      <c r="BU218" s="219" t="inlineStr">
        <is>
          <t/>
        </is>
      </c>
      <c r="BV218" s="220" t="inlineStr">
        <is>
          <t/>
        </is>
      </c>
      <c r="BW218" s="221" t="inlineStr">
        <is>
          <t/>
        </is>
      </c>
      <c r="BX218" s="222" t="inlineStr">
        <is>
          <t>Completed</t>
        </is>
      </c>
      <c r="BY218" s="223" t="n">
        <v>42257.0</v>
      </c>
      <c r="BZ218" s="224" t="inlineStr">
        <is>
          <t/>
        </is>
      </c>
      <c r="CA218" s="225" t="inlineStr">
        <is>
          <t/>
        </is>
      </c>
      <c r="CB218" s="226" t="inlineStr">
        <is>
          <t/>
        </is>
      </c>
      <c r="CC218" s="227" t="inlineStr">
        <is>
          <t/>
        </is>
      </c>
      <c r="CD218" s="228" t="inlineStr">
        <is>
          <t>Secondary Transaction - Open Market</t>
        </is>
      </c>
      <c r="CE218" s="229" t="inlineStr">
        <is>
          <t/>
        </is>
      </c>
      <c r="CF218" s="230" t="inlineStr">
        <is>
          <t/>
        </is>
      </c>
      <c r="CG218" s="231" t="inlineStr">
        <is>
          <t>Private Equity</t>
        </is>
      </c>
      <c r="CH218" s="232" t="inlineStr">
        <is>
          <t/>
        </is>
      </c>
      <c r="CI218" s="233" t="inlineStr">
        <is>
          <t/>
        </is>
      </c>
      <c r="CJ218" s="234" t="inlineStr">
        <is>
          <t/>
        </is>
      </c>
      <c r="CK218" s="235" t="inlineStr">
        <is>
          <t>Completed</t>
        </is>
      </c>
      <c r="CL218" s="236" t="inlineStr">
        <is>
          <t/>
        </is>
      </c>
      <c r="CM218" s="237" t="inlineStr">
        <is>
          <t/>
        </is>
      </c>
      <c r="CN218" s="238" t="n">
        <v>0.03</v>
      </c>
      <c r="CO218" s="239" t="n">
        <v>80.0</v>
      </c>
      <c r="CP218" s="240" t="n">
        <v>0.0</v>
      </c>
      <c r="CQ218" s="241" t="n">
        <v>0.0</v>
      </c>
      <c r="CR218" s="242" t="n">
        <v>0.0</v>
      </c>
      <c r="CS218" s="243" t="n">
        <v>14.0</v>
      </c>
      <c r="CT218" s="244" t="n">
        <v>0.07</v>
      </c>
      <c r="CU218" s="245" t="n">
        <v>68.0</v>
      </c>
      <c r="CV218" s="246" t="inlineStr">
        <is>
          <t/>
        </is>
      </c>
      <c r="CW218" s="247" t="inlineStr">
        <is>
          <t/>
        </is>
      </c>
      <c r="CX218" s="248" t="n">
        <v>0.0</v>
      </c>
      <c r="CY218" s="249" t="n">
        <v>11.0</v>
      </c>
      <c r="CZ218" s="250" t="n">
        <v>-0.02</v>
      </c>
      <c r="DA218" s="251" t="n">
        <v>25.0</v>
      </c>
      <c r="DB218" s="252" t="n">
        <v>87.74</v>
      </c>
      <c r="DC218" s="253" t="n">
        <v>99.0</v>
      </c>
      <c r="DD218" s="254" t="n">
        <v>0.43</v>
      </c>
      <c r="DE218" s="255" t="n">
        <v>0.49</v>
      </c>
      <c r="DF218" s="256" t="n">
        <v>1.62</v>
      </c>
      <c r="DG218" s="257" t="n">
        <v>62.0</v>
      </c>
      <c r="DH218" s="258" t="n">
        <v>173.86</v>
      </c>
      <c r="DI218" s="259" t="n">
        <v>98.0</v>
      </c>
      <c r="DJ218" s="260" t="inlineStr">
        <is>
          <t/>
        </is>
      </c>
      <c r="DK218" s="261" t="inlineStr">
        <is>
          <t/>
        </is>
      </c>
      <c r="DL218" s="262" t="n">
        <v>1.62</v>
      </c>
      <c r="DM218" s="263" t="n">
        <v>61.0</v>
      </c>
      <c r="DN218" s="264" t="n">
        <v>3.33</v>
      </c>
      <c r="DO218" s="265" t="n">
        <v>73.0</v>
      </c>
      <c r="DP218" s="266" t="inlineStr">
        <is>
          <t/>
        </is>
      </c>
      <c r="DQ218" s="267" t="inlineStr">
        <is>
          <t/>
        </is>
      </c>
      <c r="DR218" s="268" t="inlineStr">
        <is>
          <t/>
        </is>
      </c>
      <c r="DS218" s="269" t="n">
        <v>54.0</v>
      </c>
      <c r="DT218" s="270" t="n">
        <v>2.0</v>
      </c>
      <c r="DU218" s="271" t="n">
        <v>3.85</v>
      </c>
      <c r="DV218" s="272" t="n">
        <v>1194.0</v>
      </c>
      <c r="DW218" s="273" t="n">
        <v>0.0</v>
      </c>
      <c r="DX218" s="274" t="n">
        <v>0.0</v>
      </c>
      <c r="DY218" s="275" t="inlineStr">
        <is>
          <t>PitchBook Research</t>
        </is>
      </c>
      <c r="DZ218" s="276" t="n">
        <v>43492.0</v>
      </c>
      <c r="EA218" s="277" t="n">
        <v>1223.32</v>
      </c>
      <c r="EB218" s="278" t="n">
        <v>41915.0</v>
      </c>
      <c r="EC218" s="279" t="inlineStr">
        <is>
          <t>IPO</t>
        </is>
      </c>
      <c r="ED218" s="548">
        <f>HYPERLINK("https://my.pitchbook.com?c=43027-84", "View company online")</f>
      </c>
    </row>
    <row r="219">
      <c r="A219" s="13" t="inlineStr">
        <is>
          <t>58231-27</t>
        </is>
      </c>
      <c r="B219" s="14" t="inlineStr">
        <is>
          <t>TOD'S (MIL: TOD)</t>
        </is>
      </c>
      <c r="C219" s="15" t="inlineStr">
        <is>
          <t/>
        </is>
      </c>
      <c r="D219" s="16" t="inlineStr">
        <is>
          <t/>
        </is>
      </c>
      <c r="E219" s="17" t="inlineStr">
        <is>
          <t>58231-27</t>
        </is>
      </c>
      <c r="F219" s="18" t="inlineStr">
        <is>
          <t>Tod's SpA makes luxury shoes, leather goods, and apparel that it sells under brands including Tod's, Hogan, Fay, and Roger Vivier. Shoe sales account for more than three fourths of the company's total revenue. The company sells its products mostly through directly operated company stores, but it also sells through franchised company stores and independent multibrand stores. More than half of the company's total revenue is generated in Europe, with most of those sales coming from Italy. Other big markets include China and the Americas.</t>
        </is>
      </c>
      <c r="G219" s="19" t="inlineStr">
        <is>
          <t>Consumer Products and Services (B2C)</t>
        </is>
      </c>
      <c r="H219" s="20" t="inlineStr">
        <is>
          <t>Apparel and Accessories</t>
        </is>
      </c>
      <c r="I219" s="21" t="inlineStr">
        <is>
          <t>Accessories</t>
        </is>
      </c>
      <c r="J219" s="22" t="inlineStr">
        <is>
          <t>Accessories*, Clothing</t>
        </is>
      </c>
      <c r="K219" s="23" t="inlineStr">
        <is>
          <t>Manufacturing</t>
        </is>
      </c>
      <c r="L219" s="24" t="inlineStr">
        <is>
          <t>customer service, data handles, personal data</t>
        </is>
      </c>
      <c r="M219" s="25" t="inlineStr">
        <is>
          <t>Corporation</t>
        </is>
      </c>
      <c r="N219" s="26" t="inlineStr">
        <is>
          <t/>
        </is>
      </c>
      <c r="O219" s="27" t="inlineStr">
        <is>
          <t>Profitable</t>
        </is>
      </c>
      <c r="P219" s="28" t="inlineStr">
        <is>
          <t>Publicly Held</t>
        </is>
      </c>
      <c r="Q219" s="29" t="inlineStr">
        <is>
          <t>Publicly Listed</t>
        </is>
      </c>
      <c r="R219" s="30" t="inlineStr">
        <is>
          <t>www.todsgroup.com</t>
        </is>
      </c>
      <c r="S219" s="31" t="n">
        <v>4725.0</v>
      </c>
      <c r="T219" s="32" t="inlineStr">
        <is>
          <t>2008: 1406, 2010: 3194, 2011: 3549, 2012: 3878, 2013: 4144, 2014: 4305, 2015: 4550, 2016: 4531, 2017: 4627, 2018: 4725</t>
        </is>
      </c>
      <c r="U219" s="33" t="inlineStr">
        <is>
          <t>MIL</t>
        </is>
      </c>
      <c r="V219" s="34" t="inlineStr">
        <is>
          <t>TOD</t>
        </is>
      </c>
      <c r="W219" s="35" t="inlineStr">
        <is>
          <t/>
        </is>
      </c>
      <c r="X219" s="36" t="inlineStr">
        <is>
          <t/>
        </is>
      </c>
      <c r="Y219" s="37" t="inlineStr">
        <is>
          <t/>
        </is>
      </c>
      <c r="Z219" s="38" t="inlineStr">
        <is>
          <t/>
        </is>
      </c>
      <c r="AA219" s="39" t="n">
        <v>1163.53</v>
      </c>
      <c r="AB219" s="40" t="n">
        <v>452.28</v>
      </c>
      <c r="AC219" s="41" t="n">
        <v>83.43</v>
      </c>
      <c r="AD219" s="42" t="n">
        <v>2031.2</v>
      </c>
      <c r="AE219" s="43" t="n">
        <v>178.81</v>
      </c>
      <c r="AF219" s="44" t="inlineStr">
        <is>
          <t>TTM 2Q2018</t>
        </is>
      </c>
      <c r="AG219" s="45" t="n">
        <v>116.91</v>
      </c>
      <c r="AH219" s="46" t="n">
        <v>1561.33</v>
      </c>
      <c r="AI219" s="47" t="n">
        <v>58.1</v>
      </c>
      <c r="AJ219" s="48" t="inlineStr">
        <is>
          <t>79067-71P</t>
        </is>
      </c>
      <c r="AK219" s="49" t="inlineStr">
        <is>
          <t>Ilenia Miraglia</t>
        </is>
      </c>
      <c r="AL219" s="50" t="inlineStr">
        <is>
          <t>Campaign Developer</t>
        </is>
      </c>
      <c r="AM219" s="51" t="inlineStr">
        <is>
          <t>i.miraglia@todsgroup.com</t>
        </is>
      </c>
      <c r="AN219" s="52" t="inlineStr">
        <is>
          <t>+39 73 4866 1</t>
        </is>
      </c>
      <c r="AO219" s="53" t="inlineStr">
        <is>
          <t>Sant'Elpidio a Mare, Italy</t>
        </is>
      </c>
      <c r="AP219" s="54" t="inlineStr">
        <is>
          <t>Via Filippo della Valle, 1</t>
        </is>
      </c>
      <c r="AQ219" s="55" t="inlineStr">
        <is>
          <t/>
        </is>
      </c>
      <c r="AR219" s="56" t="inlineStr">
        <is>
          <t>Sant'Elpidio a Mare</t>
        </is>
      </c>
      <c r="AS219" s="57" t="inlineStr">
        <is>
          <t/>
        </is>
      </c>
      <c r="AT219" s="58" t="inlineStr">
        <is>
          <t>63811</t>
        </is>
      </c>
      <c r="AU219" s="59" t="inlineStr">
        <is>
          <t>Italy</t>
        </is>
      </c>
      <c r="AV219" s="60" t="inlineStr">
        <is>
          <t>+39 73 4866 1</t>
        </is>
      </c>
      <c r="AW219" s="61" t="inlineStr">
        <is>
          <t/>
        </is>
      </c>
      <c r="AX219" s="62" t="inlineStr">
        <is>
          <t/>
        </is>
      </c>
      <c r="AY219" s="63" t="inlineStr">
        <is>
          <t>Europe</t>
        </is>
      </c>
      <c r="AZ219" s="64" t="inlineStr">
        <is>
          <t>Southern Europe</t>
        </is>
      </c>
      <c r="BA219" s="65" t="inlineStr">
        <is>
          <t/>
        </is>
      </c>
      <c r="BB219" s="66" t="inlineStr">
        <is>
          <t/>
        </is>
      </c>
      <c r="BC219" s="67" t="inlineStr">
        <is>
          <t/>
        </is>
      </c>
      <c r="BD219" s="68" t="inlineStr">
        <is>
          <t/>
        </is>
      </c>
      <c r="BE219" s="69" t="inlineStr">
        <is>
          <t/>
        </is>
      </c>
      <c r="BF219" s="70" t="inlineStr">
        <is>
          <t/>
        </is>
      </c>
      <c r="BG219" s="71" t="inlineStr">
        <is>
          <t/>
        </is>
      </c>
      <c r="BH219" s="72" t="inlineStr">
        <is>
          <t/>
        </is>
      </c>
      <c r="BI219" s="73" t="inlineStr">
        <is>
          <t/>
        </is>
      </c>
      <c r="BJ219" s="74" t="inlineStr">
        <is>
          <t/>
        </is>
      </c>
      <c r="BK219" s="75" t="inlineStr">
        <is>
          <t/>
        </is>
      </c>
      <c r="BL219" s="76" t="inlineStr">
        <is>
          <t/>
        </is>
      </c>
      <c r="BM219" s="77" t="inlineStr">
        <is>
          <t/>
        </is>
      </c>
      <c r="BN219" s="78" t="inlineStr">
        <is>
          <t/>
        </is>
      </c>
      <c r="BO219" s="79" t="inlineStr">
        <is>
          <t/>
        </is>
      </c>
      <c r="BP219" s="80" t="inlineStr">
        <is>
          <t/>
        </is>
      </c>
      <c r="BQ219" s="81" t="inlineStr">
        <is>
          <t/>
        </is>
      </c>
      <c r="BR219" s="82" t="inlineStr">
        <is>
          <t/>
        </is>
      </c>
      <c r="BS219" s="83" t="inlineStr">
        <is>
          <t/>
        </is>
      </c>
      <c r="BT219" s="84" t="inlineStr">
        <is>
          <t/>
        </is>
      </c>
      <c r="BU219" s="85" t="inlineStr">
        <is>
          <t/>
        </is>
      </c>
      <c r="BV219" s="86" t="inlineStr">
        <is>
          <t/>
        </is>
      </c>
      <c r="BW219" s="87" t="inlineStr">
        <is>
          <t/>
        </is>
      </c>
      <c r="BX219" s="88" t="inlineStr">
        <is>
          <t/>
        </is>
      </c>
      <c r="BY219" s="89" t="inlineStr">
        <is>
          <t/>
        </is>
      </c>
      <c r="BZ219" s="90" t="inlineStr">
        <is>
          <t/>
        </is>
      </c>
      <c r="CA219" s="91" t="inlineStr">
        <is>
          <t/>
        </is>
      </c>
      <c r="CB219" s="92" t="inlineStr">
        <is>
          <t/>
        </is>
      </c>
      <c r="CC219" s="93" t="inlineStr">
        <is>
          <t/>
        </is>
      </c>
      <c r="CD219" s="94" t="inlineStr">
        <is>
          <t/>
        </is>
      </c>
      <c r="CE219" s="95" t="inlineStr">
        <is>
          <t/>
        </is>
      </c>
      <c r="CF219" s="96" t="inlineStr">
        <is>
          <t/>
        </is>
      </c>
      <c r="CG219" s="97" t="inlineStr">
        <is>
          <t/>
        </is>
      </c>
      <c r="CH219" s="98" t="inlineStr">
        <is>
          <t/>
        </is>
      </c>
      <c r="CI219" s="99" t="inlineStr">
        <is>
          <t/>
        </is>
      </c>
      <c r="CJ219" s="100" t="inlineStr">
        <is>
          <t/>
        </is>
      </c>
      <c r="CK219" s="101" t="inlineStr">
        <is>
          <t/>
        </is>
      </c>
      <c r="CL219" s="102" t="inlineStr">
        <is>
          <t/>
        </is>
      </c>
      <c r="CM219" s="103" t="inlineStr">
        <is>
          <t/>
        </is>
      </c>
      <c r="CN219" s="104" t="n">
        <v>0.17</v>
      </c>
      <c r="CO219" s="105" t="n">
        <v>88.0</v>
      </c>
      <c r="CP219" s="106" t="n">
        <v>0.05</v>
      </c>
      <c r="CQ219" s="107" t="n">
        <v>45.68</v>
      </c>
      <c r="CR219" s="108" t="n">
        <v>0.17</v>
      </c>
      <c r="CS219" s="109" t="n">
        <v>89.0</v>
      </c>
      <c r="CT219" s="110" t="inlineStr">
        <is>
          <t/>
        </is>
      </c>
      <c r="CU219" s="111" t="inlineStr">
        <is>
          <t/>
        </is>
      </c>
      <c r="CV219" s="112" t="inlineStr">
        <is>
          <t/>
        </is>
      </c>
      <c r="CW219" s="113" t="inlineStr">
        <is>
          <t/>
        </is>
      </c>
      <c r="CX219" s="114" t="n">
        <v>0.17</v>
      </c>
      <c r="CY219" s="115" t="n">
        <v>88.0</v>
      </c>
      <c r="CZ219" s="116" t="inlineStr">
        <is>
          <t/>
        </is>
      </c>
      <c r="DA219" s="117" t="inlineStr">
        <is>
          <t/>
        </is>
      </c>
      <c r="DB219" s="118" t="n">
        <v>41.76</v>
      </c>
      <c r="DC219" s="119" t="n">
        <v>98.0</v>
      </c>
      <c r="DD219" s="120" t="n">
        <v>10.48</v>
      </c>
      <c r="DE219" s="121" t="n">
        <v>33.48</v>
      </c>
      <c r="DF219" s="122" t="n">
        <v>41.76</v>
      </c>
      <c r="DG219" s="123" t="n">
        <v>98.0</v>
      </c>
      <c r="DH219" s="124" t="inlineStr">
        <is>
          <t/>
        </is>
      </c>
      <c r="DI219" s="125" t="inlineStr">
        <is>
          <t/>
        </is>
      </c>
      <c r="DJ219" s="126" t="inlineStr">
        <is>
          <t/>
        </is>
      </c>
      <c r="DK219" s="127" t="inlineStr">
        <is>
          <t/>
        </is>
      </c>
      <c r="DL219" s="128" t="n">
        <v>41.76</v>
      </c>
      <c r="DM219" s="129" t="n">
        <v>97.0</v>
      </c>
      <c r="DN219" s="130" t="inlineStr">
        <is>
          <t/>
        </is>
      </c>
      <c r="DO219" s="131" t="inlineStr">
        <is>
          <t/>
        </is>
      </c>
      <c r="DP219" s="132" t="n">
        <v>59.0</v>
      </c>
      <c r="DQ219" s="133" t="n">
        <v>-37.0</v>
      </c>
      <c r="DR219" s="134" t="n">
        <v>-38.54</v>
      </c>
      <c r="DS219" s="135" t="n">
        <v>1415.0</v>
      </c>
      <c r="DT219" s="136" t="n">
        <v>8.0</v>
      </c>
      <c r="DU219" s="137" t="n">
        <v>0.57</v>
      </c>
      <c r="DV219" s="138" t="inlineStr">
        <is>
          <t/>
        </is>
      </c>
      <c r="DW219" s="139" t="inlineStr">
        <is>
          <t/>
        </is>
      </c>
      <c r="DX219" s="140" t="inlineStr">
        <is>
          <t/>
        </is>
      </c>
      <c r="DY219" s="141" t="inlineStr">
        <is>
          <t>PitchBook Research</t>
        </is>
      </c>
      <c r="DZ219" s="142" t="n">
        <v>43528.0</v>
      </c>
      <c r="EA219" s="143" t="inlineStr">
        <is>
          <t/>
        </is>
      </c>
      <c r="EB219" s="144" t="inlineStr">
        <is>
          <t/>
        </is>
      </c>
      <c r="EC219" s="145" t="inlineStr">
        <is>
          <t/>
        </is>
      </c>
      <c r="ED219" s="547">
        <f>HYPERLINK("https://my.pitchbook.com?c=58231-27", "View company online")</f>
      </c>
    </row>
    <row r="220">
      <c r="A220" s="147" t="inlineStr">
        <is>
          <t>59205-61</t>
        </is>
      </c>
      <c r="B220" s="148" t="inlineStr">
        <is>
          <t>Figleaves.com</t>
        </is>
      </c>
      <c r="C220" s="149" t="inlineStr">
        <is>
          <t/>
        </is>
      </c>
      <c r="D220" s="150" t="inlineStr">
        <is>
          <t/>
        </is>
      </c>
      <c r="E220" s="151" t="inlineStr">
        <is>
          <t>59205-61</t>
        </is>
      </c>
      <c r="F220" s="152" t="inlineStr">
        <is>
          <t>Retailer of women's lingerie. The company is an online retailer of women's intimate apparel, as well as undergarments and swimwear.</t>
        </is>
      </c>
      <c r="G220" s="153" t="inlineStr">
        <is>
          <t>Consumer Products and Services (B2C)</t>
        </is>
      </c>
      <c r="H220" s="154" t="inlineStr">
        <is>
          <t>Retail</t>
        </is>
      </c>
      <c r="I220" s="155" t="inlineStr">
        <is>
          <t>Internet Retail</t>
        </is>
      </c>
      <c r="J220" s="156" t="inlineStr">
        <is>
          <t>Clothing, Internet Retail*, Other Apparel</t>
        </is>
      </c>
      <c r="K220" s="157" t="inlineStr">
        <is>
          <t>E-Commerce, TMT</t>
        </is>
      </c>
      <c r="L220" s="158" t="inlineStr">
        <is>
          <t>menswear, swimwear, underwear</t>
        </is>
      </c>
      <c r="M220" s="159" t="inlineStr">
        <is>
          <t>Formerly VC-backed</t>
        </is>
      </c>
      <c r="N220" s="160" t="inlineStr">
        <is>
          <t/>
        </is>
      </c>
      <c r="O220" s="161" t="inlineStr">
        <is>
          <t>Product Development</t>
        </is>
      </c>
      <c r="P220" s="162" t="inlineStr">
        <is>
          <t>Acquired/Merged</t>
        </is>
      </c>
      <c r="Q220" s="163" t="inlineStr">
        <is>
          <t>Venture Capital</t>
        </is>
      </c>
      <c r="R220" s="164" t="inlineStr">
        <is>
          <t>www.figleaves.com</t>
        </is>
      </c>
      <c r="S220" s="165" t="n">
        <v>200.0</v>
      </c>
      <c r="T220" s="166" t="inlineStr">
        <is>
          <t>2004: 3920, 2005: 4166, 2006: 3577, 2007: 3067, 2008: 2966, 2009: 3034, 2010: 3157, 2013: 200</t>
        </is>
      </c>
      <c r="U220" s="167" t="inlineStr">
        <is>
          <t/>
        </is>
      </c>
      <c r="V220" s="168" t="inlineStr">
        <is>
          <t/>
        </is>
      </c>
      <c r="W220" s="169" t="n">
        <v>1998.0</v>
      </c>
      <c r="X220" s="170" t="inlineStr">
        <is>
          <t/>
        </is>
      </c>
      <c r="Y220" s="171" t="inlineStr">
        <is>
          <t/>
        </is>
      </c>
      <c r="Z220" s="172" t="inlineStr">
        <is>
          <t/>
        </is>
      </c>
      <c r="AA220" s="173" t="n">
        <v>1162.95</v>
      </c>
      <c r="AB220" s="174" t="n">
        <v>634.11</v>
      </c>
      <c r="AC220" s="175" t="inlineStr">
        <is>
          <t/>
        </is>
      </c>
      <c r="AD220" s="176" t="inlineStr">
        <is>
          <t/>
        </is>
      </c>
      <c r="AE220" s="177" t="n">
        <v>45.72</v>
      </c>
      <c r="AF220" s="178" t="inlineStr">
        <is>
          <t>FY 2018</t>
        </is>
      </c>
      <c r="AG220" s="179" t="inlineStr">
        <is>
          <t/>
        </is>
      </c>
      <c r="AH220" s="180" t="inlineStr">
        <is>
          <t/>
        </is>
      </c>
      <c r="AI220" s="181" t="inlineStr">
        <is>
          <t/>
        </is>
      </c>
      <c r="AJ220" s="182" t="inlineStr">
        <is>
          <t/>
        </is>
      </c>
      <c r="AK220" s="183" t="inlineStr">
        <is>
          <t/>
        </is>
      </c>
      <c r="AL220" s="184" t="inlineStr">
        <is>
          <t/>
        </is>
      </c>
      <c r="AM220" s="185" t="inlineStr">
        <is>
          <t/>
        </is>
      </c>
      <c r="AN220" s="186" t="inlineStr">
        <is>
          <t/>
        </is>
      </c>
      <c r="AO220" s="187" t="inlineStr">
        <is>
          <t>Hertfordshire, United Kingdom</t>
        </is>
      </c>
      <c r="AP220" s="188" t="inlineStr">
        <is>
          <t>29 Broadwater Road</t>
        </is>
      </c>
      <c r="AQ220" s="189" t="inlineStr">
        <is>
          <t>Welwyn Garden City</t>
        </is>
      </c>
      <c r="AR220" s="190" t="inlineStr">
        <is>
          <t>Hertfordshire</t>
        </is>
      </c>
      <c r="AS220" s="191" t="inlineStr">
        <is>
          <t>England</t>
        </is>
      </c>
      <c r="AT220" s="192" t="inlineStr">
        <is>
          <t>AL7 3BQ</t>
        </is>
      </c>
      <c r="AU220" s="193" t="inlineStr">
        <is>
          <t>United Kingdom</t>
        </is>
      </c>
      <c r="AV220" s="194" t="inlineStr">
        <is>
          <t>+44 (0)20 3170 0169</t>
        </is>
      </c>
      <c r="AW220" s="195" t="inlineStr">
        <is>
          <t/>
        </is>
      </c>
      <c r="AX220" s="196" t="inlineStr">
        <is>
          <t>help@figleaves.com</t>
        </is>
      </c>
      <c r="AY220" s="197" t="inlineStr">
        <is>
          <t>Europe</t>
        </is>
      </c>
      <c r="AZ220" s="198" t="inlineStr">
        <is>
          <t>Western Europe</t>
        </is>
      </c>
      <c r="BA220" s="199" t="inlineStr">
        <is>
          <t>The company was acquired by N Brown Group Plc for an undisclosed amount on June 15, 2010. The company is no longer actively tracked by PitchBook.</t>
        </is>
      </c>
      <c r="BB220" s="200" t="inlineStr">
        <is>
          <t/>
        </is>
      </c>
      <c r="BC220" s="201" t="inlineStr">
        <is>
          <t/>
        </is>
      </c>
      <c r="BD220" s="202" t="inlineStr">
        <is>
          <t>N Brown Group</t>
        </is>
      </c>
      <c r="BE220" s="203" t="inlineStr">
        <is>
          <t>Balderton Capital, Kreos Capital</t>
        </is>
      </c>
      <c r="BF220" s="204" t="inlineStr">
        <is>
          <t/>
        </is>
      </c>
      <c r="BG220" s="205" t="inlineStr">
        <is>
          <t/>
        </is>
      </c>
      <c r="BH220" s="206" t="inlineStr">
        <is>
          <t>Balderton Capital(www.balderton.com), Kreos Capital(www.kreoscapital.com)</t>
        </is>
      </c>
      <c r="BI220" s="207" t="inlineStr">
        <is>
          <t/>
        </is>
      </c>
      <c r="BJ220" s="208" t="inlineStr">
        <is>
          <t>Aspen Worldwide(Consulting), Deloitte(Auditor), Renaissance Leadership(Consulting)</t>
        </is>
      </c>
      <c r="BK220" s="209" t="inlineStr">
        <is>
          <t>Kreos Capital(Debt Financing)</t>
        </is>
      </c>
      <c r="BL220" s="210" t="n">
        <v>38412.0</v>
      </c>
      <c r="BM220" s="211" t="inlineStr">
        <is>
          <t/>
        </is>
      </c>
      <c r="BN220" s="212" t="inlineStr">
        <is>
          <t/>
        </is>
      </c>
      <c r="BO220" s="213" t="inlineStr">
        <is>
          <t/>
        </is>
      </c>
      <c r="BP220" s="214" t="inlineStr">
        <is>
          <t/>
        </is>
      </c>
      <c r="BQ220" s="215" t="inlineStr">
        <is>
          <t>Early Stage VC</t>
        </is>
      </c>
      <c r="BR220" s="216" t="inlineStr">
        <is>
          <t/>
        </is>
      </c>
      <c r="BS220" s="217" t="inlineStr">
        <is>
          <t/>
        </is>
      </c>
      <c r="BT220" s="218" t="inlineStr">
        <is>
          <t>Venture Capital</t>
        </is>
      </c>
      <c r="BU220" s="219" t="inlineStr">
        <is>
          <t>Senior Debt</t>
        </is>
      </c>
      <c r="BV220" s="220" t="inlineStr">
        <is>
          <t/>
        </is>
      </c>
      <c r="BW220" s="221" t="inlineStr">
        <is>
          <t/>
        </is>
      </c>
      <c r="BX220" s="222" t="inlineStr">
        <is>
          <t>Completed</t>
        </is>
      </c>
      <c r="BY220" s="223" t="n">
        <v>40344.0</v>
      </c>
      <c r="BZ220" s="224" t="n">
        <v>16.93</v>
      </c>
      <c r="CA220" s="225" t="inlineStr">
        <is>
          <t>Actual</t>
        </is>
      </c>
      <c r="CB220" s="226" t="n">
        <v>16.93</v>
      </c>
      <c r="CC220" s="227" t="inlineStr">
        <is>
          <t>Actual</t>
        </is>
      </c>
      <c r="CD220" s="228" t="inlineStr">
        <is>
          <t>Merger/Acquisition</t>
        </is>
      </c>
      <c r="CE220" s="229" t="inlineStr">
        <is>
          <t/>
        </is>
      </c>
      <c r="CF220" s="230" t="inlineStr">
        <is>
          <t/>
        </is>
      </c>
      <c r="CG220" s="231" t="inlineStr">
        <is>
          <t>Corporate</t>
        </is>
      </c>
      <c r="CH220" s="232" t="inlineStr">
        <is>
          <t/>
        </is>
      </c>
      <c r="CI220" s="233" t="inlineStr">
        <is>
          <t/>
        </is>
      </c>
      <c r="CJ220" s="234" t="inlineStr">
        <is>
          <t/>
        </is>
      </c>
      <c r="CK220" s="235" t="inlineStr">
        <is>
          <t>Completed</t>
        </is>
      </c>
      <c r="CL220" s="236" t="n">
        <v>38412.0</v>
      </c>
      <c r="CM220" s="237" t="inlineStr">
        <is>
          <t/>
        </is>
      </c>
      <c r="CN220" s="238" t="inlineStr">
        <is>
          <t/>
        </is>
      </c>
      <c r="CO220" s="239" t="inlineStr">
        <is>
          <t/>
        </is>
      </c>
      <c r="CP220" s="240" t="inlineStr">
        <is>
          <t/>
        </is>
      </c>
      <c r="CQ220" s="241" t="inlineStr">
        <is>
          <t/>
        </is>
      </c>
      <c r="CR220" s="242" t="inlineStr">
        <is>
          <t/>
        </is>
      </c>
      <c r="CS220" s="243" t="inlineStr">
        <is>
          <t/>
        </is>
      </c>
      <c r="CT220" s="244" t="inlineStr">
        <is>
          <t/>
        </is>
      </c>
      <c r="CU220" s="245" t="inlineStr">
        <is>
          <t/>
        </is>
      </c>
      <c r="CV220" s="246" t="inlineStr">
        <is>
          <t/>
        </is>
      </c>
      <c r="CW220" s="247" t="inlineStr">
        <is>
          <t/>
        </is>
      </c>
      <c r="CX220" s="248" t="inlineStr">
        <is>
          <t/>
        </is>
      </c>
      <c r="CY220" s="249" t="inlineStr">
        <is>
          <t/>
        </is>
      </c>
      <c r="CZ220" s="250" t="inlineStr">
        <is>
          <t/>
        </is>
      </c>
      <c r="DA220" s="251" t="inlineStr">
        <is>
          <t/>
        </is>
      </c>
      <c r="DB220" s="252" t="inlineStr">
        <is>
          <t/>
        </is>
      </c>
      <c r="DC220" s="253" t="inlineStr">
        <is>
          <t/>
        </is>
      </c>
      <c r="DD220" s="254" t="inlineStr">
        <is>
          <t/>
        </is>
      </c>
      <c r="DE220" s="255" t="inlineStr">
        <is>
          <t/>
        </is>
      </c>
      <c r="DF220" s="256" t="inlineStr">
        <is>
          <t/>
        </is>
      </c>
      <c r="DG220" s="257" t="inlineStr">
        <is>
          <t/>
        </is>
      </c>
      <c r="DH220" s="258" t="inlineStr">
        <is>
          <t/>
        </is>
      </c>
      <c r="DI220" s="259" t="inlineStr">
        <is>
          <t/>
        </is>
      </c>
      <c r="DJ220" s="260" t="inlineStr">
        <is>
          <t/>
        </is>
      </c>
      <c r="DK220" s="261" t="inlineStr">
        <is>
          <t/>
        </is>
      </c>
      <c r="DL220" s="262" t="inlineStr">
        <is>
          <t/>
        </is>
      </c>
      <c r="DM220" s="263" t="inlineStr">
        <is>
          <t/>
        </is>
      </c>
      <c r="DN220" s="264" t="inlineStr">
        <is>
          <t/>
        </is>
      </c>
      <c r="DO220" s="265" t="inlineStr">
        <is>
          <t/>
        </is>
      </c>
      <c r="DP220" s="266" t="inlineStr">
        <is>
          <t/>
        </is>
      </c>
      <c r="DQ220" s="267" t="inlineStr">
        <is>
          <t/>
        </is>
      </c>
      <c r="DR220" s="268" t="inlineStr">
        <is>
          <t/>
        </is>
      </c>
      <c r="DS220" s="269" t="inlineStr">
        <is>
          <t/>
        </is>
      </c>
      <c r="DT220" s="270" t="inlineStr">
        <is>
          <t/>
        </is>
      </c>
      <c r="DU220" s="271" t="inlineStr">
        <is>
          <t/>
        </is>
      </c>
      <c r="DV220" s="272" t="inlineStr">
        <is>
          <t/>
        </is>
      </c>
      <c r="DW220" s="273" t="inlineStr">
        <is>
          <t/>
        </is>
      </c>
      <c r="DX220" s="274" t="inlineStr">
        <is>
          <t/>
        </is>
      </c>
      <c r="DY220" s="275" t="inlineStr">
        <is>
          <t>PitchBook Research</t>
        </is>
      </c>
      <c r="DZ220" s="276" t="n">
        <v>43448.0</v>
      </c>
      <c r="EA220" s="277" t="n">
        <v>16.93</v>
      </c>
      <c r="EB220" s="278" t="n">
        <v>40344.0</v>
      </c>
      <c r="EC220" s="279" t="inlineStr">
        <is>
          <t>Merger/Acquisition</t>
        </is>
      </c>
      <c r="ED220" s="548">
        <f>HYPERLINK("https://my.pitchbook.com?c=59205-61", "View company online")</f>
      </c>
    </row>
    <row r="221">
      <c r="A221" s="13" t="inlineStr">
        <is>
          <t>41893-39</t>
        </is>
      </c>
      <c r="B221" s="14" t="inlineStr">
        <is>
          <t>Aditya Birla Fashion and Retail (NSE: ABFRL)</t>
        </is>
      </c>
      <c r="C221" s="15" t="inlineStr">
        <is>
          <t>Pantaloons Fashion &amp; Retail, Peter England Fashions and Retail Limited</t>
        </is>
      </c>
      <c r="D221" s="16" t="inlineStr">
        <is>
          <t/>
        </is>
      </c>
      <c r="E221" s="17" t="inlineStr">
        <is>
          <t>41893-39</t>
        </is>
      </c>
      <c r="F221" s="18" t="inlineStr">
        <is>
          <t>Aditya Birla Fashion and Retail Ltd manufactures and retails clothing, footwear, and leather products. The company offers western, ethnic, formal, party, and active wear for men, women, and kids, as well as footwear, handbags, cosmetics, perfumes, fashion jewelry, and watches. ABFRL with over 2100 stores spanning across 5.5 million square feet, reaches out to over 13 million discerning customers across India. The company's major brands include Louis Philippe, Van Heusen, Allen Solly and Peter England.</t>
        </is>
      </c>
      <c r="G221" s="19" t="inlineStr">
        <is>
          <t>Consumer Products and Services (B2C)</t>
        </is>
      </c>
      <c r="H221" s="20" t="inlineStr">
        <is>
          <t>Retail</t>
        </is>
      </c>
      <c r="I221" s="21" t="inlineStr">
        <is>
          <t>General Merchandise Stores</t>
        </is>
      </c>
      <c r="J221" s="22" t="inlineStr">
        <is>
          <t>Clothing, General Merchandise Stores*</t>
        </is>
      </c>
      <c r="K221" s="23" t="inlineStr">
        <is>
          <t>Manufacturing</t>
        </is>
      </c>
      <c r="L221" s="24" t="inlineStr">
        <is>
          <t>apparel product, purse and bags, retail clothing, urban clothing</t>
        </is>
      </c>
      <c r="M221" s="25" t="inlineStr">
        <is>
          <t>Corporate Backed or Acquired</t>
        </is>
      </c>
      <c r="N221" s="26" t="inlineStr">
        <is>
          <t/>
        </is>
      </c>
      <c r="O221" s="27" t="inlineStr">
        <is>
          <t>Profitable</t>
        </is>
      </c>
      <c r="P221" s="28" t="inlineStr">
        <is>
          <t>Publicly Held</t>
        </is>
      </c>
      <c r="Q221" s="29" t="inlineStr">
        <is>
          <t>M&amp;A, Private Equity, Publicly Listed</t>
        </is>
      </c>
      <c r="R221" s="30" t="inlineStr">
        <is>
          <t>www.abfrl.com</t>
        </is>
      </c>
      <c r="S221" s="31" t="n">
        <v>20508.0</v>
      </c>
      <c r="T221" s="32" t="inlineStr">
        <is>
          <t>2013: 5300, 2014: 5300, 2015: 5932, 2016: 18876, 2017: 19397, 2018: 20508</t>
        </is>
      </c>
      <c r="U221" s="33" t="inlineStr">
        <is>
          <t>NSE</t>
        </is>
      </c>
      <c r="V221" s="34" t="inlineStr">
        <is>
          <t>ABFRL</t>
        </is>
      </c>
      <c r="W221" s="35" t="n">
        <v>2007.0</v>
      </c>
      <c r="X221" s="36" t="inlineStr">
        <is>
          <t/>
        </is>
      </c>
      <c r="Y221" s="37" t="inlineStr">
        <is>
          <t/>
        </is>
      </c>
      <c r="Z221" s="38" t="inlineStr">
        <is>
          <t/>
        </is>
      </c>
      <c r="AA221" s="39" t="n">
        <v>1161.97</v>
      </c>
      <c r="AB221" s="40" t="n">
        <v>599.53</v>
      </c>
      <c r="AC221" s="41" t="n">
        <v>33.84</v>
      </c>
      <c r="AD221" s="42" t="n">
        <v>2415.92</v>
      </c>
      <c r="AE221" s="43" t="n">
        <v>94.07</v>
      </c>
      <c r="AF221" s="44" t="inlineStr">
        <is>
          <t>TTM 3Q2019</t>
        </is>
      </c>
      <c r="AG221" s="45" t="n">
        <v>50.78</v>
      </c>
      <c r="AH221" s="46" t="n">
        <v>2522.51</v>
      </c>
      <c r="AI221" s="47" t="inlineStr">
        <is>
          <t/>
        </is>
      </c>
      <c r="AJ221" s="48" t="inlineStr">
        <is>
          <t>185855-59P</t>
        </is>
      </c>
      <c r="AK221" s="49" t="inlineStr">
        <is>
          <t>Jagdish Bajaj</t>
        </is>
      </c>
      <c r="AL221" s="50" t="inlineStr">
        <is>
          <t>Chief Financial Officer</t>
        </is>
      </c>
      <c r="AM221" s="51" t="inlineStr">
        <is>
          <t>jbajaj@abfrl.com</t>
        </is>
      </c>
      <c r="AN221" s="52" t="inlineStr">
        <is>
          <t>+91 (0)86 5290 5000</t>
        </is>
      </c>
      <c r="AO221" s="53" t="inlineStr">
        <is>
          <t>Mumbai, India</t>
        </is>
      </c>
      <c r="AP221" s="54" t="inlineStr">
        <is>
          <t>7th Floor, Skyline Icon Business Park</t>
        </is>
      </c>
      <c r="AQ221" s="55" t="inlineStr">
        <is>
          <t>86-92, Off A.K. Road, Marol Village, Andheri East</t>
        </is>
      </c>
      <c r="AR221" s="56" t="inlineStr">
        <is>
          <t>Mumbai</t>
        </is>
      </c>
      <c r="AS221" s="57" t="inlineStr">
        <is>
          <t>Maharashtra</t>
        </is>
      </c>
      <c r="AT221" s="58" t="inlineStr">
        <is>
          <t>400059</t>
        </is>
      </c>
      <c r="AU221" s="59" t="inlineStr">
        <is>
          <t>India</t>
        </is>
      </c>
      <c r="AV221" s="60" t="inlineStr">
        <is>
          <t>+91 (0)86 5290 5000</t>
        </is>
      </c>
      <c r="AW221" s="61" t="inlineStr">
        <is>
          <t>+91 (0)86 5290 5400</t>
        </is>
      </c>
      <c r="AX221" s="62" t="inlineStr">
        <is>
          <t>pfrl.secretarial@pantaloons.adityabirla.com</t>
        </is>
      </c>
      <c r="AY221" s="63" t="inlineStr">
        <is>
          <t>Asia</t>
        </is>
      </c>
      <c r="AZ221" s="64" t="inlineStr">
        <is>
          <t>South Asia</t>
        </is>
      </c>
      <c r="BA221" s="65" t="inlineStr">
        <is>
          <t>Macquarie Bank sold nearly 16.12 lakh shares in the company for INR 191.7 million through the open market transaction</t>
        </is>
      </c>
      <c r="BB221" s="66" t="inlineStr">
        <is>
          <t>Morgan Stanley Private Equity Asia</t>
        </is>
      </c>
      <c r="BC221" s="67" t="n">
        <v>1.0</v>
      </c>
      <c r="BD221" s="68" t="inlineStr">
        <is>
          <t>Aditya Birla Nuvo</t>
        </is>
      </c>
      <c r="BE221" s="69" t="inlineStr">
        <is>
          <t>Macquarie Bank</t>
        </is>
      </c>
      <c r="BF221" s="70" t="inlineStr">
        <is>
          <t/>
        </is>
      </c>
      <c r="BG221" s="71" t="inlineStr">
        <is>
          <t/>
        </is>
      </c>
      <c r="BH221" s="72" t="inlineStr">
        <is>
          <t/>
        </is>
      </c>
      <c r="BI221" s="73" t="inlineStr">
        <is>
          <t/>
        </is>
      </c>
      <c r="BJ221" s="74" t="inlineStr">
        <is>
          <t>Indialaw(Legal Advisor)</t>
        </is>
      </c>
      <c r="BK221" s="75" t="inlineStr">
        <is>
          <t/>
        </is>
      </c>
      <c r="BL221" s="76" t="n">
        <v>41029.0</v>
      </c>
      <c r="BM221" s="77" t="inlineStr">
        <is>
          <t/>
        </is>
      </c>
      <c r="BN221" s="78" t="inlineStr">
        <is>
          <t/>
        </is>
      </c>
      <c r="BO221" s="79" t="inlineStr">
        <is>
          <t/>
        </is>
      </c>
      <c r="BP221" s="80" t="inlineStr">
        <is>
          <t/>
        </is>
      </c>
      <c r="BQ221" s="81" t="inlineStr">
        <is>
          <t>Merger/Acquisition</t>
        </is>
      </c>
      <c r="BR221" s="82" t="inlineStr">
        <is>
          <t/>
        </is>
      </c>
      <c r="BS221" s="83" t="inlineStr">
        <is>
          <t/>
        </is>
      </c>
      <c r="BT221" s="84" t="inlineStr">
        <is>
          <t>Corporate</t>
        </is>
      </c>
      <c r="BU221" s="85" t="inlineStr">
        <is>
          <t/>
        </is>
      </c>
      <c r="BV221" s="86" t="inlineStr">
        <is>
          <t/>
        </is>
      </c>
      <c r="BW221" s="87" t="inlineStr">
        <is>
          <t/>
        </is>
      </c>
      <c r="BX221" s="88" t="inlineStr">
        <is>
          <t>Completed</t>
        </is>
      </c>
      <c r="BY221" s="89" t="n">
        <v>41897.0</v>
      </c>
      <c r="BZ221" s="90" t="n">
        <v>3.15</v>
      </c>
      <c r="CA221" s="91" t="inlineStr">
        <is>
          <t>Estimated</t>
        </is>
      </c>
      <c r="CB221" s="92" t="inlineStr">
        <is>
          <t/>
        </is>
      </c>
      <c r="CC221" s="93" t="inlineStr">
        <is>
          <t/>
        </is>
      </c>
      <c r="CD221" s="94" t="inlineStr">
        <is>
          <t>Secondary Transaction - Open Market</t>
        </is>
      </c>
      <c r="CE221" s="95" t="inlineStr">
        <is>
          <t/>
        </is>
      </c>
      <c r="CF221" s="96" t="inlineStr">
        <is>
          <t/>
        </is>
      </c>
      <c r="CG221" s="97" t="inlineStr">
        <is>
          <t/>
        </is>
      </c>
      <c r="CH221" s="98" t="inlineStr">
        <is>
          <t/>
        </is>
      </c>
      <c r="CI221" s="99" t="inlineStr">
        <is>
          <t/>
        </is>
      </c>
      <c r="CJ221" s="100" t="inlineStr">
        <is>
          <t/>
        </is>
      </c>
      <c r="CK221" s="101" t="inlineStr">
        <is>
          <t>Completed</t>
        </is>
      </c>
      <c r="CL221" s="102" t="inlineStr">
        <is>
          <t/>
        </is>
      </c>
      <c r="CM221" s="103" t="inlineStr">
        <is>
          <t/>
        </is>
      </c>
      <c r="CN221" s="104" t="n">
        <v>0.19</v>
      </c>
      <c r="CO221" s="105" t="n">
        <v>88.0</v>
      </c>
      <c r="CP221" s="106" t="n">
        <v>-0.02</v>
      </c>
      <c r="CQ221" s="107" t="n">
        <v>-8.21</v>
      </c>
      <c r="CR221" s="108" t="n">
        <v>0.21</v>
      </c>
      <c r="CS221" s="109" t="n">
        <v>90.0</v>
      </c>
      <c r="CT221" s="110" t="n">
        <v>0.18</v>
      </c>
      <c r="CU221" s="111" t="n">
        <v>82.0</v>
      </c>
      <c r="CV221" s="112" t="inlineStr">
        <is>
          <t/>
        </is>
      </c>
      <c r="CW221" s="113" t="inlineStr">
        <is>
          <t/>
        </is>
      </c>
      <c r="CX221" s="114" t="n">
        <v>0.21</v>
      </c>
      <c r="CY221" s="115" t="n">
        <v>89.0</v>
      </c>
      <c r="CZ221" s="116" t="n">
        <v>0.18</v>
      </c>
      <c r="DA221" s="117" t="n">
        <v>84.0</v>
      </c>
      <c r="DB221" s="118" t="n">
        <v>59.37</v>
      </c>
      <c r="DC221" s="119" t="n">
        <v>99.0</v>
      </c>
      <c r="DD221" s="120" t="n">
        <v>3.58</v>
      </c>
      <c r="DE221" s="121" t="n">
        <v>6.42</v>
      </c>
      <c r="DF221" s="122" t="n">
        <v>26.97</v>
      </c>
      <c r="DG221" s="123" t="n">
        <v>96.0</v>
      </c>
      <c r="DH221" s="124" t="n">
        <v>91.77</v>
      </c>
      <c r="DI221" s="125" t="n">
        <v>97.0</v>
      </c>
      <c r="DJ221" s="126" t="inlineStr">
        <is>
          <t/>
        </is>
      </c>
      <c r="DK221" s="127" t="inlineStr">
        <is>
          <t/>
        </is>
      </c>
      <c r="DL221" s="128" t="n">
        <v>26.97</v>
      </c>
      <c r="DM221" s="129" t="n">
        <v>95.0</v>
      </c>
      <c r="DN221" s="130" t="n">
        <v>91.77</v>
      </c>
      <c r="DO221" s="131" t="n">
        <v>98.0</v>
      </c>
      <c r="DP221" s="132" t="inlineStr">
        <is>
          <t/>
        </is>
      </c>
      <c r="DQ221" s="133" t="inlineStr">
        <is>
          <t/>
        </is>
      </c>
      <c r="DR221" s="134" t="inlineStr">
        <is>
          <t/>
        </is>
      </c>
      <c r="DS221" s="135" t="n">
        <v>917.0</v>
      </c>
      <c r="DT221" s="136" t="n">
        <v>1.0</v>
      </c>
      <c r="DU221" s="137" t="n">
        <v>0.11</v>
      </c>
      <c r="DV221" s="138" t="n">
        <v>32936.0</v>
      </c>
      <c r="DW221" s="139" t="n">
        <v>26.0</v>
      </c>
      <c r="DX221" s="140" t="n">
        <v>0.08</v>
      </c>
      <c r="DY221" s="141" t="inlineStr">
        <is>
          <t>PitchBook Research</t>
        </is>
      </c>
      <c r="DZ221" s="142" t="n">
        <v>43549.0</v>
      </c>
      <c r="EA221" s="143" t="inlineStr">
        <is>
          <t/>
        </is>
      </c>
      <c r="EB221" s="144" t="inlineStr">
        <is>
          <t/>
        </is>
      </c>
      <c r="EC221" s="145" t="inlineStr">
        <is>
          <t/>
        </is>
      </c>
      <c r="ED221" s="547">
        <f>HYPERLINK("https://my.pitchbook.com?c=41893-39", "View company online")</f>
      </c>
    </row>
    <row r="222">
      <c r="A222" s="147" t="inlineStr">
        <is>
          <t>164788-39</t>
        </is>
      </c>
      <c r="B222" s="148" t="inlineStr">
        <is>
          <t>Shanghai Metersbonwe Fashion &amp; Accessories Company (SHE: 002269)</t>
        </is>
      </c>
      <c r="C222" s="149" t="inlineStr">
        <is>
          <t/>
        </is>
      </c>
      <c r="D222" s="150" t="inlineStr">
        <is>
          <t/>
        </is>
      </c>
      <c r="E222" s="151" t="inlineStr">
        <is>
          <t>164788-39</t>
        </is>
      </c>
      <c r="F222" s="152" t="inlineStr">
        <is>
          <t>Shanghai Metersbonwe Fashion &amp; Accessories Co Ltd is a China-based company engaged in the design, manufacture and sale of fashion casual wear and accessories. It provides apparel under the brand names Meters/bonwe and ME&amp;CITY.</t>
        </is>
      </c>
      <c r="G222" s="153" t="inlineStr">
        <is>
          <t>Consumer Products and Services (B2C)</t>
        </is>
      </c>
      <c r="H222" s="154" t="inlineStr">
        <is>
          <t>Apparel and Accessories</t>
        </is>
      </c>
      <c r="I222" s="155" t="inlineStr">
        <is>
          <t>Accessories</t>
        </is>
      </c>
      <c r="J222" s="156" t="inlineStr">
        <is>
          <t>Accessories*, Clothing</t>
        </is>
      </c>
      <c r="K222" s="157" t="inlineStr">
        <is>
          <t>Manufacturing</t>
        </is>
      </c>
      <c r="L222" s="158" t="inlineStr">
        <is>
          <t>casual apparel, chain accessories, zip jackets</t>
        </is>
      </c>
      <c r="M222" s="159" t="inlineStr">
        <is>
          <t>Corporation</t>
        </is>
      </c>
      <c r="N222" s="160" t="inlineStr">
        <is>
          <t/>
        </is>
      </c>
      <c r="O222" s="161" t="inlineStr">
        <is>
          <t>Profitable</t>
        </is>
      </c>
      <c r="P222" s="162" t="inlineStr">
        <is>
          <t>Publicly Held</t>
        </is>
      </c>
      <c r="Q222" s="163" t="inlineStr">
        <is>
          <t>Publicly Listed</t>
        </is>
      </c>
      <c r="R222" s="164" t="inlineStr">
        <is>
          <t>www.metersbonwe.com</t>
        </is>
      </c>
      <c r="S222" s="165" t="n">
        <v>10772.0</v>
      </c>
      <c r="T222" s="166" t="inlineStr">
        <is>
          <t>2005: 1008, 2006: 1267, 2007: 1291, 2008: 1454, 2009: 1893, 2010: 2698, 2011: 2580, 2012: 2272, 2013: 1371, 2014: 1576, 2015: 9420, 2016: 10640, 2017: 10772</t>
        </is>
      </c>
      <c r="U222" s="167" t="inlineStr">
        <is>
          <t>SHE</t>
        </is>
      </c>
      <c r="V222" s="168" t="inlineStr">
        <is>
          <t>002269</t>
        </is>
      </c>
      <c r="W222" s="169" t="n">
        <v>1995.0</v>
      </c>
      <c r="X222" s="170" t="inlineStr">
        <is>
          <t/>
        </is>
      </c>
      <c r="Y222" s="171" t="inlineStr">
        <is>
          <t/>
        </is>
      </c>
      <c r="Z222" s="172" t="inlineStr">
        <is>
          <t/>
        </is>
      </c>
      <c r="AA222" s="173" t="n">
        <v>1158.54</v>
      </c>
      <c r="AB222" s="174" t="n">
        <v>530.97</v>
      </c>
      <c r="AC222" s="175" t="n">
        <v>-21.47</v>
      </c>
      <c r="AD222" s="176" t="n">
        <v>1216.77</v>
      </c>
      <c r="AE222" s="177" t="n">
        <v>2.94</v>
      </c>
      <c r="AF222" s="178" t="inlineStr">
        <is>
          <t>TTM 3Q2018</t>
        </is>
      </c>
      <c r="AG222" s="179" t="n">
        <v>-10.4</v>
      </c>
      <c r="AH222" s="180" t="n">
        <v>1203.72</v>
      </c>
      <c r="AI222" s="181" t="n">
        <v>159.5</v>
      </c>
      <c r="AJ222" s="182" t="inlineStr">
        <is>
          <t/>
        </is>
      </c>
      <c r="AK222" s="183" t="inlineStr">
        <is>
          <t/>
        </is>
      </c>
      <c r="AL222" s="184" t="inlineStr">
        <is>
          <t/>
        </is>
      </c>
      <c r="AM222" s="185" t="inlineStr">
        <is>
          <t/>
        </is>
      </c>
      <c r="AN222" s="186" t="inlineStr">
        <is>
          <t/>
        </is>
      </c>
      <c r="AO222" s="187" t="inlineStr">
        <is>
          <t>Shanghai, China</t>
        </is>
      </c>
      <c r="AP222" s="188" t="inlineStr">
        <is>
          <t>No.800 Kangqiao East Road</t>
        </is>
      </c>
      <c r="AQ222" s="189" t="inlineStr">
        <is>
          <t>Kangqiao Town</t>
        </is>
      </c>
      <c r="AR222" s="190" t="inlineStr">
        <is>
          <t>Shanghai</t>
        </is>
      </c>
      <c r="AS222" s="191" t="inlineStr">
        <is>
          <t>Pudong</t>
        </is>
      </c>
      <c r="AT222" s="192" t="inlineStr">
        <is>
          <t>201319</t>
        </is>
      </c>
      <c r="AU222" s="193" t="inlineStr">
        <is>
          <t>China</t>
        </is>
      </c>
      <c r="AV222" s="194" t="inlineStr">
        <is>
          <t>+86 (0)21 3811 9999</t>
        </is>
      </c>
      <c r="AW222" s="195" t="inlineStr">
        <is>
          <t>+86 (0)21 3811 9997</t>
        </is>
      </c>
      <c r="AX222" s="196" t="inlineStr">
        <is>
          <t/>
        </is>
      </c>
      <c r="AY222" s="197" t="inlineStr">
        <is>
          <t>Asia</t>
        </is>
      </c>
      <c r="AZ222" s="198" t="inlineStr">
        <is>
          <t>East Asia</t>
        </is>
      </c>
      <c r="BA222" s="199" t="inlineStr">
        <is>
          <t/>
        </is>
      </c>
      <c r="BB222" s="200" t="inlineStr">
        <is>
          <t/>
        </is>
      </c>
      <c r="BC222" s="201" t="inlineStr">
        <is>
          <t/>
        </is>
      </c>
      <c r="BD222" s="202" t="inlineStr">
        <is>
          <t/>
        </is>
      </c>
      <c r="BE222" s="203" t="inlineStr">
        <is>
          <t/>
        </is>
      </c>
      <c r="BF222" s="204" t="inlineStr">
        <is>
          <t/>
        </is>
      </c>
      <c r="BG222" s="205" t="inlineStr">
        <is>
          <t/>
        </is>
      </c>
      <c r="BH222" s="206" t="inlineStr">
        <is>
          <t/>
        </is>
      </c>
      <c r="BI222" s="207" t="inlineStr">
        <is>
          <t/>
        </is>
      </c>
      <c r="BJ222" s="208" t="inlineStr">
        <is>
          <t/>
        </is>
      </c>
      <c r="BK222" s="209" t="inlineStr">
        <is>
          <t/>
        </is>
      </c>
      <c r="BL222" s="210" t="inlineStr">
        <is>
          <t/>
        </is>
      </c>
      <c r="BM222" s="211" t="inlineStr">
        <is>
          <t/>
        </is>
      </c>
      <c r="BN222" s="212" t="inlineStr">
        <is>
          <t/>
        </is>
      </c>
      <c r="BO222" s="213" t="inlineStr">
        <is>
          <t/>
        </is>
      </c>
      <c r="BP222" s="214" t="inlineStr">
        <is>
          <t/>
        </is>
      </c>
      <c r="BQ222" s="215" t="inlineStr">
        <is>
          <t/>
        </is>
      </c>
      <c r="BR222" s="216" t="inlineStr">
        <is>
          <t/>
        </is>
      </c>
      <c r="BS222" s="217" t="inlineStr">
        <is>
          <t/>
        </is>
      </c>
      <c r="BT222" s="218" t="inlineStr">
        <is>
          <t/>
        </is>
      </c>
      <c r="BU222" s="219" t="inlineStr">
        <is>
          <t/>
        </is>
      </c>
      <c r="BV222" s="220" t="inlineStr">
        <is>
          <t/>
        </is>
      </c>
      <c r="BW222" s="221" t="inlineStr">
        <is>
          <t/>
        </is>
      </c>
      <c r="BX222" s="222" t="inlineStr">
        <is>
          <t/>
        </is>
      </c>
      <c r="BY222" s="223" t="inlineStr">
        <is>
          <t/>
        </is>
      </c>
      <c r="BZ222" s="224" t="inlineStr">
        <is>
          <t/>
        </is>
      </c>
      <c r="CA222" s="225" t="inlineStr">
        <is>
          <t/>
        </is>
      </c>
      <c r="CB222" s="226" t="inlineStr">
        <is>
          <t/>
        </is>
      </c>
      <c r="CC222" s="227" t="inlineStr">
        <is>
          <t/>
        </is>
      </c>
      <c r="CD222" s="228" t="inlineStr">
        <is>
          <t/>
        </is>
      </c>
      <c r="CE222" s="229" t="inlineStr">
        <is>
          <t/>
        </is>
      </c>
      <c r="CF222" s="230" t="inlineStr">
        <is>
          <t/>
        </is>
      </c>
      <c r="CG222" s="231" t="inlineStr">
        <is>
          <t/>
        </is>
      </c>
      <c r="CH222" s="232" t="inlineStr">
        <is>
          <t/>
        </is>
      </c>
      <c r="CI222" s="233" t="inlineStr">
        <is>
          <t/>
        </is>
      </c>
      <c r="CJ222" s="234" t="inlineStr">
        <is>
          <t/>
        </is>
      </c>
      <c r="CK222" s="235" t="inlineStr">
        <is>
          <t/>
        </is>
      </c>
      <c r="CL222" s="236" t="inlineStr">
        <is>
          <t/>
        </is>
      </c>
      <c r="CM222" s="237" t="inlineStr">
        <is>
          <t/>
        </is>
      </c>
      <c r="CN222" s="238" t="n">
        <v>0.02</v>
      </c>
      <c r="CO222" s="239" t="n">
        <v>79.0</v>
      </c>
      <c r="CP222" s="240" t="n">
        <v>0.02</v>
      </c>
      <c r="CQ222" s="241" t="n">
        <v>277.52</v>
      </c>
      <c r="CR222" s="242" t="n">
        <v>0.06</v>
      </c>
      <c r="CS222" s="243" t="n">
        <v>86.0</v>
      </c>
      <c r="CT222" s="244" t="n">
        <v>-0.03</v>
      </c>
      <c r="CU222" s="245" t="n">
        <v>20.0</v>
      </c>
      <c r="CV222" s="246" t="n">
        <v>0.0</v>
      </c>
      <c r="CW222" s="247" t="n">
        <v>33.0</v>
      </c>
      <c r="CX222" s="248" t="n">
        <v>0.12</v>
      </c>
      <c r="CY222" s="249" t="n">
        <v>87.0</v>
      </c>
      <c r="CZ222" s="250" t="inlineStr">
        <is>
          <t/>
        </is>
      </c>
      <c r="DA222" s="251" t="inlineStr">
        <is>
          <t/>
        </is>
      </c>
      <c r="DB222" s="252" t="n">
        <v>45.54</v>
      </c>
      <c r="DC222" s="253" t="n">
        <v>98.0</v>
      </c>
      <c r="DD222" s="254" t="n">
        <v>4.91</v>
      </c>
      <c r="DE222" s="255" t="n">
        <v>12.08</v>
      </c>
      <c r="DF222" s="256" t="n">
        <v>39.23</v>
      </c>
      <c r="DG222" s="257" t="n">
        <v>98.0</v>
      </c>
      <c r="DH222" s="258" t="n">
        <v>51.84</v>
      </c>
      <c r="DI222" s="259" t="n">
        <v>96.0</v>
      </c>
      <c r="DJ222" s="260" t="n">
        <v>0.11</v>
      </c>
      <c r="DK222" s="261" t="n">
        <v>8.0</v>
      </c>
      <c r="DL222" s="262" t="n">
        <v>78.35</v>
      </c>
      <c r="DM222" s="263" t="n">
        <v>99.0</v>
      </c>
      <c r="DN222" s="264" t="inlineStr">
        <is>
          <t/>
        </is>
      </c>
      <c r="DO222" s="265" t="inlineStr">
        <is>
          <t/>
        </is>
      </c>
      <c r="DP222" s="266" t="n">
        <v>78.0</v>
      </c>
      <c r="DQ222" s="267" t="n">
        <v>-8.0</v>
      </c>
      <c r="DR222" s="268" t="n">
        <v>-9.3</v>
      </c>
      <c r="DS222" s="269" t="n">
        <v>2659.0</v>
      </c>
      <c r="DT222" s="270" t="n">
        <v>16.0</v>
      </c>
      <c r="DU222" s="271" t="n">
        <v>0.61</v>
      </c>
      <c r="DV222" s="272" t="inlineStr">
        <is>
          <t/>
        </is>
      </c>
      <c r="DW222" s="273" t="inlineStr">
        <is>
          <t/>
        </is>
      </c>
      <c r="DX222" s="274" t="inlineStr">
        <is>
          <t/>
        </is>
      </c>
      <c r="DY222" s="275" t="inlineStr">
        <is>
          <t>PitchBook Research</t>
        </is>
      </c>
      <c r="DZ222" s="276" t="n">
        <v>43492.0</v>
      </c>
      <c r="EA222" s="277" t="inlineStr">
        <is>
          <t/>
        </is>
      </c>
      <c r="EB222" s="278" t="inlineStr">
        <is>
          <t/>
        </is>
      </c>
      <c r="EC222" s="279" t="inlineStr">
        <is>
          <t/>
        </is>
      </c>
      <c r="ED222" s="548">
        <f>HYPERLINK("https://my.pitchbook.com?c=164788-39", "View company online")</f>
      </c>
    </row>
    <row r="223">
      <c r="A223" s="13" t="inlineStr">
        <is>
          <t>97203-79</t>
        </is>
      </c>
      <c r="B223" s="14" t="inlineStr">
        <is>
          <t>Global Fashion Group</t>
        </is>
      </c>
      <c r="C223" s="15" t="inlineStr">
        <is>
          <t/>
        </is>
      </c>
      <c r="D223" s="16" t="inlineStr">
        <is>
          <t>GFG</t>
        </is>
      </c>
      <c r="E223" s="17" t="inlineStr">
        <is>
          <t>97203-79</t>
        </is>
      </c>
      <c r="F223" s="18" t="inlineStr">
        <is>
          <t>Developer of a shopping platform designed to bring fashion online. The company's shopping platform offers retail for fashion and lifestyle which operates in emerging markets through its subsidiaries, enabling customers to access over 3,000 international brands.</t>
        </is>
      </c>
      <c r="G223" s="19" t="inlineStr">
        <is>
          <t>Consumer Products and Services (B2C)</t>
        </is>
      </c>
      <c r="H223" s="20" t="inlineStr">
        <is>
          <t>Retail</t>
        </is>
      </c>
      <c r="I223" s="21" t="inlineStr">
        <is>
          <t>Internet Retail</t>
        </is>
      </c>
      <c r="J223" s="22" t="inlineStr">
        <is>
          <t>Clothing, Internet Retail*, Social/Platform Software</t>
        </is>
      </c>
      <c r="K223" s="23" t="inlineStr">
        <is>
          <t>E-Commerce</t>
        </is>
      </c>
      <c r="L223" s="24" t="inlineStr">
        <is>
          <t>fashion and lifestyle, lifestyle retail stores, online retail platform, shopping retail</t>
        </is>
      </c>
      <c r="M223" s="25" t="inlineStr">
        <is>
          <t>Venture Capital-Backed</t>
        </is>
      </c>
      <c r="N223" s="26" t="n">
        <v>571.14</v>
      </c>
      <c r="O223" s="27" t="inlineStr">
        <is>
          <t>Generating Revenue</t>
        </is>
      </c>
      <c r="P223" s="28" t="inlineStr">
        <is>
          <t>Privately Held (backing)</t>
        </is>
      </c>
      <c r="Q223" s="29" t="inlineStr">
        <is>
          <t>Debt Financed, Venture Capital</t>
        </is>
      </c>
      <c r="R223" s="30" t="inlineStr">
        <is>
          <t>www.global-fashion-group.com</t>
        </is>
      </c>
      <c r="S223" s="31" t="n">
        <v>10000.0</v>
      </c>
      <c r="T223" s="32" t="inlineStr">
        <is>
          <t>2015: 10548, 2016: 10000</t>
        </is>
      </c>
      <c r="U223" s="33" t="inlineStr">
        <is>
          <t/>
        </is>
      </c>
      <c r="V223" s="34" t="inlineStr">
        <is>
          <t/>
        </is>
      </c>
      <c r="W223" s="35" t="n">
        <v>2011.0</v>
      </c>
      <c r="X223" s="36" t="inlineStr">
        <is>
          <t/>
        </is>
      </c>
      <c r="Y223" s="37" t="inlineStr">
        <is>
          <t/>
        </is>
      </c>
      <c r="Z223" s="38" t="inlineStr">
        <is>
          <t/>
        </is>
      </c>
      <c r="AA223" s="39" t="n">
        <v>1153.33</v>
      </c>
      <c r="AB223" s="40" t="inlineStr">
        <is>
          <t/>
        </is>
      </c>
      <c r="AC223" s="41" t="inlineStr">
        <is>
          <t/>
        </is>
      </c>
      <c r="AD223" s="42" t="inlineStr">
        <is>
          <t/>
        </is>
      </c>
      <c r="AE223" s="43" t="inlineStr">
        <is>
          <t/>
        </is>
      </c>
      <c r="AF223" s="44" t="inlineStr">
        <is>
          <t>FY 2017</t>
        </is>
      </c>
      <c r="AG223" s="45" t="inlineStr">
        <is>
          <t/>
        </is>
      </c>
      <c r="AH223" s="46" t="inlineStr">
        <is>
          <t/>
        </is>
      </c>
      <c r="AI223" s="47" t="inlineStr">
        <is>
          <t/>
        </is>
      </c>
      <c r="AJ223" s="48" t="inlineStr">
        <is>
          <t>31791-34P</t>
        </is>
      </c>
      <c r="AK223" s="49" t="inlineStr">
        <is>
          <t>Nils Chrestin</t>
        </is>
      </c>
      <c r="AL223" s="50" t="inlineStr">
        <is>
          <t>Chief Financial Officer</t>
        </is>
      </c>
      <c r="AM223" s="51" t="inlineStr">
        <is>
          <t>nils.chrestin@global-fashion-group.com</t>
        </is>
      </c>
      <c r="AN223" s="52" t="inlineStr">
        <is>
          <t/>
        </is>
      </c>
      <c r="AO223" s="53" t="inlineStr">
        <is>
          <t>Senningerberg, Luxembourg</t>
        </is>
      </c>
      <c r="AP223" s="54" t="inlineStr">
        <is>
          <t>5, Heienhaff</t>
        </is>
      </c>
      <c r="AQ223" s="55" t="inlineStr">
        <is>
          <t/>
        </is>
      </c>
      <c r="AR223" s="56" t="inlineStr">
        <is>
          <t>Senningerberg</t>
        </is>
      </c>
      <c r="AS223" s="57" t="inlineStr">
        <is>
          <t/>
        </is>
      </c>
      <c r="AT223" s="58" t="inlineStr">
        <is>
          <t>1736</t>
        </is>
      </c>
      <c r="AU223" s="59" t="inlineStr">
        <is>
          <t>Luxembourg</t>
        </is>
      </c>
      <c r="AV223" s="60" t="inlineStr">
        <is>
          <t/>
        </is>
      </c>
      <c r="AW223" s="61" t="inlineStr">
        <is>
          <t/>
        </is>
      </c>
      <c r="AX223" s="62" t="inlineStr">
        <is>
          <t>info@global-fashion-group.com</t>
        </is>
      </c>
      <c r="AY223" s="63" t="inlineStr">
        <is>
          <t>Europe</t>
        </is>
      </c>
      <c r="AZ223" s="64" t="inlineStr">
        <is>
          <t>Western Europe</t>
        </is>
      </c>
      <c r="BA223" s="65" t="inlineStr">
        <is>
          <t>The company received EUR 5 million of debt financing in the form of a loan from Barclays Bank on an undisclosed date.</t>
        </is>
      </c>
      <c r="BB223" s="66" t="inlineStr">
        <is>
          <t>Access Industries, Access Technology Ventures, HV Holtzbrinck Ventures, Kinnevik, Lewis Trust Group, Ontario Teachers' Pension Plan, Rocket Internet, RTP Global, Summit Partners, Tengelmann Ventures, Verlinvest</t>
        </is>
      </c>
      <c r="BC223" s="67" t="n">
        <v>11.0</v>
      </c>
      <c r="BD223" s="68" t="inlineStr">
        <is>
          <t/>
        </is>
      </c>
      <c r="BE223" s="69" t="inlineStr">
        <is>
          <t/>
        </is>
      </c>
      <c r="BF223" s="70" t="inlineStr">
        <is>
          <t/>
        </is>
      </c>
      <c r="BG223" s="71" t="inlineStr">
        <is>
          <t>Access Industries(www.accessindustries.com), Access Technology Ventures(www.accesstechnologyventures.com), HV Holtzbrinck Ventures(www.hvventures.com), Lewis Trust Group(www.ltg-capital.com), Ontario Teachers' Pension Plan(www.otpp.com), Rocket Internet(www.rocket-internet.com), RTP Global(rtp-global.com), Summit Partners(www.summitpartners.com), Tengelmann Ventures(www.tev.de), Verlinvest(www.verlinvest.be)</t>
        </is>
      </c>
      <c r="BH223" s="72" t="inlineStr">
        <is>
          <t/>
        </is>
      </c>
      <c r="BI223" s="73" t="inlineStr">
        <is>
          <t/>
        </is>
      </c>
      <c r="BJ223" s="74" t="inlineStr">
        <is>
          <t/>
        </is>
      </c>
      <c r="BK223" s="75" t="inlineStr">
        <is>
          <t>Barclays(Debt Financing), Noerr(Legal Advisor)</t>
        </is>
      </c>
      <c r="BL223" s="76" t="n">
        <v>41886.0</v>
      </c>
      <c r="BM223" s="77" t="inlineStr">
        <is>
          <t/>
        </is>
      </c>
      <c r="BN223" s="78" t="inlineStr">
        <is>
          <t/>
        </is>
      </c>
      <c r="BO223" s="79" t="n">
        <v>3500.0</v>
      </c>
      <c r="BP223" s="80" t="inlineStr">
        <is>
          <t>Estimated</t>
        </is>
      </c>
      <c r="BQ223" s="81" t="inlineStr">
        <is>
          <t>Platform Creation</t>
        </is>
      </c>
      <c r="BR223" s="82" t="inlineStr">
        <is>
          <t/>
        </is>
      </c>
      <c r="BS223" s="83" t="inlineStr">
        <is>
          <t/>
        </is>
      </c>
      <c r="BT223" s="84" t="inlineStr">
        <is>
          <t>Venture Capital</t>
        </is>
      </c>
      <c r="BU223" s="85" t="inlineStr">
        <is>
          <t/>
        </is>
      </c>
      <c r="BV223" s="86" t="inlineStr">
        <is>
          <t/>
        </is>
      </c>
      <c r="BW223" s="87" t="inlineStr">
        <is>
          <t/>
        </is>
      </c>
      <c r="BX223" s="88" t="inlineStr">
        <is>
          <t>Completed</t>
        </is>
      </c>
      <c r="BY223" s="89" t="inlineStr">
        <is>
          <t/>
        </is>
      </c>
      <c r="BZ223" s="90" t="n">
        <v>5.83</v>
      </c>
      <c r="CA223" s="91" t="inlineStr">
        <is>
          <t>Actual</t>
        </is>
      </c>
      <c r="CB223" s="92" t="inlineStr">
        <is>
          <t/>
        </is>
      </c>
      <c r="CC223" s="93" t="inlineStr">
        <is>
          <t/>
        </is>
      </c>
      <c r="CD223" s="94" t="inlineStr">
        <is>
          <t>Debt - General</t>
        </is>
      </c>
      <c r="CE223" s="95" t="inlineStr">
        <is>
          <t/>
        </is>
      </c>
      <c r="CF223" s="96" t="inlineStr">
        <is>
          <t/>
        </is>
      </c>
      <c r="CG223" s="97" t="inlineStr">
        <is>
          <t>Debt</t>
        </is>
      </c>
      <c r="CH223" s="98" t="inlineStr">
        <is>
          <t>Loan</t>
        </is>
      </c>
      <c r="CI223" s="99" t="inlineStr">
        <is>
          <t/>
        </is>
      </c>
      <c r="CJ223" s="100" t="inlineStr">
        <is>
          <t/>
        </is>
      </c>
      <c r="CK223" s="101" t="inlineStr">
        <is>
          <t>Completed</t>
        </is>
      </c>
      <c r="CL223" s="102" t="inlineStr">
        <is>
          <t/>
        </is>
      </c>
      <c r="CM223" s="103" t="n">
        <v>5.83</v>
      </c>
      <c r="CN223" s="104" t="n">
        <v>0.0</v>
      </c>
      <c r="CO223" s="105" t="n">
        <v>18.0</v>
      </c>
      <c r="CP223" s="106" t="n">
        <v>0.0</v>
      </c>
      <c r="CQ223" s="107" t="n">
        <v>0.0</v>
      </c>
      <c r="CR223" s="108" t="n">
        <v>0.0</v>
      </c>
      <c r="CS223" s="109" t="n">
        <v>14.0</v>
      </c>
      <c r="CT223" s="110" t="inlineStr">
        <is>
          <t/>
        </is>
      </c>
      <c r="CU223" s="111" t="inlineStr">
        <is>
          <t/>
        </is>
      </c>
      <c r="CV223" s="112" t="n">
        <v>0.0</v>
      </c>
      <c r="CW223" s="113" t="n">
        <v>33.0</v>
      </c>
      <c r="CX223" s="114" t="n">
        <v>0.0</v>
      </c>
      <c r="CY223" s="115" t="n">
        <v>11.0</v>
      </c>
      <c r="CZ223" s="116" t="inlineStr">
        <is>
          <t/>
        </is>
      </c>
      <c r="DA223" s="117" t="inlineStr">
        <is>
          <t/>
        </is>
      </c>
      <c r="DB223" s="118" t="n">
        <v>0.69</v>
      </c>
      <c r="DC223" s="119" t="n">
        <v>42.0</v>
      </c>
      <c r="DD223" s="120" t="n">
        <v>0.13</v>
      </c>
      <c r="DE223" s="121" t="n">
        <v>22.43</v>
      </c>
      <c r="DF223" s="122" t="n">
        <v>0.69</v>
      </c>
      <c r="DG223" s="123" t="n">
        <v>42.0</v>
      </c>
      <c r="DH223" s="124" t="inlineStr">
        <is>
          <t/>
        </is>
      </c>
      <c r="DI223" s="125" t="inlineStr">
        <is>
          <t/>
        </is>
      </c>
      <c r="DJ223" s="126" t="n">
        <v>0.25</v>
      </c>
      <c r="DK223" s="127" t="n">
        <v>20.0</v>
      </c>
      <c r="DL223" s="128" t="n">
        <v>1.12</v>
      </c>
      <c r="DM223" s="129" t="n">
        <v>53.0</v>
      </c>
      <c r="DN223" s="130" t="inlineStr">
        <is>
          <t/>
        </is>
      </c>
      <c r="DO223" s="131" t="inlineStr">
        <is>
          <t/>
        </is>
      </c>
      <c r="DP223" s="132" t="n">
        <v>179.0</v>
      </c>
      <c r="DQ223" s="133" t="n">
        <v>4.0</v>
      </c>
      <c r="DR223" s="134" t="n">
        <v>2.29</v>
      </c>
      <c r="DS223" s="135" t="n">
        <v>38.0</v>
      </c>
      <c r="DT223" s="136" t="n">
        <v>-1.0</v>
      </c>
      <c r="DU223" s="137" t="n">
        <v>-2.56</v>
      </c>
      <c r="DV223" s="138" t="inlineStr">
        <is>
          <t/>
        </is>
      </c>
      <c r="DW223" s="139" t="inlineStr">
        <is>
          <t/>
        </is>
      </c>
      <c r="DX223" s="140" t="inlineStr">
        <is>
          <t/>
        </is>
      </c>
      <c r="DY223" s="141" t="inlineStr">
        <is>
          <t>PitchBook Research</t>
        </is>
      </c>
      <c r="DZ223" s="142" t="n">
        <v>43448.0</v>
      </c>
      <c r="EA223" s="143" t="n">
        <v>1217.1</v>
      </c>
      <c r="EB223" s="144" t="n">
        <v>42573.0</v>
      </c>
      <c r="EC223" s="145" t="inlineStr">
        <is>
          <t>Early Stage VC</t>
        </is>
      </c>
      <c r="ED223" s="547">
        <f>HYPERLINK("https://my.pitchbook.com?c=97203-79", "View company online")</f>
      </c>
    </row>
    <row r="224">
      <c r="A224" s="147" t="inlineStr">
        <is>
          <t>40715-74</t>
        </is>
      </c>
      <c r="B224" s="148" t="inlineStr">
        <is>
          <t>Service Merchandise</t>
        </is>
      </c>
      <c r="C224" s="149" t="inlineStr">
        <is>
          <t/>
        </is>
      </c>
      <c r="D224" s="150" t="inlineStr">
        <is>
          <t/>
        </is>
      </c>
      <c r="E224" s="151" t="inlineStr">
        <is>
          <t>40715-74</t>
        </is>
      </c>
      <c r="F224" s="152" t="inlineStr">
        <is>
          <t>Operator of specialized retail stores. The company is engaged in selling jewelry items such as watches, bracelets, necklaces, bangles, rings, earrings, decorative pins, and badges.</t>
        </is>
      </c>
      <c r="G224" s="153" t="inlineStr">
        <is>
          <t>Consumer Products and Services (B2C)</t>
        </is>
      </c>
      <c r="H224" s="154" t="inlineStr">
        <is>
          <t>Retail</t>
        </is>
      </c>
      <c r="I224" s="155" t="inlineStr">
        <is>
          <t>Specialty Retail</t>
        </is>
      </c>
      <c r="J224" s="156" t="inlineStr">
        <is>
          <t>Accessories, Luxury Goods, Specialty Retail*</t>
        </is>
      </c>
      <c r="K224" s="157" t="inlineStr">
        <is>
          <t/>
        </is>
      </c>
      <c r="L224" s="158" t="inlineStr">
        <is>
          <t>retail stores, specialized retail, specialized retail stores</t>
        </is>
      </c>
      <c r="M224" s="159" t="inlineStr">
        <is>
          <t>Private Equity-Backed</t>
        </is>
      </c>
      <c r="N224" s="160" t="inlineStr">
        <is>
          <t/>
        </is>
      </c>
      <c r="O224" s="161" t="inlineStr">
        <is>
          <t>Bankruptcy: Admin/Reorg</t>
        </is>
      </c>
      <c r="P224" s="162" t="inlineStr">
        <is>
          <t>Privately Held (backing)</t>
        </is>
      </c>
      <c r="Q224" s="163" t="inlineStr">
        <is>
          <t>Private Equity, Publicly Listed</t>
        </is>
      </c>
      <c r="R224" s="164" t="inlineStr">
        <is>
          <t>www.servicemerchandise.com</t>
        </is>
      </c>
      <c r="S224" s="165" t="n">
        <v>16974.0</v>
      </c>
      <c r="T224" s="166" t="inlineStr">
        <is>
          <t>2000: 16974</t>
        </is>
      </c>
      <c r="U224" s="167" t="inlineStr">
        <is>
          <t/>
        </is>
      </c>
      <c r="V224" s="168" t="inlineStr">
        <is>
          <t/>
        </is>
      </c>
      <c r="W224" s="169" t="n">
        <v>1934.0</v>
      </c>
      <c r="X224" s="170" t="inlineStr">
        <is>
          <t/>
        </is>
      </c>
      <c r="Y224" s="171" t="inlineStr">
        <is>
          <t/>
        </is>
      </c>
      <c r="Z224" s="172" t="inlineStr">
        <is>
          <t/>
        </is>
      </c>
      <c r="AA224" s="173" t="n">
        <v>1151.73</v>
      </c>
      <c r="AB224" s="174" t="n">
        <v>335.92</v>
      </c>
      <c r="AC224" s="175" t="n">
        <v>-98.22</v>
      </c>
      <c r="AD224" s="176" t="n">
        <v>46.66</v>
      </c>
      <c r="AE224" s="177" t="n">
        <v>-240.78</v>
      </c>
      <c r="AF224" s="178" t="inlineStr">
        <is>
          <t>TTM 3Q2001</t>
        </is>
      </c>
      <c r="AG224" s="179" t="inlineStr">
        <is>
          <t/>
        </is>
      </c>
      <c r="AH224" s="180" t="inlineStr">
        <is>
          <t/>
        </is>
      </c>
      <c r="AI224" s="181" t="inlineStr">
        <is>
          <t/>
        </is>
      </c>
      <c r="AJ224" s="182" t="inlineStr">
        <is>
          <t/>
        </is>
      </c>
      <c r="AK224" s="183" t="inlineStr">
        <is>
          <t/>
        </is>
      </c>
      <c r="AL224" s="184" t="inlineStr">
        <is>
          <t/>
        </is>
      </c>
      <c r="AM224" s="185" t="inlineStr">
        <is>
          <t/>
        </is>
      </c>
      <c r="AN224" s="186" t="inlineStr">
        <is>
          <t/>
        </is>
      </c>
      <c r="AO224" s="187" t="inlineStr">
        <is>
          <t>Brentwood, TN</t>
        </is>
      </c>
      <c r="AP224" s="188" t="inlineStr">
        <is>
          <t>P.O. Box 24600</t>
        </is>
      </c>
      <c r="AQ224" s="189" t="inlineStr">
        <is>
          <t>7100 Service Merchandise Drive</t>
        </is>
      </c>
      <c r="AR224" s="190" t="inlineStr">
        <is>
          <t>Brentwood</t>
        </is>
      </c>
      <c r="AS224" s="191" t="inlineStr">
        <is>
          <t>Tennessee</t>
        </is>
      </c>
      <c r="AT224" s="192" t="inlineStr">
        <is>
          <t>37027</t>
        </is>
      </c>
      <c r="AU224" s="193" t="inlineStr">
        <is>
          <t>United States</t>
        </is>
      </c>
      <c r="AV224" s="194" t="inlineStr">
        <is>
          <t/>
        </is>
      </c>
      <c r="AW224" s="195" t="inlineStr">
        <is>
          <t/>
        </is>
      </c>
      <c r="AX224" s="196" t="inlineStr">
        <is>
          <t/>
        </is>
      </c>
      <c r="AY224" s="197" t="inlineStr">
        <is>
          <t>Americas</t>
        </is>
      </c>
      <c r="AZ224" s="198" t="inlineStr">
        <is>
          <t>North America</t>
        </is>
      </c>
      <c r="BA224" s="199" t="inlineStr">
        <is>
          <t>The company was acquired by Lubert Adler Partners, Klaff Realty and DDR through an LBO on an undisclosed date. The company is no longer actively tracked by PitchBook.</t>
        </is>
      </c>
      <c r="BB224" s="200" t="inlineStr">
        <is>
          <t>DDR, Klaff Realty, Lubert Adler Partners</t>
        </is>
      </c>
      <c r="BC224" s="201" t="n">
        <v>3.0</v>
      </c>
      <c r="BD224" s="202" t="inlineStr">
        <is>
          <t/>
        </is>
      </c>
      <c r="BE224" s="203" t="inlineStr">
        <is>
          <t/>
        </is>
      </c>
      <c r="BF224" s="204" t="inlineStr">
        <is>
          <t/>
        </is>
      </c>
      <c r="BG224" s="205" t="inlineStr">
        <is>
          <t>DDR(www.ddr.com), Klaff Realty(www.klaffrealty.com), Lubert Adler Partners(www.lubertadler.com)</t>
        </is>
      </c>
      <c r="BH224" s="206" t="inlineStr">
        <is>
          <t/>
        </is>
      </c>
      <c r="BI224" s="207" t="inlineStr">
        <is>
          <t/>
        </is>
      </c>
      <c r="BJ224" s="208" t="inlineStr">
        <is>
          <t>Liquid Asset Partners(Valuation/Appraiser), Pegasus Intellectual Capital Solutions(Advisor: General), PJ SOLOMON(Advisor: General)</t>
        </is>
      </c>
      <c r="BK224" s="209" t="inlineStr">
        <is>
          <t/>
        </is>
      </c>
      <c r="BL224" s="210" t="n">
        <v>32609.0</v>
      </c>
      <c r="BM224" s="211" t="inlineStr">
        <is>
          <t/>
        </is>
      </c>
      <c r="BN224" s="212" t="inlineStr">
        <is>
          <t/>
        </is>
      </c>
      <c r="BO224" s="213" t="inlineStr">
        <is>
          <t/>
        </is>
      </c>
      <c r="BP224" s="214" t="inlineStr">
        <is>
          <t/>
        </is>
      </c>
      <c r="BQ224" s="215" t="inlineStr">
        <is>
          <t>IPO</t>
        </is>
      </c>
      <c r="BR224" s="216" t="inlineStr">
        <is>
          <t/>
        </is>
      </c>
      <c r="BS224" s="217" t="inlineStr">
        <is>
          <t/>
        </is>
      </c>
      <c r="BT224" s="218" t="inlineStr">
        <is>
          <t>Public Investment</t>
        </is>
      </c>
      <c r="BU224" s="219" t="inlineStr">
        <is>
          <t/>
        </is>
      </c>
      <c r="BV224" s="220" t="inlineStr">
        <is>
          <t/>
        </is>
      </c>
      <c r="BW224" s="221" t="inlineStr">
        <is>
          <t/>
        </is>
      </c>
      <c r="BX224" s="222" t="inlineStr">
        <is>
          <t>Completed</t>
        </is>
      </c>
      <c r="BY224" s="223" t="n">
        <v>37316.0</v>
      </c>
      <c r="BZ224" s="224" t="inlineStr">
        <is>
          <t/>
        </is>
      </c>
      <c r="CA224" s="225" t="inlineStr">
        <is>
          <t/>
        </is>
      </c>
      <c r="CB224" s="226" t="inlineStr">
        <is>
          <t/>
        </is>
      </c>
      <c r="CC224" s="227" t="inlineStr">
        <is>
          <t/>
        </is>
      </c>
      <c r="CD224" s="228" t="inlineStr">
        <is>
          <t>Buyout/LBO</t>
        </is>
      </c>
      <c r="CE224" s="229" t="inlineStr">
        <is>
          <t>Distressed Acquisition</t>
        </is>
      </c>
      <c r="CF224" s="230" t="inlineStr">
        <is>
          <t/>
        </is>
      </c>
      <c r="CG224" s="231" t="inlineStr">
        <is>
          <t>Private Equity</t>
        </is>
      </c>
      <c r="CH224" s="232" t="inlineStr">
        <is>
          <t/>
        </is>
      </c>
      <c r="CI224" s="233" t="inlineStr">
        <is>
          <t/>
        </is>
      </c>
      <c r="CJ224" s="234" t="inlineStr">
        <is>
          <t/>
        </is>
      </c>
      <c r="CK224" s="235" t="inlineStr">
        <is>
          <t>Completed</t>
        </is>
      </c>
      <c r="CL224" s="236" t="inlineStr">
        <is>
          <t/>
        </is>
      </c>
      <c r="CM224" s="237" t="inlineStr">
        <is>
          <t/>
        </is>
      </c>
      <c r="CN224" s="238" t="n">
        <v>0.41</v>
      </c>
      <c r="CO224" s="239" t="n">
        <v>93.0</v>
      </c>
      <c r="CP224" s="240" t="n">
        <v>0.15</v>
      </c>
      <c r="CQ224" s="241" t="n">
        <v>55.48</v>
      </c>
      <c r="CR224" s="242" t="n">
        <v>0.69</v>
      </c>
      <c r="CS224" s="243" t="n">
        <v>95.0</v>
      </c>
      <c r="CT224" s="244" t="n">
        <v>0.13</v>
      </c>
      <c r="CU224" s="245" t="n">
        <v>77.0</v>
      </c>
      <c r="CV224" s="246" t="n">
        <v>0.17</v>
      </c>
      <c r="CW224" s="247" t="n">
        <v>82.0</v>
      </c>
      <c r="CX224" s="248" t="n">
        <v>1.2</v>
      </c>
      <c r="CY224" s="249" t="n">
        <v>98.0</v>
      </c>
      <c r="CZ224" s="250" t="n">
        <v>0.13</v>
      </c>
      <c r="DA224" s="251" t="n">
        <v>80.0</v>
      </c>
      <c r="DB224" s="252" t="n">
        <v>3.59</v>
      </c>
      <c r="DC224" s="253" t="n">
        <v>78.0</v>
      </c>
      <c r="DD224" s="254" t="n">
        <v>0.59</v>
      </c>
      <c r="DE224" s="255" t="n">
        <v>19.58</v>
      </c>
      <c r="DF224" s="256" t="n">
        <v>6.38</v>
      </c>
      <c r="DG224" s="257" t="n">
        <v>86.0</v>
      </c>
      <c r="DH224" s="258" t="n">
        <v>0.81</v>
      </c>
      <c r="DI224" s="259" t="n">
        <v>46.0</v>
      </c>
      <c r="DJ224" s="260" t="n">
        <v>3.26</v>
      </c>
      <c r="DK224" s="261" t="n">
        <v>73.0</v>
      </c>
      <c r="DL224" s="262" t="n">
        <v>9.5</v>
      </c>
      <c r="DM224" s="263" t="n">
        <v>89.0</v>
      </c>
      <c r="DN224" s="264" t="n">
        <v>0.81</v>
      </c>
      <c r="DO224" s="265" t="n">
        <v>46.0</v>
      </c>
      <c r="DP224" s="266" t="n">
        <v>2323.0</v>
      </c>
      <c r="DQ224" s="267" t="n">
        <v>34.0</v>
      </c>
      <c r="DR224" s="268" t="n">
        <v>1.49</v>
      </c>
      <c r="DS224" s="269" t="n">
        <v>322.0</v>
      </c>
      <c r="DT224" s="270" t="n">
        <v>1.0</v>
      </c>
      <c r="DU224" s="271" t="n">
        <v>0.31</v>
      </c>
      <c r="DV224" s="272" t="n">
        <v>289.0</v>
      </c>
      <c r="DW224" s="273" t="n">
        <v>1.0</v>
      </c>
      <c r="DX224" s="274" t="n">
        <v>0.35</v>
      </c>
      <c r="DY224" s="275" t="inlineStr">
        <is>
          <t>PitchBook Research</t>
        </is>
      </c>
      <c r="DZ224" s="276" t="n">
        <v>43351.0</v>
      </c>
      <c r="EA224" s="277" t="inlineStr">
        <is>
          <t/>
        </is>
      </c>
      <c r="EB224" s="278" t="inlineStr">
        <is>
          <t/>
        </is>
      </c>
      <c r="EC224" s="279" t="inlineStr">
        <is>
          <t/>
        </is>
      </c>
      <c r="ED224" s="548">
        <f>HYPERLINK("https://my.pitchbook.com?c=40715-74", "View company online")</f>
      </c>
    </row>
    <row r="225">
      <c r="A225" s="13" t="inlineStr">
        <is>
          <t>169846-30</t>
        </is>
      </c>
      <c r="B225" s="14" t="inlineStr">
        <is>
          <t>I.T (HKG: 00999)</t>
        </is>
      </c>
      <c r="C225" s="15" t="inlineStr">
        <is>
          <t/>
        </is>
      </c>
      <c r="D225" s="16" t="inlineStr">
        <is>
          <t/>
        </is>
      </c>
      <c r="E225" s="17" t="inlineStr">
        <is>
          <t>169846-30</t>
        </is>
      </c>
      <c r="F225" s="18" t="inlineStr">
        <is>
          <t>I.T Ltd is an investment holding company and its subsidiaries are principally engaged in the sales of fashion wears and accessories. I.T carries apparel from established and up-and-coming international designer's brands, in-house brands and licensed brands. In-house brands include izzue, b+ab, 5cm, fingercroxx, CHOCOOLATE, tout a coup, Venilla suite, A Bathing Ape and AAPE. Licensed brands include MLB, as know as de Rue and X-Large. I.T leverages some of its in-house brands through franchisees in new markets. The brands are well accepted in Singapore, Indonesia, Thailand, England and Canada.</t>
        </is>
      </c>
      <c r="G225" s="19" t="inlineStr">
        <is>
          <t>Consumer Products and Services (B2C)</t>
        </is>
      </c>
      <c r="H225" s="20" t="inlineStr">
        <is>
          <t>Apparel and Accessories</t>
        </is>
      </c>
      <c r="I225" s="21" t="inlineStr">
        <is>
          <t>Accessories</t>
        </is>
      </c>
      <c r="J225" s="22" t="inlineStr">
        <is>
          <t>Accessories*, Clothing, Specialty Retail</t>
        </is>
      </c>
      <c r="K225" s="23" t="inlineStr">
        <is>
          <t/>
        </is>
      </c>
      <c r="L225" s="24" t="inlineStr">
        <is>
          <t>accessories, fashion wear, multi-brand stores, single-brand shops</t>
        </is>
      </c>
      <c r="M225" s="25" t="inlineStr">
        <is>
          <t>Corporation</t>
        </is>
      </c>
      <c r="N225" s="26" t="inlineStr">
        <is>
          <t/>
        </is>
      </c>
      <c r="O225" s="27" t="inlineStr">
        <is>
          <t>Profitable</t>
        </is>
      </c>
      <c r="P225" s="28" t="inlineStr">
        <is>
          <t>Publicly Held</t>
        </is>
      </c>
      <c r="Q225" s="29" t="inlineStr">
        <is>
          <t>Publicly Listed</t>
        </is>
      </c>
      <c r="R225" s="30" t="inlineStr">
        <is>
          <t>www.ithk.com</t>
        </is>
      </c>
      <c r="S225" s="31" t="n">
        <v>7074.0</v>
      </c>
      <c r="T225" s="32" t="inlineStr">
        <is>
          <t>2005: 1279, 2006: 1283, 2007: 1428, 2008: 2912, 2009: 3273, 2010: 4149, 2011: 5364, 2012: 6476, 2013: 6462, 2014: 6395, 2015: 6147, 2016: 6711, 2017: 6536, 2018: 7074</t>
        </is>
      </c>
      <c r="U225" s="33" t="inlineStr">
        <is>
          <t>HKG</t>
        </is>
      </c>
      <c r="V225" s="34" t="inlineStr">
        <is>
          <t>00999</t>
        </is>
      </c>
      <c r="W225" s="35" t="n">
        <v>1988.0</v>
      </c>
      <c r="X225" s="36" t="inlineStr">
        <is>
          <t/>
        </is>
      </c>
      <c r="Y225" s="37" t="inlineStr">
        <is>
          <t/>
        </is>
      </c>
      <c r="Z225" s="38" t="inlineStr">
        <is>
          <t/>
        </is>
      </c>
      <c r="AA225" s="39" t="n">
        <v>1123.17</v>
      </c>
      <c r="AB225" s="40" t="n">
        <v>720.4</v>
      </c>
      <c r="AC225" s="41" t="n">
        <v>61.72</v>
      </c>
      <c r="AD225" s="42" t="n">
        <v>529.59</v>
      </c>
      <c r="AE225" s="43" t="n">
        <v>144.3</v>
      </c>
      <c r="AF225" s="44" t="inlineStr">
        <is>
          <t>TTM 2Q2019</t>
        </is>
      </c>
      <c r="AG225" s="45" t="n">
        <v>105.28</v>
      </c>
      <c r="AH225" s="46" t="n">
        <v>562.24</v>
      </c>
      <c r="AI225" s="47" t="n">
        <v>-104.22</v>
      </c>
      <c r="AJ225" s="48" t="inlineStr">
        <is>
          <t>199555-75P</t>
        </is>
      </c>
      <c r="AK225" s="49" t="inlineStr">
        <is>
          <t>Sham Kar Wai</t>
        </is>
      </c>
      <c r="AL225" s="50" t="inlineStr">
        <is>
          <t>Founder &amp; Chief Executive Officer</t>
        </is>
      </c>
      <c r="AM225" s="51" t="inlineStr">
        <is>
          <t/>
        </is>
      </c>
      <c r="AN225" s="52" t="inlineStr">
        <is>
          <t>+852 3199 1804</t>
        </is>
      </c>
      <c r="AO225" s="53" t="inlineStr">
        <is>
          <t>Hong Kong, Hong Kong</t>
        </is>
      </c>
      <c r="AP225" s="54" t="inlineStr">
        <is>
          <t>31/F Tower A Southmark</t>
        </is>
      </c>
      <c r="AQ225" s="55" t="inlineStr">
        <is>
          <t>11 Yip Hing Street, Wong Chuk Hang</t>
        </is>
      </c>
      <c r="AR225" s="56" t="inlineStr">
        <is>
          <t>Hong Kong</t>
        </is>
      </c>
      <c r="AS225" s="57" t="inlineStr">
        <is>
          <t/>
        </is>
      </c>
      <c r="AT225" s="58" t="inlineStr">
        <is>
          <t/>
        </is>
      </c>
      <c r="AU225" s="59" t="inlineStr">
        <is>
          <t>Hong Kong</t>
        </is>
      </c>
      <c r="AV225" s="60" t="inlineStr">
        <is>
          <t>+852 3199 1804</t>
        </is>
      </c>
      <c r="AW225" s="61" t="inlineStr">
        <is>
          <t/>
        </is>
      </c>
      <c r="AX225" s="62" t="inlineStr">
        <is>
          <t/>
        </is>
      </c>
      <c r="AY225" s="63" t="inlineStr">
        <is>
          <t>Asia</t>
        </is>
      </c>
      <c r="AZ225" s="64" t="inlineStr">
        <is>
          <t>East Asia</t>
        </is>
      </c>
      <c r="BA225" s="65" t="inlineStr">
        <is>
          <t/>
        </is>
      </c>
      <c r="BB225" s="66" t="inlineStr">
        <is>
          <t/>
        </is>
      </c>
      <c r="BC225" s="67" t="inlineStr">
        <is>
          <t/>
        </is>
      </c>
      <c r="BD225" s="68" t="inlineStr">
        <is>
          <t/>
        </is>
      </c>
      <c r="BE225" s="69" t="inlineStr">
        <is>
          <t/>
        </is>
      </c>
      <c r="BF225" s="70" t="inlineStr">
        <is>
          <t/>
        </is>
      </c>
      <c r="BG225" s="71" t="inlineStr">
        <is>
          <t/>
        </is>
      </c>
      <c r="BH225" s="72" t="inlineStr">
        <is>
          <t/>
        </is>
      </c>
      <c r="BI225" s="73" t="inlineStr">
        <is>
          <t/>
        </is>
      </c>
      <c r="BJ225" s="74" t="inlineStr">
        <is>
          <t/>
        </is>
      </c>
      <c r="BK225" s="75" t="inlineStr">
        <is>
          <t/>
        </is>
      </c>
      <c r="BL225" s="76" t="inlineStr">
        <is>
          <t/>
        </is>
      </c>
      <c r="BM225" s="77" t="inlineStr">
        <is>
          <t/>
        </is>
      </c>
      <c r="BN225" s="78" t="inlineStr">
        <is>
          <t/>
        </is>
      </c>
      <c r="BO225" s="79" t="inlineStr">
        <is>
          <t/>
        </is>
      </c>
      <c r="BP225" s="80" t="inlineStr">
        <is>
          <t/>
        </is>
      </c>
      <c r="BQ225" s="81" t="inlineStr">
        <is>
          <t/>
        </is>
      </c>
      <c r="BR225" s="82" t="inlineStr">
        <is>
          <t/>
        </is>
      </c>
      <c r="BS225" s="83" t="inlineStr">
        <is>
          <t/>
        </is>
      </c>
      <c r="BT225" s="84" t="inlineStr">
        <is>
          <t/>
        </is>
      </c>
      <c r="BU225" s="85" t="inlineStr">
        <is>
          <t/>
        </is>
      </c>
      <c r="BV225" s="86" t="inlineStr">
        <is>
          <t/>
        </is>
      </c>
      <c r="BW225" s="87" t="inlineStr">
        <is>
          <t/>
        </is>
      </c>
      <c r="BX225" s="88" t="inlineStr">
        <is>
          <t/>
        </is>
      </c>
      <c r="BY225" s="89" t="inlineStr">
        <is>
          <t/>
        </is>
      </c>
      <c r="BZ225" s="90" t="inlineStr">
        <is>
          <t/>
        </is>
      </c>
      <c r="CA225" s="91" t="inlineStr">
        <is>
          <t/>
        </is>
      </c>
      <c r="CB225" s="92" t="inlineStr">
        <is>
          <t/>
        </is>
      </c>
      <c r="CC225" s="93" t="inlineStr">
        <is>
          <t/>
        </is>
      </c>
      <c r="CD225" s="94" t="inlineStr">
        <is>
          <t/>
        </is>
      </c>
      <c r="CE225" s="95" t="inlineStr">
        <is>
          <t/>
        </is>
      </c>
      <c r="CF225" s="96" t="inlineStr">
        <is>
          <t/>
        </is>
      </c>
      <c r="CG225" s="97" t="inlineStr">
        <is>
          <t/>
        </is>
      </c>
      <c r="CH225" s="98" t="inlineStr">
        <is>
          <t/>
        </is>
      </c>
      <c r="CI225" s="99" t="inlineStr">
        <is>
          <t/>
        </is>
      </c>
      <c r="CJ225" s="100" t="inlineStr">
        <is>
          <t/>
        </is>
      </c>
      <c r="CK225" s="101" t="inlineStr">
        <is>
          <t/>
        </is>
      </c>
      <c r="CL225" s="102" t="inlineStr">
        <is>
          <t/>
        </is>
      </c>
      <c r="CM225" s="103" t="inlineStr">
        <is>
          <t/>
        </is>
      </c>
      <c r="CN225" s="104" t="n">
        <v>1.31</v>
      </c>
      <c r="CO225" s="105" t="n">
        <v>98.0</v>
      </c>
      <c r="CP225" s="106" t="n">
        <v>0.0</v>
      </c>
      <c r="CQ225" s="107" t="n">
        <v>0.31</v>
      </c>
      <c r="CR225" s="108" t="n">
        <v>2.48</v>
      </c>
      <c r="CS225" s="109" t="n">
        <v>99.0</v>
      </c>
      <c r="CT225" s="110" t="inlineStr">
        <is>
          <t/>
        </is>
      </c>
      <c r="CU225" s="111" t="inlineStr">
        <is>
          <t/>
        </is>
      </c>
      <c r="CV225" s="112" t="n">
        <v>4.9</v>
      </c>
      <c r="CW225" s="113" t="n">
        <v>97.0</v>
      </c>
      <c r="CX225" s="114" t="n">
        <v>0.05</v>
      </c>
      <c r="CY225" s="115" t="n">
        <v>85.0</v>
      </c>
      <c r="CZ225" s="116" t="inlineStr">
        <is>
          <t/>
        </is>
      </c>
      <c r="DA225" s="117" t="inlineStr">
        <is>
          <t/>
        </is>
      </c>
      <c r="DB225" s="118" t="n">
        <v>24.8</v>
      </c>
      <c r="DC225" s="119" t="n">
        <v>96.0</v>
      </c>
      <c r="DD225" s="120" t="n">
        <v>2.77</v>
      </c>
      <c r="DE225" s="121" t="n">
        <v>12.58</v>
      </c>
      <c r="DF225" s="122" t="n">
        <v>23.39</v>
      </c>
      <c r="DG225" s="123" t="n">
        <v>95.0</v>
      </c>
      <c r="DH225" s="124" t="inlineStr">
        <is>
          <t/>
        </is>
      </c>
      <c r="DI225" s="125" t="inlineStr">
        <is>
          <t/>
        </is>
      </c>
      <c r="DJ225" s="126" t="n">
        <v>1.96</v>
      </c>
      <c r="DK225" s="127" t="n">
        <v>64.0</v>
      </c>
      <c r="DL225" s="128" t="n">
        <v>44.82</v>
      </c>
      <c r="DM225" s="129" t="n">
        <v>97.0</v>
      </c>
      <c r="DN225" s="130" t="inlineStr">
        <is>
          <t/>
        </is>
      </c>
      <c r="DO225" s="131" t="inlineStr">
        <is>
          <t/>
        </is>
      </c>
      <c r="DP225" s="132" t="n">
        <v>1402.0</v>
      </c>
      <c r="DQ225" s="133" t="n">
        <v>-45.0</v>
      </c>
      <c r="DR225" s="134" t="n">
        <v>-3.11</v>
      </c>
      <c r="DS225" s="135" t="n">
        <v>1525.0</v>
      </c>
      <c r="DT225" s="136" t="n">
        <v>2.0</v>
      </c>
      <c r="DU225" s="137" t="n">
        <v>0.13</v>
      </c>
      <c r="DV225" s="138" t="inlineStr">
        <is>
          <t/>
        </is>
      </c>
      <c r="DW225" s="139" t="inlineStr">
        <is>
          <t/>
        </is>
      </c>
      <c r="DX225" s="140" t="inlineStr">
        <is>
          <t/>
        </is>
      </c>
      <c r="DY225" s="141" t="inlineStr">
        <is>
          <t>PitchBook Research</t>
        </is>
      </c>
      <c r="DZ225" s="142" t="n">
        <v>43548.0</v>
      </c>
      <c r="EA225" s="143" t="inlineStr">
        <is>
          <t/>
        </is>
      </c>
      <c r="EB225" s="144" t="inlineStr">
        <is>
          <t/>
        </is>
      </c>
      <c r="EC225" s="145" t="inlineStr">
        <is>
          <t/>
        </is>
      </c>
      <c r="ED225" s="547">
        <f>HYPERLINK("https://my.pitchbook.com?c=169846-30", "View company online")</f>
      </c>
    </row>
    <row r="226">
      <c r="A226" s="147" t="inlineStr">
        <is>
          <t>126784-63</t>
        </is>
      </c>
      <c r="B226" s="148" t="inlineStr">
        <is>
          <t>Shirpur Gold Refinery (BOM: 512289)</t>
        </is>
      </c>
      <c r="C226" s="149" t="inlineStr">
        <is>
          <t>Agee Gold Refiners</t>
        </is>
      </c>
      <c r="D226" s="150" t="inlineStr">
        <is>
          <t>SGRL</t>
        </is>
      </c>
      <c r="E226" s="151" t="inlineStr">
        <is>
          <t>126784-63</t>
        </is>
      </c>
      <c r="F226" s="152" t="inlineStr">
        <is>
          <t>Shirpur Gold Refinery Ltd manufactures gold bar and jewelry. The company sells products under the 'Zee Gold' brand at its refinery in the state of Maharashtra, India and is the authorized refinery for the Gold Monetization Scheme by the Government of India. The company refines gold and silver from the raw gold stage to purity. Some of the other products include casting the refined bullion into bars of various denominations, minting of coins and manufacturing of jewelry in various designs. The company has distribution networks across India.</t>
        </is>
      </c>
      <c r="G226" s="153" t="inlineStr">
        <is>
          <t>Consumer Products and Services (B2C)</t>
        </is>
      </c>
      <c r="H226" s="154" t="inlineStr">
        <is>
          <t>Apparel and Accessories</t>
        </is>
      </c>
      <c r="I226" s="155" t="inlineStr">
        <is>
          <t>Accessories</t>
        </is>
      </c>
      <c r="J226" s="156" t="inlineStr">
        <is>
          <t>Accessories*, Gold Mining, Precious Metals and Minerals Mining</t>
        </is>
      </c>
      <c r="K226" s="157" t="inlineStr">
        <is>
          <t>Manufacturing</t>
        </is>
      </c>
      <c r="L226" s="158" t="inlineStr">
        <is>
          <t>gold bar, gold jewelry, gold jewelry product</t>
        </is>
      </c>
      <c r="M226" s="159" t="inlineStr">
        <is>
          <t>Corporation</t>
        </is>
      </c>
      <c r="N226" s="160" t="inlineStr">
        <is>
          <t/>
        </is>
      </c>
      <c r="O226" s="161" t="inlineStr">
        <is>
          <t>Profitable</t>
        </is>
      </c>
      <c r="P226" s="162" t="inlineStr">
        <is>
          <t>Publicly Held</t>
        </is>
      </c>
      <c r="Q226" s="163" t="inlineStr">
        <is>
          <t>Publicly Listed</t>
        </is>
      </c>
      <c r="R226" s="164" t="inlineStr">
        <is>
          <t>www.shirpurgold.com</t>
        </is>
      </c>
      <c r="S226" s="165" t="n">
        <v>47.0</v>
      </c>
      <c r="T226" s="166" t="inlineStr">
        <is>
          <t>2015: 85, 2016: 80, 2017: 53, 2018: 47</t>
        </is>
      </c>
      <c r="U226" s="167" t="inlineStr">
        <is>
          <t>BOM</t>
        </is>
      </c>
      <c r="V226" s="168" t="inlineStr">
        <is>
          <t>512289</t>
        </is>
      </c>
      <c r="W226" s="169" t="n">
        <v>1984.0</v>
      </c>
      <c r="X226" s="170" t="inlineStr">
        <is>
          <t/>
        </is>
      </c>
      <c r="Y226" s="171" t="inlineStr">
        <is>
          <t/>
        </is>
      </c>
      <c r="Z226" s="172" t="inlineStr">
        <is>
          <t/>
        </is>
      </c>
      <c r="AA226" s="173" t="n">
        <v>1121.22</v>
      </c>
      <c r="AB226" s="174" t="n">
        <v>9.93</v>
      </c>
      <c r="AC226" s="175" t="n">
        <v>2.55</v>
      </c>
      <c r="AD226" s="176" t="n">
        <v>98.0</v>
      </c>
      <c r="AE226" s="177" t="n">
        <v>8.54</v>
      </c>
      <c r="AF226" s="178" t="inlineStr">
        <is>
          <t>TTM 3Q2019</t>
        </is>
      </c>
      <c r="AG226" s="179" t="n">
        <v>7.52</v>
      </c>
      <c r="AH226" s="180" t="n">
        <v>11.83</v>
      </c>
      <c r="AI226" s="181" t="inlineStr">
        <is>
          <t/>
        </is>
      </c>
      <c r="AJ226" s="182" t="inlineStr">
        <is>
          <t/>
        </is>
      </c>
      <c r="AK226" s="183" t="inlineStr">
        <is>
          <t/>
        </is>
      </c>
      <c r="AL226" s="184" t="inlineStr">
        <is>
          <t/>
        </is>
      </c>
      <c r="AM226" s="185" t="inlineStr">
        <is>
          <t/>
        </is>
      </c>
      <c r="AN226" s="186" t="inlineStr">
        <is>
          <t/>
        </is>
      </c>
      <c r="AO226" s="187" t="inlineStr">
        <is>
          <t>Mumbai, India</t>
        </is>
      </c>
      <c r="AP226" s="188" t="inlineStr">
        <is>
          <t>135, Continental Building</t>
        </is>
      </c>
      <c r="AQ226" s="189" t="inlineStr">
        <is>
          <t>Dr. Annie Besant Road, Worli</t>
        </is>
      </c>
      <c r="AR226" s="190" t="inlineStr">
        <is>
          <t>Mumbai</t>
        </is>
      </c>
      <c r="AS226" s="191" t="inlineStr">
        <is>
          <t>Maharashtra</t>
        </is>
      </c>
      <c r="AT226" s="192" t="inlineStr">
        <is>
          <t>400018</t>
        </is>
      </c>
      <c r="AU226" s="193" t="inlineStr">
        <is>
          <t>India</t>
        </is>
      </c>
      <c r="AV226" s="194" t="inlineStr">
        <is>
          <t>+91 (0)22 7122 7422</t>
        </is>
      </c>
      <c r="AW226" s="195" t="inlineStr">
        <is>
          <t>+91 (0)22 7122 7474</t>
        </is>
      </c>
      <c r="AX226" s="196" t="inlineStr">
        <is>
          <t/>
        </is>
      </c>
      <c r="AY226" s="197" t="inlineStr">
        <is>
          <t>Asia</t>
        </is>
      </c>
      <c r="AZ226" s="198" t="inlineStr">
        <is>
          <t>South Asia</t>
        </is>
      </c>
      <c r="BA226" s="199" t="inlineStr">
        <is>
          <t/>
        </is>
      </c>
      <c r="BB226" s="200" t="inlineStr">
        <is>
          <t/>
        </is>
      </c>
      <c r="BC226" s="201" t="inlineStr">
        <is>
          <t/>
        </is>
      </c>
      <c r="BD226" s="202" t="inlineStr">
        <is>
          <t/>
        </is>
      </c>
      <c r="BE226" s="203" t="inlineStr">
        <is>
          <t/>
        </is>
      </c>
      <c r="BF226" s="204" t="inlineStr">
        <is>
          <t/>
        </is>
      </c>
      <c r="BG226" s="205" t="inlineStr">
        <is>
          <t/>
        </is>
      </c>
      <c r="BH226" s="206" t="inlineStr">
        <is>
          <t/>
        </is>
      </c>
      <c r="BI226" s="207" t="inlineStr">
        <is>
          <t/>
        </is>
      </c>
      <c r="BJ226" s="208" t="inlineStr">
        <is>
          <t/>
        </is>
      </c>
      <c r="BK226" s="209" t="inlineStr">
        <is>
          <t/>
        </is>
      </c>
      <c r="BL226" s="210" t="inlineStr">
        <is>
          <t/>
        </is>
      </c>
      <c r="BM226" s="211" t="inlineStr">
        <is>
          <t/>
        </is>
      </c>
      <c r="BN226" s="212" t="inlineStr">
        <is>
          <t/>
        </is>
      </c>
      <c r="BO226" s="213" t="inlineStr">
        <is>
          <t/>
        </is>
      </c>
      <c r="BP226" s="214" t="inlineStr">
        <is>
          <t/>
        </is>
      </c>
      <c r="BQ226" s="215" t="inlineStr">
        <is>
          <t/>
        </is>
      </c>
      <c r="BR226" s="216" t="inlineStr">
        <is>
          <t/>
        </is>
      </c>
      <c r="BS226" s="217" t="inlineStr">
        <is>
          <t/>
        </is>
      </c>
      <c r="BT226" s="218" t="inlineStr">
        <is>
          <t/>
        </is>
      </c>
      <c r="BU226" s="219" t="inlineStr">
        <is>
          <t/>
        </is>
      </c>
      <c r="BV226" s="220" t="inlineStr">
        <is>
          <t/>
        </is>
      </c>
      <c r="BW226" s="221" t="inlineStr">
        <is>
          <t/>
        </is>
      </c>
      <c r="BX226" s="222" t="inlineStr">
        <is>
          <t/>
        </is>
      </c>
      <c r="BY226" s="223" t="inlineStr">
        <is>
          <t/>
        </is>
      </c>
      <c r="BZ226" s="224" t="inlineStr">
        <is>
          <t/>
        </is>
      </c>
      <c r="CA226" s="225" t="inlineStr">
        <is>
          <t/>
        </is>
      </c>
      <c r="CB226" s="226" t="inlineStr">
        <is>
          <t/>
        </is>
      </c>
      <c r="CC226" s="227" t="inlineStr">
        <is>
          <t/>
        </is>
      </c>
      <c r="CD226" s="228" t="inlineStr">
        <is>
          <t/>
        </is>
      </c>
      <c r="CE226" s="229" t="inlineStr">
        <is>
          <t/>
        </is>
      </c>
      <c r="CF226" s="230" t="inlineStr">
        <is>
          <t/>
        </is>
      </c>
      <c r="CG226" s="231" t="inlineStr">
        <is>
          <t/>
        </is>
      </c>
      <c r="CH226" s="232" t="inlineStr">
        <is>
          <t/>
        </is>
      </c>
      <c r="CI226" s="233" t="inlineStr">
        <is>
          <t/>
        </is>
      </c>
      <c r="CJ226" s="234" t="inlineStr">
        <is>
          <t/>
        </is>
      </c>
      <c r="CK226" s="235" t="inlineStr">
        <is>
          <t/>
        </is>
      </c>
      <c r="CL226" s="236" t="inlineStr">
        <is>
          <t/>
        </is>
      </c>
      <c r="CM226" s="237" t="inlineStr">
        <is>
          <t/>
        </is>
      </c>
      <c r="CN226" s="238" t="inlineStr">
        <is>
          <t/>
        </is>
      </c>
      <c r="CO226" s="239" t="inlineStr">
        <is>
          <t/>
        </is>
      </c>
      <c r="CP226" s="240" t="inlineStr">
        <is>
          <t/>
        </is>
      </c>
      <c r="CQ226" s="241" t="inlineStr">
        <is>
          <t/>
        </is>
      </c>
      <c r="CR226" s="242" t="inlineStr">
        <is>
          <t/>
        </is>
      </c>
      <c r="CS226" s="243" t="inlineStr">
        <is>
          <t/>
        </is>
      </c>
      <c r="CT226" s="244" t="inlineStr">
        <is>
          <t/>
        </is>
      </c>
      <c r="CU226" s="245" t="inlineStr">
        <is>
          <t/>
        </is>
      </c>
      <c r="CV226" s="246" t="inlineStr">
        <is>
          <t/>
        </is>
      </c>
      <c r="CW226" s="247" t="inlineStr">
        <is>
          <t/>
        </is>
      </c>
      <c r="CX226" s="248" t="inlineStr">
        <is>
          <t/>
        </is>
      </c>
      <c r="CY226" s="249" t="inlineStr">
        <is>
          <t/>
        </is>
      </c>
      <c r="CZ226" s="250" t="inlineStr">
        <is>
          <t/>
        </is>
      </c>
      <c r="DA226" s="251" t="inlineStr">
        <is>
          <t/>
        </is>
      </c>
      <c r="DB226" s="252" t="inlineStr">
        <is>
          <t/>
        </is>
      </c>
      <c r="DC226" s="253" t="inlineStr">
        <is>
          <t/>
        </is>
      </c>
      <c r="DD226" s="254" t="inlineStr">
        <is>
          <t/>
        </is>
      </c>
      <c r="DE226" s="255" t="inlineStr">
        <is>
          <t/>
        </is>
      </c>
      <c r="DF226" s="256" t="inlineStr">
        <is>
          <t/>
        </is>
      </c>
      <c r="DG226" s="257" t="inlineStr">
        <is>
          <t/>
        </is>
      </c>
      <c r="DH226" s="258" t="inlineStr">
        <is>
          <t/>
        </is>
      </c>
      <c r="DI226" s="259" t="inlineStr">
        <is>
          <t/>
        </is>
      </c>
      <c r="DJ226" s="260" t="inlineStr">
        <is>
          <t/>
        </is>
      </c>
      <c r="DK226" s="261" t="inlineStr">
        <is>
          <t/>
        </is>
      </c>
      <c r="DL226" s="262" t="inlineStr">
        <is>
          <t/>
        </is>
      </c>
      <c r="DM226" s="263" t="inlineStr">
        <is>
          <t/>
        </is>
      </c>
      <c r="DN226" s="264" t="inlineStr">
        <is>
          <t/>
        </is>
      </c>
      <c r="DO226" s="265" t="inlineStr">
        <is>
          <t/>
        </is>
      </c>
      <c r="DP226" s="266" t="inlineStr">
        <is>
          <t/>
        </is>
      </c>
      <c r="DQ226" s="267" t="inlineStr">
        <is>
          <t/>
        </is>
      </c>
      <c r="DR226" s="268" t="inlineStr">
        <is>
          <t/>
        </is>
      </c>
      <c r="DS226" s="269" t="inlineStr">
        <is>
          <t/>
        </is>
      </c>
      <c r="DT226" s="270" t="inlineStr">
        <is>
          <t/>
        </is>
      </c>
      <c r="DU226" s="271" t="inlineStr">
        <is>
          <t/>
        </is>
      </c>
      <c r="DV226" s="272" t="inlineStr">
        <is>
          <t/>
        </is>
      </c>
      <c r="DW226" s="273" t="inlineStr">
        <is>
          <t/>
        </is>
      </c>
      <c r="DX226" s="274" t="inlineStr">
        <is>
          <t/>
        </is>
      </c>
      <c r="DY226" s="275" t="inlineStr">
        <is>
          <t>PitchBook Research</t>
        </is>
      </c>
      <c r="DZ226" s="276" t="n">
        <v>43491.0</v>
      </c>
      <c r="EA226" s="277" t="inlineStr">
        <is>
          <t/>
        </is>
      </c>
      <c r="EB226" s="278" t="inlineStr">
        <is>
          <t/>
        </is>
      </c>
      <c r="EC226" s="279" t="inlineStr">
        <is>
          <t/>
        </is>
      </c>
      <c r="ED226" s="548">
        <f>HYPERLINK("https://my.pitchbook.com?c=126784-63", "View company online")</f>
      </c>
    </row>
    <row r="227">
      <c r="A227" s="13" t="inlineStr">
        <is>
          <t>41171-86</t>
        </is>
      </c>
      <c r="B227" s="14" t="inlineStr">
        <is>
          <t>The Talbots</t>
        </is>
      </c>
      <c r="C227" s="15" t="inlineStr">
        <is>
          <t/>
        </is>
      </c>
      <c r="D227" s="16" t="inlineStr">
        <is>
          <t/>
        </is>
      </c>
      <c r="E227" s="17" t="inlineStr">
        <is>
          <t>41171-86</t>
        </is>
      </c>
      <c r="F227" s="18" t="inlineStr">
        <is>
          <t>Retailer of women's apparel, shoes, and accessories. The company offers a variety of women's apparel including pants, sweaters, dresses, jackets, and skirts, along with shoes, jewelry, handbags, belts, sunglasses, and other accessories.</t>
        </is>
      </c>
      <c r="G227" s="19" t="inlineStr">
        <is>
          <t>Consumer Products and Services (B2C)</t>
        </is>
      </c>
      <c r="H227" s="20" t="inlineStr">
        <is>
          <t>Retail</t>
        </is>
      </c>
      <c r="I227" s="21" t="inlineStr">
        <is>
          <t>Specialty Retail</t>
        </is>
      </c>
      <c r="J227" s="22" t="inlineStr">
        <is>
          <t>Clothing, Specialty Retail*</t>
        </is>
      </c>
      <c r="K227" s="23" t="inlineStr">
        <is>
          <t/>
        </is>
      </c>
      <c r="L227" s="24" t="inlineStr">
        <is>
          <t>women's apparel, women's bags, women's clothing stores, women's fragrances, women's shoes</t>
        </is>
      </c>
      <c r="M227" s="25" t="inlineStr">
        <is>
          <t>Private Equity-Backed</t>
        </is>
      </c>
      <c r="N227" s="26" t="n">
        <v>97.0</v>
      </c>
      <c r="O227" s="27" t="inlineStr">
        <is>
          <t>Profitable</t>
        </is>
      </c>
      <c r="P227" s="28" t="inlineStr">
        <is>
          <t>Privately Held (backing)</t>
        </is>
      </c>
      <c r="Q227" s="29" t="inlineStr">
        <is>
          <t>Debt Financed, M&amp;A, Private Equity, Publicly Listed</t>
        </is>
      </c>
      <c r="R227" s="30" t="inlineStr">
        <is>
          <t>www.talbots.com</t>
        </is>
      </c>
      <c r="S227" s="31" t="n">
        <v>9000.0</v>
      </c>
      <c r="T227" s="32" t="inlineStr">
        <is>
          <t>1994: 4808, 1995: 4808, 1996: 4808, 1997: 3200, 1998: 3200, 1999: 3500, 2000: 9300, 2001: 11100, 2002: 10400, 2003: 11000, 2004: 11000, 2005: 11500, 2006: 11600, 2007: 16102, 2008: 16600, 2009: 12100, 2010: 9100, 2011: 9096, 2012: 8737, 2015: 9000</t>
        </is>
      </c>
      <c r="U227" s="33" t="inlineStr">
        <is>
          <t/>
        </is>
      </c>
      <c r="V227" s="34" t="inlineStr">
        <is>
          <t/>
        </is>
      </c>
      <c r="W227" s="35" t="n">
        <v>1947.0</v>
      </c>
      <c r="X227" s="36" t="inlineStr">
        <is>
          <t/>
        </is>
      </c>
      <c r="Y227" s="37" t="inlineStr">
        <is>
          <t/>
        </is>
      </c>
      <c r="Z227" s="38" t="inlineStr">
        <is>
          <t/>
        </is>
      </c>
      <c r="AA227" s="39" t="n">
        <v>1115.86</v>
      </c>
      <c r="AB227" s="40" t="n">
        <v>326.95</v>
      </c>
      <c r="AC227" s="41" t="n">
        <v>-111.53</v>
      </c>
      <c r="AD227" s="42" t="n">
        <v>383.6</v>
      </c>
      <c r="AE227" s="43" t="n">
        <v>-48.24</v>
      </c>
      <c r="AF227" s="44" t="inlineStr">
        <is>
          <t>TTM 1Q2013</t>
        </is>
      </c>
      <c r="AG227" s="45" t="inlineStr">
        <is>
          <t/>
        </is>
      </c>
      <c r="AH227" s="46" t="inlineStr">
        <is>
          <t/>
        </is>
      </c>
      <c r="AI227" s="47" t="inlineStr">
        <is>
          <t/>
        </is>
      </c>
      <c r="AJ227" s="48" t="inlineStr">
        <is>
          <t>99756-28P</t>
        </is>
      </c>
      <c r="AK227" s="49" t="inlineStr">
        <is>
          <t>Mary Phillips</t>
        </is>
      </c>
      <c r="AL227" s="50" t="inlineStr">
        <is>
          <t>Chief Financial Officer &amp; Senior Vice President</t>
        </is>
      </c>
      <c r="AM227" s="51" t="inlineStr">
        <is>
          <t>mary.phillips@talbots.com</t>
        </is>
      </c>
      <c r="AN227" s="52" t="inlineStr">
        <is>
          <t>+1 (800) 825-2687</t>
        </is>
      </c>
      <c r="AO227" s="53" t="inlineStr">
        <is>
          <t>Hingham, MA</t>
        </is>
      </c>
      <c r="AP227" s="54" t="inlineStr">
        <is>
          <t>One Talbots Drive</t>
        </is>
      </c>
      <c r="AQ227" s="55" t="inlineStr">
        <is>
          <t/>
        </is>
      </c>
      <c r="AR227" s="56" t="inlineStr">
        <is>
          <t>Hingham</t>
        </is>
      </c>
      <c r="AS227" s="57" t="inlineStr">
        <is>
          <t>Massachusetts</t>
        </is>
      </c>
      <c r="AT227" s="58" t="inlineStr">
        <is>
          <t>02043</t>
        </is>
      </c>
      <c r="AU227" s="59" t="inlineStr">
        <is>
          <t>United States</t>
        </is>
      </c>
      <c r="AV227" s="60" t="inlineStr">
        <is>
          <t>+1 (800) 825-2687</t>
        </is>
      </c>
      <c r="AW227" s="61" t="inlineStr">
        <is>
          <t>+1 (800) 438-9443</t>
        </is>
      </c>
      <c r="AX227" s="62" t="inlineStr">
        <is>
          <t/>
        </is>
      </c>
      <c r="AY227" s="63" t="inlineStr">
        <is>
          <t>Americas</t>
        </is>
      </c>
      <c r="AZ227" s="64" t="inlineStr">
        <is>
          <t>North America</t>
        </is>
      </c>
      <c r="BA227" s="65" t="inlineStr">
        <is>
          <t>The company completed a dividend recapitalization on April 27, 2015. The financing included $205 million of debt financing from undisclosed lender and the company subsequently provided a dividend of $205 million to shareholders.</t>
        </is>
      </c>
      <c r="BB227" s="66" t="inlineStr">
        <is>
          <t>Sycamore Partners Management</t>
        </is>
      </c>
      <c r="BC227" s="67" t="n">
        <v>1.0</v>
      </c>
      <c r="BD227" s="68" t="inlineStr">
        <is>
          <t/>
        </is>
      </c>
      <c r="BE227" s="69" t="inlineStr">
        <is>
          <t>Aeon Company, General Mills</t>
        </is>
      </c>
      <c r="BF227" s="70" t="inlineStr">
        <is>
          <t>Golden Gate Capital, TPG Capital</t>
        </is>
      </c>
      <c r="BG227" s="71" t="inlineStr">
        <is>
          <t>Sycamore Partners Management(www.sycamorepartners.com)</t>
        </is>
      </c>
      <c r="BH227" s="72" t="inlineStr">
        <is>
          <t>Aeon Company(www.aeon.info), General Mills(www.generalmills.com)</t>
        </is>
      </c>
      <c r="BI227" s="73" t="inlineStr">
        <is>
          <t>Golden Gate Capital(www.goldengatecap.com), TPG Capital(www.tpg.com)</t>
        </is>
      </c>
      <c r="BJ227" s="74" t="inlineStr">
        <is>
          <t>The Brownestone Group(Consulting), Winthrop Group(Consulting)</t>
        </is>
      </c>
      <c r="BK227" s="75" t="inlineStr">
        <is>
          <t>Barclays Investment Bank(Advisor: General), CIT Group(Debt Financing), Corporate Capital Trust(Debt Financing), Day Pitney(Legal Advisor), Dewey &amp; LeBoeuf(Legal Advisor), Duff &amp; Phelps(Advisor: General), GE Capital(Debt Financing), Georgeson Shareholder Communications(Legal Advisor), Paul, Weiss, Rifkind, Wharton &amp; Garrison(Legal Advisor), Perella Weinberg Partners(Advisor: General), Potter Anderson &amp; Corroon(Legal Advisor), Tennenbaum Capital Partners(Debt Financing), Wells Fargo(Debt Financing), White &amp; Case(Legal Advisor)</t>
        </is>
      </c>
      <c r="BL227" s="76" t="n">
        <v>26665.0</v>
      </c>
      <c r="BM227" s="77" t="inlineStr">
        <is>
          <t/>
        </is>
      </c>
      <c r="BN227" s="78" t="inlineStr">
        <is>
          <t/>
        </is>
      </c>
      <c r="BO227" s="79" t="inlineStr">
        <is>
          <t/>
        </is>
      </c>
      <c r="BP227" s="80" t="inlineStr">
        <is>
          <t/>
        </is>
      </c>
      <c r="BQ227" s="81" t="inlineStr">
        <is>
          <t>Merger/Acquisition</t>
        </is>
      </c>
      <c r="BR227" s="82" t="inlineStr">
        <is>
          <t/>
        </is>
      </c>
      <c r="BS227" s="83" t="inlineStr">
        <is>
          <t/>
        </is>
      </c>
      <c r="BT227" s="84" t="inlineStr">
        <is>
          <t>Corporate</t>
        </is>
      </c>
      <c r="BU227" s="85" t="inlineStr">
        <is>
          <t/>
        </is>
      </c>
      <c r="BV227" s="86" t="inlineStr">
        <is>
          <t/>
        </is>
      </c>
      <c r="BW227" s="87" t="inlineStr">
        <is>
          <t/>
        </is>
      </c>
      <c r="BX227" s="88" t="inlineStr">
        <is>
          <t>Completed</t>
        </is>
      </c>
      <c r="BY227" s="89" t="n">
        <v>42121.0</v>
      </c>
      <c r="BZ227" s="90" t="n">
        <v>205.0</v>
      </c>
      <c r="CA227" s="91" t="inlineStr">
        <is>
          <t>Actual</t>
        </is>
      </c>
      <c r="CB227" s="92" t="inlineStr">
        <is>
          <t/>
        </is>
      </c>
      <c r="CC227" s="93" t="inlineStr">
        <is>
          <t/>
        </is>
      </c>
      <c r="CD227" s="94" t="inlineStr">
        <is>
          <t>Dividend Recapitalization</t>
        </is>
      </c>
      <c r="CE227" s="95" t="inlineStr">
        <is>
          <t/>
        </is>
      </c>
      <c r="CF227" s="96" t="inlineStr">
        <is>
          <t/>
        </is>
      </c>
      <c r="CG227" s="97" t="inlineStr">
        <is>
          <t>Private Equity</t>
        </is>
      </c>
      <c r="CH227" s="98" t="inlineStr">
        <is>
          <t/>
        </is>
      </c>
      <c r="CI227" s="99" t="inlineStr">
        <is>
          <t/>
        </is>
      </c>
      <c r="CJ227" s="100" t="inlineStr">
        <is>
          <t/>
        </is>
      </c>
      <c r="CK227" s="101" t="inlineStr">
        <is>
          <t>Completed</t>
        </is>
      </c>
      <c r="CL227" s="102" t="n">
        <v>41547.0</v>
      </c>
      <c r="CM227" s="103" t="n">
        <v>50.0</v>
      </c>
      <c r="CN227" s="104" t="n">
        <v>0.66</v>
      </c>
      <c r="CO227" s="105" t="n">
        <v>96.0</v>
      </c>
      <c r="CP227" s="106" t="n">
        <v>0.0</v>
      </c>
      <c r="CQ227" s="107" t="n">
        <v>0.74</v>
      </c>
      <c r="CR227" s="108" t="n">
        <v>1.33</v>
      </c>
      <c r="CS227" s="109" t="n">
        <v>98.0</v>
      </c>
      <c r="CT227" s="110" t="n">
        <v>0.0</v>
      </c>
      <c r="CU227" s="111" t="n">
        <v>27.0</v>
      </c>
      <c r="CV227" s="112" t="n">
        <v>2.39</v>
      </c>
      <c r="CW227" s="113" t="n">
        <v>92.0</v>
      </c>
      <c r="CX227" s="114" t="n">
        <v>0.28</v>
      </c>
      <c r="CY227" s="115" t="n">
        <v>90.0</v>
      </c>
      <c r="CZ227" s="116" t="n">
        <v>-0.01</v>
      </c>
      <c r="DA227" s="117" t="n">
        <v>27.0</v>
      </c>
      <c r="DB227" s="118" t="n">
        <v>348.24</v>
      </c>
      <c r="DC227" s="119" t="n">
        <v>100.0</v>
      </c>
      <c r="DD227" s="120" t="n">
        <v>9.5</v>
      </c>
      <c r="DE227" s="121" t="n">
        <v>2.8</v>
      </c>
      <c r="DF227" s="122" t="n">
        <v>433.2</v>
      </c>
      <c r="DG227" s="123" t="n">
        <v>100.0</v>
      </c>
      <c r="DH227" s="124" t="n">
        <v>263.28</v>
      </c>
      <c r="DI227" s="125" t="n">
        <v>99.0</v>
      </c>
      <c r="DJ227" s="126" t="n">
        <v>719.23</v>
      </c>
      <c r="DK227" s="127" t="n">
        <v>100.0</v>
      </c>
      <c r="DL227" s="128" t="n">
        <v>147.18</v>
      </c>
      <c r="DM227" s="129" t="n">
        <v>100.0</v>
      </c>
      <c r="DN227" s="130" t="n">
        <v>41.98</v>
      </c>
      <c r="DO227" s="131" t="n">
        <v>96.0</v>
      </c>
      <c r="DP227" s="132" t="n">
        <v>512282.0</v>
      </c>
      <c r="DQ227" s="133" t="n">
        <v>4767.0</v>
      </c>
      <c r="DR227" s="134" t="n">
        <v>0.94</v>
      </c>
      <c r="DS227" s="135" t="n">
        <v>4990.0</v>
      </c>
      <c r="DT227" s="136" t="n">
        <v>29.0</v>
      </c>
      <c r="DU227" s="137" t="n">
        <v>0.58</v>
      </c>
      <c r="DV227" s="138" t="n">
        <v>15076.0</v>
      </c>
      <c r="DW227" s="139" t="n">
        <v>-10.0</v>
      </c>
      <c r="DX227" s="140" t="n">
        <v>-0.07</v>
      </c>
      <c r="DY227" s="141" t="inlineStr">
        <is>
          <t>PitchBook Research</t>
        </is>
      </c>
      <c r="DZ227" s="142" t="n">
        <v>43361.0</v>
      </c>
      <c r="EA227" s="143" t="n">
        <v>369.0</v>
      </c>
      <c r="EB227" s="144" t="n">
        <v>41124.0</v>
      </c>
      <c r="EC227" s="145" t="inlineStr">
        <is>
          <t>Buyout/LBO</t>
        </is>
      </c>
      <c r="ED227" s="547">
        <f>HYPERLINK("https://my.pitchbook.com?c=41171-86", "View company online")</f>
      </c>
    </row>
    <row r="228">
      <c r="A228" s="147" t="inlineStr">
        <is>
          <t>25170-67</t>
        </is>
      </c>
      <c r="B228" s="148" t="inlineStr">
        <is>
          <t>Oxford Industries (NYS: OXM)</t>
        </is>
      </c>
      <c r="C228" s="149" t="inlineStr">
        <is>
          <t/>
        </is>
      </c>
      <c r="D228" s="150" t="inlineStr">
        <is>
          <t>Oxford</t>
        </is>
      </c>
      <c r="E228" s="151" t="inlineStr">
        <is>
          <t>25170-67</t>
        </is>
      </c>
      <c r="F228" s="152" t="inlineStr">
        <is>
          <t>Oxford Industries Inc is an apparel manufacturing company that designs, sources, markets and distributes products under the brand name called Tommy Bahama, and Lilly Pulitzer. Tommy Bahama designs, sources, markets and distributes men's and women's sportswear and related products. Lilly Pulitzer designs, sources, markets and distributes upscale collections of women's and girl's dresses, sportswear and related products. The company generates a majority of its revenue from the Tommy Bahama division.</t>
        </is>
      </c>
      <c r="G228" s="153" t="inlineStr">
        <is>
          <t>Consumer Products and Services (B2C)</t>
        </is>
      </c>
      <c r="H228" s="154" t="inlineStr">
        <is>
          <t>Apparel and Accessories</t>
        </is>
      </c>
      <c r="I228" s="155" t="inlineStr">
        <is>
          <t>Clothing</t>
        </is>
      </c>
      <c r="J228" s="156" t="inlineStr">
        <is>
          <t>Clothing*</t>
        </is>
      </c>
      <c r="K228" s="157" t="inlineStr">
        <is>
          <t/>
        </is>
      </c>
      <c r="L228" s="158" t="inlineStr">
        <is>
          <t/>
        </is>
      </c>
      <c r="M228" s="159" t="inlineStr">
        <is>
          <t>Corporation</t>
        </is>
      </c>
      <c r="N228" s="160" t="inlineStr">
        <is>
          <t/>
        </is>
      </c>
      <c r="O228" s="161" t="inlineStr">
        <is>
          <t>Profitable</t>
        </is>
      </c>
      <c r="P228" s="162" t="inlineStr">
        <is>
          <t>Publicly Held</t>
        </is>
      </c>
      <c r="Q228" s="163" t="inlineStr">
        <is>
          <t>Publicly Listed</t>
        </is>
      </c>
      <c r="R228" s="164" t="inlineStr">
        <is>
          <t/>
        </is>
      </c>
      <c r="S228" s="165" t="n">
        <v>5900.0</v>
      </c>
      <c r="T228" s="166" t="inlineStr">
        <is>
          <t>1990: 11240, 1991: 11240, 1992: 9857, 1993: 9800, 1994: 9283, 1995: 9283, 1996: 9283, 1997: 9279, 1998: 8802, 1999: 9066, 2000: 9758, 2001: 9469, 2002: 7427, 2003: 7343, 2004: 8439, 2005: 6800, 2006: 4800, 2007: 4800, 2009: 4000, 2010: 3800, 2011: 4000, 2012: 4400, 2013: 4800, 2014: 5100, 2015: 5400, 2016: 5500, 2017: 5800, 2018: 5900</t>
        </is>
      </c>
      <c r="U228" s="167" t="inlineStr">
        <is>
          <t>NYS</t>
        </is>
      </c>
      <c r="V228" s="168" t="inlineStr">
        <is>
          <t>OXM</t>
        </is>
      </c>
      <c r="W228" s="169" t="n">
        <v>1942.0</v>
      </c>
      <c r="X228" s="170" t="inlineStr">
        <is>
          <t/>
        </is>
      </c>
      <c r="Y228" s="171" t="inlineStr">
        <is>
          <t/>
        </is>
      </c>
      <c r="Z228" s="172" t="inlineStr">
        <is>
          <t>News (New) </t>
        </is>
      </c>
      <c r="AA228" s="173" t="n">
        <v>1102.11</v>
      </c>
      <c r="AB228" s="174" t="n">
        <v>634.8</v>
      </c>
      <c r="AC228" s="175" t="n">
        <v>73.74</v>
      </c>
      <c r="AD228" s="176" t="n">
        <v>1526.22</v>
      </c>
      <c r="AE228" s="177" t="n">
        <v>129.93</v>
      </c>
      <c r="AF228" s="178" t="inlineStr">
        <is>
          <t>TTM 3Q2019</t>
        </is>
      </c>
      <c r="AG228" s="179" t="n">
        <v>87.11</v>
      </c>
      <c r="AH228" s="180" t="n">
        <v>1251.73</v>
      </c>
      <c r="AI228" s="181" t="n">
        <v>24.8</v>
      </c>
      <c r="AJ228" s="182" t="inlineStr">
        <is>
          <t>91570-60P</t>
        </is>
      </c>
      <c r="AK228" s="183" t="inlineStr">
        <is>
          <t>Thomas Chubb</t>
        </is>
      </c>
      <c r="AL228" s="184" t="inlineStr">
        <is>
          <t>Chairman, Chief Executive Officer, President and Board Member</t>
        </is>
      </c>
      <c r="AM228" s="185" t="inlineStr">
        <is>
          <t>tchubb@oxfordinc.com</t>
        </is>
      </c>
      <c r="AN228" s="186" t="inlineStr">
        <is>
          <t>+1 (404) 659-2424</t>
        </is>
      </c>
      <c r="AO228" s="187" t="inlineStr">
        <is>
          <t>Atlanta, GA</t>
        </is>
      </c>
      <c r="AP228" s="188" t="inlineStr">
        <is>
          <t>999 Peachtree Street Northeast</t>
        </is>
      </c>
      <c r="AQ228" s="189" t="inlineStr">
        <is>
          <t>Suite 688</t>
        </is>
      </c>
      <c r="AR228" s="190" t="inlineStr">
        <is>
          <t>Atlanta</t>
        </is>
      </c>
      <c r="AS228" s="191" t="inlineStr">
        <is>
          <t>Georgia</t>
        </is>
      </c>
      <c r="AT228" s="192" t="inlineStr">
        <is>
          <t>30309</t>
        </is>
      </c>
      <c r="AU228" s="193" t="inlineStr">
        <is>
          <t>United States</t>
        </is>
      </c>
      <c r="AV228" s="194" t="inlineStr">
        <is>
          <t>+1 (404) 659-2424</t>
        </is>
      </c>
      <c r="AW228" s="195" t="inlineStr">
        <is>
          <t>+1 (404) 653-1545</t>
        </is>
      </c>
      <c r="AX228" s="196" t="inlineStr">
        <is>
          <t>info@oxfordinc.com</t>
        </is>
      </c>
      <c r="AY228" s="197" t="inlineStr">
        <is>
          <t>Americas</t>
        </is>
      </c>
      <c r="AZ228" s="198" t="inlineStr">
        <is>
          <t>North America</t>
        </is>
      </c>
      <c r="BA228" s="199" t="inlineStr">
        <is>
          <t/>
        </is>
      </c>
      <c r="BB228" s="200" t="inlineStr">
        <is>
          <t/>
        </is>
      </c>
      <c r="BC228" s="201" t="inlineStr">
        <is>
          <t/>
        </is>
      </c>
      <c r="BD228" s="202" t="inlineStr">
        <is>
          <t/>
        </is>
      </c>
      <c r="BE228" s="203" t="inlineStr">
        <is>
          <t/>
        </is>
      </c>
      <c r="BF228" s="204" t="inlineStr">
        <is>
          <t/>
        </is>
      </c>
      <c r="BG228" s="205" t="inlineStr">
        <is>
          <t/>
        </is>
      </c>
      <c r="BH228" s="206" t="inlineStr">
        <is>
          <t/>
        </is>
      </c>
      <c r="BI228" s="207" t="inlineStr">
        <is>
          <t/>
        </is>
      </c>
      <c r="BJ228" s="208" t="inlineStr">
        <is>
          <t/>
        </is>
      </c>
      <c r="BK228" s="209" t="inlineStr">
        <is>
          <t/>
        </is>
      </c>
      <c r="BL228" s="210" t="inlineStr">
        <is>
          <t/>
        </is>
      </c>
      <c r="BM228" s="211" t="inlineStr">
        <is>
          <t/>
        </is>
      </c>
      <c r="BN228" s="212" t="inlineStr">
        <is>
          <t/>
        </is>
      </c>
      <c r="BO228" s="213" t="inlineStr">
        <is>
          <t/>
        </is>
      </c>
      <c r="BP228" s="214" t="inlineStr">
        <is>
          <t/>
        </is>
      </c>
      <c r="BQ228" s="215" t="inlineStr">
        <is>
          <t/>
        </is>
      </c>
      <c r="BR228" s="216" t="inlineStr">
        <is>
          <t/>
        </is>
      </c>
      <c r="BS228" s="217" t="inlineStr">
        <is>
          <t/>
        </is>
      </c>
      <c r="BT228" s="218" t="inlineStr">
        <is>
          <t/>
        </is>
      </c>
      <c r="BU228" s="219" t="inlineStr">
        <is>
          <t/>
        </is>
      </c>
      <c r="BV228" s="220" t="inlineStr">
        <is>
          <t/>
        </is>
      </c>
      <c r="BW228" s="221" t="inlineStr">
        <is>
          <t/>
        </is>
      </c>
      <c r="BX228" s="222" t="inlineStr">
        <is>
          <t/>
        </is>
      </c>
      <c r="BY228" s="223" t="inlineStr">
        <is>
          <t/>
        </is>
      </c>
      <c r="BZ228" s="224" t="inlineStr">
        <is>
          <t/>
        </is>
      </c>
      <c r="CA228" s="225" t="inlineStr">
        <is>
          <t/>
        </is>
      </c>
      <c r="CB228" s="226" t="inlineStr">
        <is>
          <t/>
        </is>
      </c>
      <c r="CC228" s="227" t="inlineStr">
        <is>
          <t/>
        </is>
      </c>
      <c r="CD228" s="228" t="inlineStr">
        <is>
          <t/>
        </is>
      </c>
      <c r="CE228" s="229" t="inlineStr">
        <is>
          <t/>
        </is>
      </c>
      <c r="CF228" s="230" t="inlineStr">
        <is>
          <t/>
        </is>
      </c>
      <c r="CG228" s="231" t="inlineStr">
        <is>
          <t/>
        </is>
      </c>
      <c r="CH228" s="232" t="inlineStr">
        <is>
          <t/>
        </is>
      </c>
      <c r="CI228" s="233" t="inlineStr">
        <is>
          <t/>
        </is>
      </c>
      <c r="CJ228" s="234" t="inlineStr">
        <is>
          <t/>
        </is>
      </c>
      <c r="CK228" s="235" t="inlineStr">
        <is>
          <t/>
        </is>
      </c>
      <c r="CL228" s="236" t="inlineStr">
        <is>
          <t/>
        </is>
      </c>
      <c r="CM228" s="237" t="inlineStr">
        <is>
          <t/>
        </is>
      </c>
      <c r="CN228" s="238" t="n">
        <v>0.14</v>
      </c>
      <c r="CO228" s="239" t="n">
        <v>86.0</v>
      </c>
      <c r="CP228" s="240" t="n">
        <v>-0.01</v>
      </c>
      <c r="CQ228" s="241" t="n">
        <v>-5.31</v>
      </c>
      <c r="CR228" s="242" t="n">
        <v>0.14</v>
      </c>
      <c r="CS228" s="243" t="n">
        <v>88.0</v>
      </c>
      <c r="CT228" s="244" t="inlineStr">
        <is>
          <t/>
        </is>
      </c>
      <c r="CU228" s="245" t="inlineStr">
        <is>
          <t/>
        </is>
      </c>
      <c r="CV228" s="246" t="n">
        <v>0.0</v>
      </c>
      <c r="CW228" s="247" t="n">
        <v>33.0</v>
      </c>
      <c r="CX228" s="248" t="n">
        <v>0.28</v>
      </c>
      <c r="CY228" s="249" t="n">
        <v>90.0</v>
      </c>
      <c r="CZ228" s="250" t="inlineStr">
        <is>
          <t/>
        </is>
      </c>
      <c r="DA228" s="251" t="inlineStr">
        <is>
          <t/>
        </is>
      </c>
      <c r="DB228" s="252" t="n">
        <v>12.56</v>
      </c>
      <c r="DC228" s="253" t="n">
        <v>92.0</v>
      </c>
      <c r="DD228" s="254" t="n">
        <v>2.95</v>
      </c>
      <c r="DE228" s="255" t="n">
        <v>30.76</v>
      </c>
      <c r="DF228" s="256" t="n">
        <v>12.56</v>
      </c>
      <c r="DG228" s="257" t="n">
        <v>91.0</v>
      </c>
      <c r="DH228" s="258" t="inlineStr">
        <is>
          <t/>
        </is>
      </c>
      <c r="DI228" s="259" t="inlineStr">
        <is>
          <t/>
        </is>
      </c>
      <c r="DJ228" s="260" t="n">
        <v>0.95</v>
      </c>
      <c r="DK228" s="261" t="n">
        <v>49.0</v>
      </c>
      <c r="DL228" s="262" t="n">
        <v>24.18</v>
      </c>
      <c r="DM228" s="263" t="n">
        <v>94.0</v>
      </c>
      <c r="DN228" s="264" t="inlineStr">
        <is>
          <t/>
        </is>
      </c>
      <c r="DO228" s="265" t="inlineStr">
        <is>
          <t/>
        </is>
      </c>
      <c r="DP228" s="266" t="n">
        <v>670.0</v>
      </c>
      <c r="DQ228" s="267" t="n">
        <v>54.0</v>
      </c>
      <c r="DR228" s="268" t="n">
        <v>8.77</v>
      </c>
      <c r="DS228" s="269" t="n">
        <v>822.0</v>
      </c>
      <c r="DT228" s="270" t="n">
        <v>0.0</v>
      </c>
      <c r="DU228" s="271" t="n">
        <v>0.0</v>
      </c>
      <c r="DV228" s="272" t="inlineStr">
        <is>
          <t/>
        </is>
      </c>
      <c r="DW228" s="273" t="inlineStr">
        <is>
          <t/>
        </is>
      </c>
      <c r="DX228" s="274" t="inlineStr">
        <is>
          <t/>
        </is>
      </c>
      <c r="DY228" s="275" t="inlineStr">
        <is>
          <t>PitchBook Research</t>
        </is>
      </c>
      <c r="DZ228" s="276" t="n">
        <v>43543.0</v>
      </c>
      <c r="EA228" s="277" t="inlineStr">
        <is>
          <t/>
        </is>
      </c>
      <c r="EB228" s="278" t="inlineStr">
        <is>
          <t/>
        </is>
      </c>
      <c r="EC228" s="279" t="inlineStr">
        <is>
          <t/>
        </is>
      </c>
      <c r="ED228" s="548">
        <f>HYPERLINK("https://my.pitchbook.com?c=25170-67", "View company online")</f>
      </c>
    </row>
    <row r="229">
      <c r="A229" s="13" t="inlineStr">
        <is>
          <t>11090-53</t>
        </is>
      </c>
      <c r="B229" s="14" t="inlineStr">
        <is>
          <t>Steve and Barry's University Sportswear</t>
        </is>
      </c>
      <c r="C229" s="15" t="inlineStr">
        <is>
          <t/>
        </is>
      </c>
      <c r="D229" s="16" t="inlineStr">
        <is>
          <t>Steve &amp; Barry's</t>
        </is>
      </c>
      <c r="E229" s="17" t="inlineStr">
        <is>
          <t>11090-53</t>
        </is>
      </c>
      <c r="F229" s="18" t="inlineStr">
        <is>
          <t>Operator of casual and collegiate apparel stores. The company offers various selection of clothes, including jeans, t-shirts, sweatshirts, jackets, polos, collegiate wear, and cargos for men, women, and children. It has grown to 276 stores in 33 states across the country, and is the fastest growing apparel retailer in the United States on a square footage basis.</t>
        </is>
      </c>
      <c r="G229" s="19" t="inlineStr">
        <is>
          <t>Consumer Products and Services (B2C)</t>
        </is>
      </c>
      <c r="H229" s="20" t="inlineStr">
        <is>
          <t>Retail</t>
        </is>
      </c>
      <c r="I229" s="21" t="inlineStr">
        <is>
          <t>Specialty Retail</t>
        </is>
      </c>
      <c r="J229" s="22" t="inlineStr">
        <is>
          <t>Clothing, Specialty Retail*</t>
        </is>
      </c>
      <c r="K229" s="23" t="inlineStr">
        <is>
          <t/>
        </is>
      </c>
      <c r="L229" s="24" t="inlineStr">
        <is>
          <t/>
        </is>
      </c>
      <c r="M229" s="25" t="inlineStr">
        <is>
          <t>Formerly PE-Backed</t>
        </is>
      </c>
      <c r="N229" s="26" t="n">
        <v>320.0</v>
      </c>
      <c r="O229" s="27" t="inlineStr">
        <is>
          <t>Bankruptcy: Liquidation</t>
        </is>
      </c>
      <c r="P229" s="28" t="inlineStr">
        <is>
          <t>Out of Business</t>
        </is>
      </c>
      <c r="Q229" s="29" t="inlineStr">
        <is>
          <t>Debt Financed, Private Equity</t>
        </is>
      </c>
      <c r="R229" s="30" t="inlineStr">
        <is>
          <t>www.steveandbarrys.com</t>
        </is>
      </c>
      <c r="S229" s="31" t="n">
        <v>500.0</v>
      </c>
      <c r="T229" s="32" t="inlineStr">
        <is>
          <t>2005: 60, 2007: 500</t>
        </is>
      </c>
      <c r="U229" s="33" t="inlineStr">
        <is>
          <t/>
        </is>
      </c>
      <c r="V229" s="34" t="inlineStr">
        <is>
          <t/>
        </is>
      </c>
      <c r="W229" s="35" t="n">
        <v>1985.0</v>
      </c>
      <c r="X229" s="36" t="inlineStr">
        <is>
          <t/>
        </is>
      </c>
      <c r="Y229" s="37" t="inlineStr">
        <is>
          <t/>
        </is>
      </c>
      <c r="Z229" s="38" t="inlineStr">
        <is>
          <t/>
        </is>
      </c>
      <c r="AA229" s="39" t="n">
        <v>1100.0</v>
      </c>
      <c r="AB229" s="40" t="inlineStr">
        <is>
          <t/>
        </is>
      </c>
      <c r="AC229" s="41" t="inlineStr">
        <is>
          <t/>
        </is>
      </c>
      <c r="AD229" s="42" t="inlineStr">
        <is>
          <t/>
        </is>
      </c>
      <c r="AE229" s="43" t="inlineStr">
        <is>
          <t/>
        </is>
      </c>
      <c r="AF229" s="44" t="inlineStr">
        <is>
          <t>FY 2007</t>
        </is>
      </c>
      <c r="AG229" s="45" t="inlineStr">
        <is>
          <t/>
        </is>
      </c>
      <c r="AH229" s="46" t="inlineStr">
        <is>
          <t/>
        </is>
      </c>
      <c r="AI229" s="47" t="inlineStr">
        <is>
          <t/>
        </is>
      </c>
      <c r="AJ229" s="48" t="inlineStr">
        <is>
          <t>12734-11P</t>
        </is>
      </c>
      <c r="AK229" s="49" t="inlineStr">
        <is>
          <t>Barry Prevor</t>
        </is>
      </c>
      <c r="AL229" s="50" t="inlineStr">
        <is>
          <t>Co-Chief Executive Officer &amp; Co-Founder</t>
        </is>
      </c>
      <c r="AM229" s="51" t="inlineStr">
        <is>
          <t/>
        </is>
      </c>
      <c r="AN229" s="52" t="inlineStr">
        <is>
          <t/>
        </is>
      </c>
      <c r="AO229" s="53" t="inlineStr">
        <is>
          <t>Port Washington, NY</t>
        </is>
      </c>
      <c r="AP229" s="54" t="inlineStr">
        <is>
          <t>12 Harbor Park Drive</t>
        </is>
      </c>
      <c r="AQ229" s="55" t="inlineStr">
        <is>
          <t/>
        </is>
      </c>
      <c r="AR229" s="56" t="inlineStr">
        <is>
          <t>Port Washington</t>
        </is>
      </c>
      <c r="AS229" s="57" t="inlineStr">
        <is>
          <t>New York</t>
        </is>
      </c>
      <c r="AT229" s="58" t="inlineStr">
        <is>
          <t>11050</t>
        </is>
      </c>
      <c r="AU229" s="59" t="inlineStr">
        <is>
          <t>United States</t>
        </is>
      </c>
      <c r="AV229" s="60" t="inlineStr">
        <is>
          <t/>
        </is>
      </c>
      <c r="AW229" s="61" t="inlineStr">
        <is>
          <t/>
        </is>
      </c>
      <c r="AX229" s="62" t="inlineStr">
        <is>
          <t/>
        </is>
      </c>
      <c r="AY229" s="63" t="inlineStr">
        <is>
          <t>Americas</t>
        </is>
      </c>
      <c r="AZ229" s="64" t="inlineStr">
        <is>
          <t>North America</t>
        </is>
      </c>
      <c r="BA229" s="65" t="inlineStr">
        <is>
          <t>The company filed for Chapter 11 bankruptcy in July of 2008. It was seeking to raise $60 million in debtor-in-possession financing from Ableco Finance. After not securing the financing, the company filed for Chapter 7 Bankruptcy and went into liquidation on November 18, 2008. They closed down operations in January 2009. The company is no longer actively tracked by PitchBook.</t>
        </is>
      </c>
      <c r="BB229" s="66" t="inlineStr">
        <is>
          <t/>
        </is>
      </c>
      <c r="BC229" s="67" t="inlineStr">
        <is>
          <t/>
        </is>
      </c>
      <c r="BD229" s="68" t="inlineStr">
        <is>
          <t/>
        </is>
      </c>
      <c r="BE229" s="69" t="inlineStr">
        <is>
          <t>Homewood Capital, TA Associates Management, York Capital Management</t>
        </is>
      </c>
      <c r="BF229" s="70" t="inlineStr">
        <is>
          <t/>
        </is>
      </c>
      <c r="BG229" s="71" t="inlineStr">
        <is>
          <t/>
        </is>
      </c>
      <c r="BH229" s="72" t="inlineStr">
        <is>
          <t>Homewood Capital(www.homewoodcap.com), TA Associates Management(www.ta.com), York Capital Management(www.yorkcapital.com)</t>
        </is>
      </c>
      <c r="BI229" s="73" t="inlineStr">
        <is>
          <t/>
        </is>
      </c>
      <c r="BJ229" s="74" t="inlineStr">
        <is>
          <t/>
        </is>
      </c>
      <c r="BK229" s="75" t="inlineStr">
        <is>
          <t>Ableco Finance(Debt Financing), Cahill Gordon &amp; Reindel(Legal Advisor), CIT Group(Debt Financing), Citigroup Global Markets(Advisor: General), GE Capital Markets(Debt Financing), General Electric(Debt Financing), Richards Kibbe &amp; Orbe(Legal Advisor)</t>
        </is>
      </c>
      <c r="BL229" s="76" t="n">
        <v>39050.0</v>
      </c>
      <c r="BM229" s="77" t="n">
        <v>320.0</v>
      </c>
      <c r="BN229" s="78" t="inlineStr">
        <is>
          <t/>
        </is>
      </c>
      <c r="BO229" s="79" t="inlineStr">
        <is>
          <t/>
        </is>
      </c>
      <c r="BP229" s="80" t="inlineStr">
        <is>
          <t/>
        </is>
      </c>
      <c r="BQ229" s="81" t="inlineStr">
        <is>
          <t>PE Growth/Expansion</t>
        </is>
      </c>
      <c r="BR229" s="82" t="inlineStr">
        <is>
          <t/>
        </is>
      </c>
      <c r="BS229" s="83" t="inlineStr">
        <is>
          <t/>
        </is>
      </c>
      <c r="BT229" s="84" t="inlineStr">
        <is>
          <t>Private Equity</t>
        </is>
      </c>
      <c r="BU229" s="85" t="inlineStr">
        <is>
          <t/>
        </is>
      </c>
      <c r="BV229" s="86" t="inlineStr">
        <is>
          <t/>
        </is>
      </c>
      <c r="BW229" s="87" t="inlineStr">
        <is>
          <t/>
        </is>
      </c>
      <c r="BX229" s="88" t="inlineStr">
        <is>
          <t>Completed</t>
        </is>
      </c>
      <c r="BY229" s="89" t="n">
        <v>39814.0</v>
      </c>
      <c r="BZ229" s="90" t="inlineStr">
        <is>
          <t/>
        </is>
      </c>
      <c r="CA229" s="91" t="inlineStr">
        <is>
          <t/>
        </is>
      </c>
      <c r="CB229" s="92" t="inlineStr">
        <is>
          <t/>
        </is>
      </c>
      <c r="CC229" s="93" t="inlineStr">
        <is>
          <t/>
        </is>
      </c>
      <c r="CD229" s="94" t="inlineStr">
        <is>
          <t>Bankruptcy: Liquidation</t>
        </is>
      </c>
      <c r="CE229" s="95" t="inlineStr">
        <is>
          <t/>
        </is>
      </c>
      <c r="CF229" s="96" t="inlineStr">
        <is>
          <t/>
        </is>
      </c>
      <c r="CG229" s="97" t="inlineStr">
        <is>
          <t>Bankruptcy</t>
        </is>
      </c>
      <c r="CH229" s="98" t="inlineStr">
        <is>
          <t/>
        </is>
      </c>
      <c r="CI229" s="99" t="inlineStr">
        <is>
          <t/>
        </is>
      </c>
      <c r="CJ229" s="100" t="inlineStr">
        <is>
          <t/>
        </is>
      </c>
      <c r="CK229" s="101" t="inlineStr">
        <is>
          <t>Completed</t>
        </is>
      </c>
      <c r="CL229" s="102" t="n">
        <v>39771.0</v>
      </c>
      <c r="CM229" s="103" t="inlineStr">
        <is>
          <t/>
        </is>
      </c>
      <c r="CN229" s="104" t="inlineStr">
        <is>
          <t/>
        </is>
      </c>
      <c r="CO229" s="105" t="inlineStr">
        <is>
          <t/>
        </is>
      </c>
      <c r="CP229" s="106" t="inlineStr">
        <is>
          <t/>
        </is>
      </c>
      <c r="CQ229" s="107" t="inlineStr">
        <is>
          <t/>
        </is>
      </c>
      <c r="CR229" s="108" t="inlineStr">
        <is>
          <t/>
        </is>
      </c>
      <c r="CS229" s="109" t="inlineStr">
        <is>
          <t/>
        </is>
      </c>
      <c r="CT229" s="110" t="inlineStr">
        <is>
          <t/>
        </is>
      </c>
      <c r="CU229" s="111" t="inlineStr">
        <is>
          <t/>
        </is>
      </c>
      <c r="CV229" s="112" t="inlineStr">
        <is>
          <t/>
        </is>
      </c>
      <c r="CW229" s="113" t="inlineStr">
        <is>
          <t/>
        </is>
      </c>
      <c r="CX229" s="114" t="inlineStr">
        <is>
          <t/>
        </is>
      </c>
      <c r="CY229" s="115" t="inlineStr">
        <is>
          <t/>
        </is>
      </c>
      <c r="CZ229" s="116" t="inlineStr">
        <is>
          <t/>
        </is>
      </c>
      <c r="DA229" s="117" t="inlineStr">
        <is>
          <t/>
        </is>
      </c>
      <c r="DB229" s="118" t="inlineStr">
        <is>
          <t/>
        </is>
      </c>
      <c r="DC229" s="119" t="inlineStr">
        <is>
          <t/>
        </is>
      </c>
      <c r="DD229" s="120" t="inlineStr">
        <is>
          <t/>
        </is>
      </c>
      <c r="DE229" s="121" t="inlineStr">
        <is>
          <t/>
        </is>
      </c>
      <c r="DF229" s="122" t="inlineStr">
        <is>
          <t/>
        </is>
      </c>
      <c r="DG229" s="123" t="inlineStr">
        <is>
          <t/>
        </is>
      </c>
      <c r="DH229" s="124" t="inlineStr">
        <is>
          <t/>
        </is>
      </c>
      <c r="DI229" s="125" t="inlineStr">
        <is>
          <t/>
        </is>
      </c>
      <c r="DJ229" s="126" t="inlineStr">
        <is>
          <t/>
        </is>
      </c>
      <c r="DK229" s="127" t="inlineStr">
        <is>
          <t/>
        </is>
      </c>
      <c r="DL229" s="128" t="inlineStr">
        <is>
          <t/>
        </is>
      </c>
      <c r="DM229" s="129" t="inlineStr">
        <is>
          <t/>
        </is>
      </c>
      <c r="DN229" s="130" t="inlineStr">
        <is>
          <t/>
        </is>
      </c>
      <c r="DO229" s="131" t="inlineStr">
        <is>
          <t/>
        </is>
      </c>
      <c r="DP229" s="132" t="inlineStr">
        <is>
          <t/>
        </is>
      </c>
      <c r="DQ229" s="133" t="inlineStr">
        <is>
          <t/>
        </is>
      </c>
      <c r="DR229" s="134" t="inlineStr">
        <is>
          <t/>
        </is>
      </c>
      <c r="DS229" s="135" t="inlineStr">
        <is>
          <t/>
        </is>
      </c>
      <c r="DT229" s="136" t="inlineStr">
        <is>
          <t/>
        </is>
      </c>
      <c r="DU229" s="137" t="inlineStr">
        <is>
          <t/>
        </is>
      </c>
      <c r="DV229" s="138" t="inlineStr">
        <is>
          <t/>
        </is>
      </c>
      <c r="DW229" s="139" t="inlineStr">
        <is>
          <t/>
        </is>
      </c>
      <c r="DX229" s="140" t="inlineStr">
        <is>
          <t/>
        </is>
      </c>
      <c r="DY229" s="141" t="inlineStr">
        <is>
          <t>PitchBook Research</t>
        </is>
      </c>
      <c r="DZ229" s="142" t="n">
        <v>43351.0</v>
      </c>
      <c r="EA229" s="143" t="inlineStr">
        <is>
          <t/>
        </is>
      </c>
      <c r="EB229" s="144" t="inlineStr">
        <is>
          <t/>
        </is>
      </c>
      <c r="EC229" s="145" t="inlineStr">
        <is>
          <t/>
        </is>
      </c>
      <c r="ED229" s="547">
        <f>HYPERLINK("https://my.pitchbook.com?c=11090-53", "View company online")</f>
      </c>
    </row>
    <row r="230">
      <c r="A230" s="147" t="inlineStr">
        <is>
          <t>39286-81</t>
        </is>
      </c>
      <c r="B230" s="148" t="inlineStr">
        <is>
          <t>rue21</t>
        </is>
      </c>
      <c r="C230" s="149" t="inlineStr">
        <is>
          <t>Pennsylvania Fashions</t>
        </is>
      </c>
      <c r="D230" s="150" t="inlineStr">
        <is>
          <t/>
        </is>
      </c>
      <c r="E230" s="151" t="inlineStr">
        <is>
          <t>39286-81</t>
        </is>
      </c>
      <c r="F230" s="152" t="inlineStr">
        <is>
          <t>Retailer of apparel and accessories intended to make latest fashion trends affordable and fun. The company operates as a specialty retailer of young men and women's casual apparel and accessories through its online platform and retail stores, enabling customers to purchase apparel and accessories at affordable rates.</t>
        </is>
      </c>
      <c r="G230" s="153" t="inlineStr">
        <is>
          <t>Consumer Products and Services (B2C)</t>
        </is>
      </c>
      <c r="H230" s="154" t="inlineStr">
        <is>
          <t>Retail</t>
        </is>
      </c>
      <c r="I230" s="155" t="inlineStr">
        <is>
          <t>Internet Retail</t>
        </is>
      </c>
      <c r="J230" s="156" t="inlineStr">
        <is>
          <t>Accessories, Clothing, Internet Retail*</t>
        </is>
      </c>
      <c r="K230" s="157" t="inlineStr">
        <is>
          <t/>
        </is>
      </c>
      <c r="L230" s="158" t="inlineStr">
        <is>
          <t>branding perfumes, fashion, fashion accessories, fashion apparel, plus sizing fashion</t>
        </is>
      </c>
      <c r="M230" s="159" t="inlineStr">
        <is>
          <t>Private Equity-Backed</t>
        </is>
      </c>
      <c r="N230" s="160" t="n">
        <v>175.0</v>
      </c>
      <c r="O230" s="161" t="inlineStr">
        <is>
          <t>Generating Revenue</t>
        </is>
      </c>
      <c r="P230" s="162" t="inlineStr">
        <is>
          <t>Privately Held (backing)</t>
        </is>
      </c>
      <c r="Q230" s="163" t="inlineStr">
        <is>
          <t>Debt Financed, Private Equity, Publicly Listed</t>
        </is>
      </c>
      <c r="R230" s="164" t="inlineStr">
        <is>
          <t>www.rue21.com</t>
        </is>
      </c>
      <c r="S230" s="165" t="n">
        <v>11124.0</v>
      </c>
      <c r="T230" s="166" t="inlineStr">
        <is>
          <t>2009: 5833, 2010: 5765, 2011: 7243, 2012: 9196, 2013: 11124</t>
        </is>
      </c>
      <c r="U230" s="167" t="inlineStr">
        <is>
          <t/>
        </is>
      </c>
      <c r="V230" s="168" t="inlineStr">
        <is>
          <t/>
        </is>
      </c>
      <c r="W230" s="169" t="n">
        <v>1976.0</v>
      </c>
      <c r="X230" s="170" t="inlineStr">
        <is>
          <t/>
        </is>
      </c>
      <c r="Y230" s="171" t="inlineStr">
        <is>
          <t/>
        </is>
      </c>
      <c r="Z230" s="172" t="inlineStr">
        <is>
          <t/>
        </is>
      </c>
      <c r="AA230" s="173" t="n">
        <v>1100.0</v>
      </c>
      <c r="AB230" s="174" t="inlineStr">
        <is>
          <t/>
        </is>
      </c>
      <c r="AC230" s="175" t="inlineStr">
        <is>
          <t/>
        </is>
      </c>
      <c r="AD230" s="176" t="inlineStr">
        <is>
          <t/>
        </is>
      </c>
      <c r="AE230" s="177" t="inlineStr">
        <is>
          <t/>
        </is>
      </c>
      <c r="AF230" s="178" t="inlineStr">
        <is>
          <t>FY 2016</t>
        </is>
      </c>
      <c r="AG230" s="179" t="inlineStr">
        <is>
          <t/>
        </is>
      </c>
      <c r="AH230" s="180" t="inlineStr">
        <is>
          <t/>
        </is>
      </c>
      <c r="AI230" s="181" t="inlineStr">
        <is>
          <t/>
        </is>
      </c>
      <c r="AJ230" s="182" t="inlineStr">
        <is>
          <t>32989-15P</t>
        </is>
      </c>
      <c r="AK230" s="183" t="inlineStr">
        <is>
          <t>Keith McDonough</t>
        </is>
      </c>
      <c r="AL230" s="184" t="inlineStr">
        <is>
          <t>Chief Financial Officer &amp; Senior Vice President</t>
        </is>
      </c>
      <c r="AM230" s="185" t="inlineStr">
        <is>
          <t/>
        </is>
      </c>
      <c r="AN230" s="186" t="inlineStr">
        <is>
          <t>+1 (412) 491-2646</t>
        </is>
      </c>
      <c r="AO230" s="187" t="inlineStr">
        <is>
          <t>Warrendale, PA</t>
        </is>
      </c>
      <c r="AP230" s="188" t="inlineStr">
        <is>
          <t>800 Commonwealth Drive</t>
        </is>
      </c>
      <c r="AQ230" s="189" t="inlineStr">
        <is>
          <t/>
        </is>
      </c>
      <c r="AR230" s="190" t="inlineStr">
        <is>
          <t>Warrendale</t>
        </is>
      </c>
      <c r="AS230" s="191" t="inlineStr">
        <is>
          <t>Pennsylvania</t>
        </is>
      </c>
      <c r="AT230" s="192" t="inlineStr">
        <is>
          <t>15086</t>
        </is>
      </c>
      <c r="AU230" s="193" t="inlineStr">
        <is>
          <t>United States</t>
        </is>
      </c>
      <c r="AV230" s="194" t="inlineStr">
        <is>
          <t>+1 (724) 776-9780</t>
        </is>
      </c>
      <c r="AW230" s="195" t="inlineStr">
        <is>
          <t/>
        </is>
      </c>
      <c r="AX230" s="196" t="inlineStr">
        <is>
          <t>investorrelations@rue21.com</t>
        </is>
      </c>
      <c r="AY230" s="197" t="inlineStr">
        <is>
          <t>Americas</t>
        </is>
      </c>
      <c r="AZ230" s="198" t="inlineStr">
        <is>
          <t>North America</t>
        </is>
      </c>
      <c r="BA230" s="199" t="inlineStr">
        <is>
          <t>The company received $25 million of debt financing in the form of revolving credit line from Bank of America Merrill Lynch on May 30, 2018. The revolving credit facilty had increased rue21's line of credit to $145 million. The financing would allow retailer to keep doors open through back-to-school season. Previously, the company filed for Chapter 11 bankruptcy on May 16, 2017.</t>
        </is>
      </c>
      <c r="BB230" s="200" t="inlineStr">
        <is>
          <t>Altamir, Apax Partners</t>
        </is>
      </c>
      <c r="BC230" s="201" t="n">
        <v>2.0</v>
      </c>
      <c r="BD230" s="202" t="inlineStr">
        <is>
          <t/>
        </is>
      </c>
      <c r="BE230" s="203" t="inlineStr">
        <is>
          <t>BNP Paribas, KarpReilly, Saunders Karp &amp; Megrue</t>
        </is>
      </c>
      <c r="BF230" s="204" t="inlineStr">
        <is>
          <t/>
        </is>
      </c>
      <c r="BG230" s="205" t="inlineStr">
        <is>
          <t>Altamir(www.altamir.fr), Apax Partners(www.apax.com)</t>
        </is>
      </c>
      <c r="BH230" s="206" t="inlineStr">
        <is>
          <t>BNP Paribas(www.group.bnpparibas), KarpReilly(www.karpreilly.com), Saunders Karp &amp; Megrue(www.skmequity.com)</t>
        </is>
      </c>
      <c r="BI230" s="207" t="inlineStr">
        <is>
          <t/>
        </is>
      </c>
      <c r="BJ230" s="208" t="inlineStr">
        <is>
          <t>EY(Auditor), PMG Worldwide(Consulting)</t>
        </is>
      </c>
      <c r="BK230" s="209" t="inlineStr">
        <is>
          <t>ABL Advisor(Advisor: General), Bank of America Merrill Lynch(Underwriter), Barclays Investment Bank(Underwriter), Berkeley Research Group(Advisor: General), BNP Paribas(Debt Financing), Credit Suisse(Underwriter), EY(Auditor), FTI Consulting(Advisor: General), Griffin Institutional Access Credit Fund(Debt Financing), HarbourVest Horizon(Debt Financing), J.P. Morgan(Underwriter), Kirkland &amp; Ellis(Legal Advisor), Krantz &amp; Co(Advisor: Communications), LaSalle Bank(Debt Financing), Perella Weinberg Partners(Advisor: General), Piper Jaffray(Underwriter), Potter Anderson &amp; Corroon(Legal Advisor), Rothschild Advisors(Advisor: General), The Goldman Sachs Group(Underwriter)</t>
        </is>
      </c>
      <c r="BL230" s="210" t="n">
        <v>36018.0</v>
      </c>
      <c r="BM230" s="211" t="inlineStr">
        <is>
          <t/>
        </is>
      </c>
      <c r="BN230" s="212" t="inlineStr">
        <is>
          <t/>
        </is>
      </c>
      <c r="BO230" s="213" t="inlineStr">
        <is>
          <t/>
        </is>
      </c>
      <c r="BP230" s="214" t="inlineStr">
        <is>
          <t/>
        </is>
      </c>
      <c r="BQ230" s="215" t="inlineStr">
        <is>
          <t>Buyout/LBO</t>
        </is>
      </c>
      <c r="BR230" s="216" t="inlineStr">
        <is>
          <t/>
        </is>
      </c>
      <c r="BS230" s="217" t="inlineStr">
        <is>
          <t/>
        </is>
      </c>
      <c r="BT230" s="218" t="inlineStr">
        <is>
          <t>Private Equity</t>
        </is>
      </c>
      <c r="BU230" s="219" t="inlineStr">
        <is>
          <t/>
        </is>
      </c>
      <c r="BV230" s="220" t="inlineStr">
        <is>
          <t/>
        </is>
      </c>
      <c r="BW230" s="221" t="inlineStr">
        <is>
          <t/>
        </is>
      </c>
      <c r="BX230" s="222" t="inlineStr">
        <is>
          <t>Completed</t>
        </is>
      </c>
      <c r="BY230" s="223" t="n">
        <v>43250.0</v>
      </c>
      <c r="BZ230" s="224" t="n">
        <v>20.0</v>
      </c>
      <c r="CA230" s="225" t="inlineStr">
        <is>
          <t>Actual</t>
        </is>
      </c>
      <c r="CB230" s="226" t="inlineStr">
        <is>
          <t/>
        </is>
      </c>
      <c r="CC230" s="227" t="inlineStr">
        <is>
          <t/>
        </is>
      </c>
      <c r="CD230" s="228" t="inlineStr">
        <is>
          <t>Debt - General</t>
        </is>
      </c>
      <c r="CE230" s="229" t="inlineStr">
        <is>
          <t/>
        </is>
      </c>
      <c r="CF230" s="230" t="inlineStr">
        <is>
          <t/>
        </is>
      </c>
      <c r="CG230" s="231" t="inlineStr">
        <is>
          <t>Debt</t>
        </is>
      </c>
      <c r="CH230" s="232" t="inlineStr">
        <is>
          <t>Revolving Credit Line</t>
        </is>
      </c>
      <c r="CI230" s="233" t="inlineStr">
        <is>
          <t/>
        </is>
      </c>
      <c r="CJ230" s="234" t="inlineStr">
        <is>
          <t/>
        </is>
      </c>
      <c r="CK230" s="235" t="inlineStr">
        <is>
          <t>Completed</t>
        </is>
      </c>
      <c r="CL230" s="236" t="n">
        <v>43250.0</v>
      </c>
      <c r="CM230" s="237" t="n">
        <v>20.0</v>
      </c>
      <c r="CN230" s="238" t="n">
        <v>0.19</v>
      </c>
      <c r="CO230" s="239" t="n">
        <v>88.0</v>
      </c>
      <c r="CP230" s="240" t="n">
        <v>0.02</v>
      </c>
      <c r="CQ230" s="241" t="n">
        <v>8.83</v>
      </c>
      <c r="CR230" s="242" t="n">
        <v>0.43</v>
      </c>
      <c r="CS230" s="243" t="n">
        <v>93.0</v>
      </c>
      <c r="CT230" s="244" t="n">
        <v>-0.04</v>
      </c>
      <c r="CU230" s="245" t="n">
        <v>17.0</v>
      </c>
      <c r="CV230" s="246" t="n">
        <v>0.61</v>
      </c>
      <c r="CW230" s="247" t="n">
        <v>85.0</v>
      </c>
      <c r="CX230" s="248" t="n">
        <v>0.25</v>
      </c>
      <c r="CY230" s="249" t="n">
        <v>90.0</v>
      </c>
      <c r="CZ230" s="250" t="n">
        <v>-0.08</v>
      </c>
      <c r="DA230" s="251" t="n">
        <v>12.0</v>
      </c>
      <c r="DB230" s="252" t="n">
        <v>564.81</v>
      </c>
      <c r="DC230" s="253" t="n">
        <v>100.0</v>
      </c>
      <c r="DD230" s="254" t="n">
        <v>6.94</v>
      </c>
      <c r="DE230" s="255" t="n">
        <v>1.24</v>
      </c>
      <c r="DF230" s="256" t="n">
        <v>220.62</v>
      </c>
      <c r="DG230" s="257" t="n">
        <v>100.0</v>
      </c>
      <c r="DH230" s="258" t="n">
        <v>909.0</v>
      </c>
      <c r="DI230" s="259" t="n">
        <v>100.0</v>
      </c>
      <c r="DJ230" s="260" t="n">
        <v>347.41</v>
      </c>
      <c r="DK230" s="261" t="n">
        <v>99.0</v>
      </c>
      <c r="DL230" s="262" t="n">
        <v>93.82</v>
      </c>
      <c r="DM230" s="263" t="n">
        <v>99.0</v>
      </c>
      <c r="DN230" s="264" t="n">
        <v>97.92</v>
      </c>
      <c r="DO230" s="265" t="n">
        <v>98.0</v>
      </c>
      <c r="DP230" s="266" t="n">
        <v>248366.0</v>
      </c>
      <c r="DQ230" s="267" t="n">
        <v>-5991.0</v>
      </c>
      <c r="DR230" s="268" t="n">
        <v>-2.36</v>
      </c>
      <c r="DS230" s="269" t="n">
        <v>3180.0</v>
      </c>
      <c r="DT230" s="270" t="n">
        <v>21.0</v>
      </c>
      <c r="DU230" s="271" t="n">
        <v>0.66</v>
      </c>
      <c r="DV230" s="272" t="n">
        <v>35160.0</v>
      </c>
      <c r="DW230" s="273" t="n">
        <v>-46.0</v>
      </c>
      <c r="DX230" s="274" t="n">
        <v>-0.13</v>
      </c>
      <c r="DY230" s="275" t="inlineStr">
        <is>
          <t>PitchBook Research</t>
        </is>
      </c>
      <c r="DZ230" s="276" t="n">
        <v>43458.0</v>
      </c>
      <c r="EA230" s="277" t="n">
        <v>1100.0</v>
      </c>
      <c r="EB230" s="278" t="n">
        <v>41557.0</v>
      </c>
      <c r="EC230" s="279" t="inlineStr">
        <is>
          <t>Buyout/LBO</t>
        </is>
      </c>
      <c r="ED230" s="548">
        <f>HYPERLINK("https://my.pitchbook.com?c=39286-81", "View company online")</f>
      </c>
    </row>
    <row r="231">
      <c r="A231" s="13" t="inlineStr">
        <is>
          <t>165748-06</t>
        </is>
      </c>
      <c r="B231" s="14" t="inlineStr">
        <is>
          <t>Youngor Group Company (SHG: 600177)</t>
        </is>
      </c>
      <c r="C231" s="15" t="inlineStr">
        <is>
          <t/>
        </is>
      </c>
      <c r="D231" s="16" t="inlineStr">
        <is>
          <t/>
        </is>
      </c>
      <c r="E231" s="17" t="inlineStr">
        <is>
          <t>165748-06</t>
        </is>
      </c>
      <c r="F231" s="18" t="inlineStr">
        <is>
          <t>Youngor Group Co Ltd is a China-based company is engaged in the development of textiles and apparel. The company's brands are YOUNGOR, MAYOR, Hart Schaffner Marx, and HAMP. In addition, the company is also involved in the real estate development business and financial investment business.</t>
        </is>
      </c>
      <c r="G231" s="19" t="inlineStr">
        <is>
          <t>Consumer Products and Services (B2C)</t>
        </is>
      </c>
      <c r="H231" s="20" t="inlineStr">
        <is>
          <t>Apparel and Accessories</t>
        </is>
      </c>
      <c r="I231" s="21" t="inlineStr">
        <is>
          <t>Clothing</t>
        </is>
      </c>
      <c r="J231" s="22" t="inlineStr">
        <is>
          <t>Clothing*, Real Estate Services (B2C)</t>
        </is>
      </c>
      <c r="K231" s="23" t="inlineStr">
        <is>
          <t>Manufacturing</t>
        </is>
      </c>
      <c r="L231" s="24" t="inlineStr">
        <is>
          <t>branding clothing, clothing line, condominiums</t>
        </is>
      </c>
      <c r="M231" s="25" t="inlineStr">
        <is>
          <t>Corporation</t>
        </is>
      </c>
      <c r="N231" s="26" t="inlineStr">
        <is>
          <t/>
        </is>
      </c>
      <c r="O231" s="27" t="inlineStr">
        <is>
          <t>Profitable</t>
        </is>
      </c>
      <c r="P231" s="28" t="inlineStr">
        <is>
          <t>Publicly Held</t>
        </is>
      </c>
      <c r="Q231" s="29" t="inlineStr">
        <is>
          <t>Publicly Listed</t>
        </is>
      </c>
      <c r="R231" s="30" t="inlineStr">
        <is>
          <t>www.youngor.com.cn</t>
        </is>
      </c>
      <c r="S231" s="31" t="n">
        <v>18882.0</v>
      </c>
      <c r="T231" s="32" t="inlineStr">
        <is>
          <t>2000: 7667, 2001: 8457, 2002: 8769, 2003: 8607, 2004: 14523, 2005: 17131, 2006: 21926, 2007: 23920, 2008: 49040, 2009: 47109, 2010: 41903, 2011: 24704, 2012: 24583, 2013: 24796, 2014: 20962, 2015: 18671, 2016: 18370, 2017: 18882</t>
        </is>
      </c>
      <c r="U231" s="33" t="inlineStr">
        <is>
          <t>SHG</t>
        </is>
      </c>
      <c r="V231" s="34" t="inlineStr">
        <is>
          <t>600177</t>
        </is>
      </c>
      <c r="W231" s="35" t="n">
        <v>1979.0</v>
      </c>
      <c r="X231" s="36" t="inlineStr">
        <is>
          <t/>
        </is>
      </c>
      <c r="Y231" s="37" t="inlineStr">
        <is>
          <t/>
        </is>
      </c>
      <c r="Z231" s="38" t="inlineStr">
        <is>
          <t/>
        </is>
      </c>
      <c r="AA231" s="39" t="n">
        <v>1099.19</v>
      </c>
      <c r="AB231" s="40" t="n">
        <v>657.65</v>
      </c>
      <c r="AC231" s="41" t="n">
        <v>-6.12</v>
      </c>
      <c r="AD231" s="42" t="n">
        <v>7262.44</v>
      </c>
      <c r="AE231" s="43" t="n">
        <v>238.66</v>
      </c>
      <c r="AF231" s="44" t="inlineStr">
        <is>
          <t>TTM 3Q2018</t>
        </is>
      </c>
      <c r="AG231" s="45" t="n">
        <v>175.96</v>
      </c>
      <c r="AH231" s="46" t="n">
        <v>4906.99</v>
      </c>
      <c r="AI231" s="47" t="n">
        <v>3006.45</v>
      </c>
      <c r="AJ231" s="48" t="inlineStr">
        <is>
          <t/>
        </is>
      </c>
      <c r="AK231" s="49" t="inlineStr">
        <is>
          <t/>
        </is>
      </c>
      <c r="AL231" s="50" t="inlineStr">
        <is>
          <t/>
        </is>
      </c>
      <c r="AM231" s="51" t="inlineStr">
        <is>
          <t/>
        </is>
      </c>
      <c r="AN231" s="52" t="inlineStr">
        <is>
          <t/>
        </is>
      </c>
      <c r="AO231" s="53" t="inlineStr">
        <is>
          <t>Ningbo, China</t>
        </is>
      </c>
      <c r="AP231" s="54" t="inlineStr">
        <is>
          <t>No. 2, West Section of Jingxian Avenue</t>
        </is>
      </c>
      <c r="AQ231" s="55" t="inlineStr">
        <is>
          <t>Yinzhou District, Zhejiang Province</t>
        </is>
      </c>
      <c r="AR231" s="56" t="inlineStr">
        <is>
          <t>Ningbo</t>
        </is>
      </c>
      <c r="AS231" s="57" t="inlineStr">
        <is>
          <t/>
        </is>
      </c>
      <c r="AT231" s="58" t="inlineStr">
        <is>
          <t>315153</t>
        </is>
      </c>
      <c r="AU231" s="59" t="inlineStr">
        <is>
          <t>China</t>
        </is>
      </c>
      <c r="AV231" s="60" t="inlineStr">
        <is>
          <t>+86 (0)574 8742 5136</t>
        </is>
      </c>
      <c r="AW231" s="61" t="inlineStr">
        <is>
          <t>+86 (0)574 8742 5390</t>
        </is>
      </c>
      <c r="AX231" s="62" t="inlineStr">
        <is>
          <t/>
        </is>
      </c>
      <c r="AY231" s="63" t="inlineStr">
        <is>
          <t>Asia</t>
        </is>
      </c>
      <c r="AZ231" s="64" t="inlineStr">
        <is>
          <t>East Asia</t>
        </is>
      </c>
      <c r="BA231" s="65" t="inlineStr">
        <is>
          <t/>
        </is>
      </c>
      <c r="BB231" s="66" t="inlineStr">
        <is>
          <t/>
        </is>
      </c>
      <c r="BC231" s="67" t="inlineStr">
        <is>
          <t/>
        </is>
      </c>
      <c r="BD231" s="68" t="inlineStr">
        <is>
          <t/>
        </is>
      </c>
      <c r="BE231" s="69" t="inlineStr">
        <is>
          <t/>
        </is>
      </c>
      <c r="BF231" s="70" t="inlineStr">
        <is>
          <t/>
        </is>
      </c>
      <c r="BG231" s="71" t="inlineStr">
        <is>
          <t/>
        </is>
      </c>
      <c r="BH231" s="72" t="inlineStr">
        <is>
          <t/>
        </is>
      </c>
      <c r="BI231" s="73" t="inlineStr">
        <is>
          <t/>
        </is>
      </c>
      <c r="BJ231" s="74" t="inlineStr">
        <is>
          <t/>
        </is>
      </c>
      <c r="BK231" s="75" t="inlineStr">
        <is>
          <t/>
        </is>
      </c>
      <c r="BL231" s="76" t="inlineStr">
        <is>
          <t/>
        </is>
      </c>
      <c r="BM231" s="77" t="inlineStr">
        <is>
          <t/>
        </is>
      </c>
      <c r="BN231" s="78" t="inlineStr">
        <is>
          <t/>
        </is>
      </c>
      <c r="BO231" s="79" t="inlineStr">
        <is>
          <t/>
        </is>
      </c>
      <c r="BP231" s="80" t="inlineStr">
        <is>
          <t/>
        </is>
      </c>
      <c r="BQ231" s="81" t="inlineStr">
        <is>
          <t/>
        </is>
      </c>
      <c r="BR231" s="82" t="inlineStr">
        <is>
          <t/>
        </is>
      </c>
      <c r="BS231" s="83" t="inlineStr">
        <is>
          <t/>
        </is>
      </c>
      <c r="BT231" s="84" t="inlineStr">
        <is>
          <t/>
        </is>
      </c>
      <c r="BU231" s="85" t="inlineStr">
        <is>
          <t/>
        </is>
      </c>
      <c r="BV231" s="86" t="inlineStr">
        <is>
          <t/>
        </is>
      </c>
      <c r="BW231" s="87" t="inlineStr">
        <is>
          <t/>
        </is>
      </c>
      <c r="BX231" s="88" t="inlineStr">
        <is>
          <t/>
        </is>
      </c>
      <c r="BY231" s="89" t="inlineStr">
        <is>
          <t/>
        </is>
      </c>
      <c r="BZ231" s="90" t="inlineStr">
        <is>
          <t/>
        </is>
      </c>
      <c r="CA231" s="91" t="inlineStr">
        <is>
          <t/>
        </is>
      </c>
      <c r="CB231" s="92" t="inlineStr">
        <is>
          <t/>
        </is>
      </c>
      <c r="CC231" s="93" t="inlineStr">
        <is>
          <t/>
        </is>
      </c>
      <c r="CD231" s="94" t="inlineStr">
        <is>
          <t/>
        </is>
      </c>
      <c r="CE231" s="95" t="inlineStr">
        <is>
          <t/>
        </is>
      </c>
      <c r="CF231" s="96" t="inlineStr">
        <is>
          <t/>
        </is>
      </c>
      <c r="CG231" s="97" t="inlineStr">
        <is>
          <t/>
        </is>
      </c>
      <c r="CH231" s="98" t="inlineStr">
        <is>
          <t/>
        </is>
      </c>
      <c r="CI231" s="99" t="inlineStr">
        <is>
          <t/>
        </is>
      </c>
      <c r="CJ231" s="100" t="inlineStr">
        <is>
          <t/>
        </is>
      </c>
      <c r="CK231" s="101" t="inlineStr">
        <is>
          <t/>
        </is>
      </c>
      <c r="CL231" s="102" t="inlineStr">
        <is>
          <t/>
        </is>
      </c>
      <c r="CM231" s="103" t="inlineStr">
        <is>
          <t/>
        </is>
      </c>
      <c r="CN231" s="104" t="n">
        <v>-0.53</v>
      </c>
      <c r="CO231" s="105" t="n">
        <v>7.0</v>
      </c>
      <c r="CP231" s="106" t="n">
        <v>0.15</v>
      </c>
      <c r="CQ231" s="107" t="n">
        <v>21.52</v>
      </c>
      <c r="CR231" s="108" t="n">
        <v>-0.53</v>
      </c>
      <c r="CS231" s="109" t="n">
        <v>8.0</v>
      </c>
      <c r="CT231" s="110" t="inlineStr">
        <is>
          <t/>
        </is>
      </c>
      <c r="CU231" s="111" t="inlineStr">
        <is>
          <t/>
        </is>
      </c>
      <c r="CV231" s="112" t="inlineStr">
        <is>
          <t/>
        </is>
      </c>
      <c r="CW231" s="113" t="inlineStr">
        <is>
          <t/>
        </is>
      </c>
      <c r="CX231" s="114" t="n">
        <v>-0.53</v>
      </c>
      <c r="CY231" s="115" t="n">
        <v>6.0</v>
      </c>
      <c r="CZ231" s="116" t="inlineStr">
        <is>
          <t/>
        </is>
      </c>
      <c r="DA231" s="117" t="inlineStr">
        <is>
          <t/>
        </is>
      </c>
      <c r="DB231" s="118" t="n">
        <v>5.29</v>
      </c>
      <c r="DC231" s="119" t="n">
        <v>84.0</v>
      </c>
      <c r="DD231" s="120" t="n">
        <v>1.36</v>
      </c>
      <c r="DE231" s="121" t="n">
        <v>34.6</v>
      </c>
      <c r="DF231" s="122" t="n">
        <v>5.29</v>
      </c>
      <c r="DG231" s="123" t="n">
        <v>84.0</v>
      </c>
      <c r="DH231" s="124" t="inlineStr">
        <is>
          <t/>
        </is>
      </c>
      <c r="DI231" s="125" t="inlineStr">
        <is>
          <t/>
        </is>
      </c>
      <c r="DJ231" s="126" t="inlineStr">
        <is>
          <t/>
        </is>
      </c>
      <c r="DK231" s="127" t="inlineStr">
        <is>
          <t/>
        </is>
      </c>
      <c r="DL231" s="128" t="n">
        <v>5.29</v>
      </c>
      <c r="DM231" s="129" t="n">
        <v>83.0</v>
      </c>
      <c r="DN231" s="130" t="inlineStr">
        <is>
          <t/>
        </is>
      </c>
      <c r="DO231" s="131" t="inlineStr">
        <is>
          <t/>
        </is>
      </c>
      <c r="DP231" s="132" t="inlineStr">
        <is>
          <t/>
        </is>
      </c>
      <c r="DQ231" s="133" t="inlineStr">
        <is>
          <t/>
        </is>
      </c>
      <c r="DR231" s="134" t="inlineStr">
        <is>
          <t/>
        </is>
      </c>
      <c r="DS231" s="135" t="n">
        <v>179.0</v>
      </c>
      <c r="DT231" s="136" t="n">
        <v>3.0</v>
      </c>
      <c r="DU231" s="137" t="n">
        <v>1.7</v>
      </c>
      <c r="DV231" s="138" t="inlineStr">
        <is>
          <t/>
        </is>
      </c>
      <c r="DW231" s="139" t="inlineStr">
        <is>
          <t/>
        </is>
      </c>
      <c r="DX231" s="140" t="inlineStr">
        <is>
          <t/>
        </is>
      </c>
      <c r="DY231" s="141" t="inlineStr">
        <is>
          <t>PitchBook Research</t>
        </is>
      </c>
      <c r="DZ231" s="142" t="n">
        <v>43548.0</v>
      </c>
      <c r="EA231" s="143" t="inlineStr">
        <is>
          <t/>
        </is>
      </c>
      <c r="EB231" s="144" t="inlineStr">
        <is>
          <t/>
        </is>
      </c>
      <c r="EC231" s="145" t="inlineStr">
        <is>
          <t/>
        </is>
      </c>
      <c r="ED231" s="547">
        <f>HYPERLINK("https://my.pitchbook.com?c=165748-06", "View company online")</f>
      </c>
    </row>
    <row r="232">
      <c r="A232" s="147" t="inlineStr">
        <is>
          <t>42056-38</t>
        </is>
      </c>
      <c r="B232" s="148" t="inlineStr">
        <is>
          <t>Crocs (NAS: CROX)</t>
        </is>
      </c>
      <c r="C232" s="149" t="inlineStr">
        <is>
          <t/>
        </is>
      </c>
      <c r="D232" s="150" t="inlineStr">
        <is>
          <t/>
        </is>
      </c>
      <c r="E232" s="151" t="inlineStr">
        <is>
          <t>42056-38</t>
        </is>
      </c>
      <c r="F232" s="152" t="inlineStr">
        <is>
          <t>Crocs Inc is engaged in the design, development, marketing, distribution, and sale of casual lifestyle footwear accessories for men, women, and children. The reportable geographic segments of the company include Americas, Asia pacific, and EMEA.</t>
        </is>
      </c>
      <c r="G232" s="153" t="inlineStr">
        <is>
          <t>Consumer Products and Services (B2C)</t>
        </is>
      </c>
      <c r="H232" s="154" t="inlineStr">
        <is>
          <t>Apparel and Accessories</t>
        </is>
      </c>
      <c r="I232" s="155" t="inlineStr">
        <is>
          <t>Footwear</t>
        </is>
      </c>
      <c r="J232" s="156" t="inlineStr">
        <is>
          <t>Footwear*</t>
        </is>
      </c>
      <c r="K232" s="157" t="inlineStr">
        <is>
          <t>Manufacturing</t>
        </is>
      </c>
      <c r="L232" s="158" t="inlineStr">
        <is>
          <t>apparel and accessories, footwear, sneakers and sandals</t>
        </is>
      </c>
      <c r="M232" s="159" t="inlineStr">
        <is>
          <t>Corporation</t>
        </is>
      </c>
      <c r="N232" s="160" t="n">
        <v>303.95</v>
      </c>
      <c r="O232" s="161" t="inlineStr">
        <is>
          <t>Profitable</t>
        </is>
      </c>
      <c r="P232" s="162" t="inlineStr">
        <is>
          <t>Publicly Held</t>
        </is>
      </c>
      <c r="Q232" s="163" t="inlineStr">
        <is>
          <t>Private Equity, Publicly Listed</t>
        </is>
      </c>
      <c r="R232" s="164" t="inlineStr">
        <is>
          <t>www.crocs.com</t>
        </is>
      </c>
      <c r="S232" s="165" t="n">
        <v>3901.0</v>
      </c>
      <c r="T232" s="166" t="inlineStr">
        <is>
          <t>2003: 1126, 2004: 1126, 2005: 1130, 2006: 2900, 2007: 5300, 2008: 3700, 2009: 3700, 2010: 4000, 2011: 4157, 2012: 4900, 2013: 5000, 2014: 4900, 2015: 5400, 2016: 5068, 2017: 4382, 2018: 3901</t>
        </is>
      </c>
      <c r="U232" s="167" t="inlineStr">
        <is>
          <t>NAS</t>
        </is>
      </c>
      <c r="V232" s="168" t="inlineStr">
        <is>
          <t>CROX</t>
        </is>
      </c>
      <c r="W232" s="169" t="n">
        <v>2002.0</v>
      </c>
      <c r="X232" s="170" t="inlineStr">
        <is>
          <t/>
        </is>
      </c>
      <c r="Y232" s="171" t="inlineStr">
        <is>
          <t>News (New) </t>
        </is>
      </c>
      <c r="Z232" s="172" t="inlineStr">
        <is>
          <t>News (New) </t>
        </is>
      </c>
      <c r="AA232" s="173" t="n">
        <v>1088.21</v>
      </c>
      <c r="AB232" s="174" t="n">
        <v>560.15</v>
      </c>
      <c r="AC232" s="175" t="n">
        <v>50.44</v>
      </c>
      <c r="AD232" s="176" t="n">
        <v>1717.74</v>
      </c>
      <c r="AE232" s="177" t="n">
        <v>94.08</v>
      </c>
      <c r="AF232" s="178" t="inlineStr">
        <is>
          <t>FY 2018</t>
        </is>
      </c>
      <c r="AG232" s="179" t="n">
        <v>64.83</v>
      </c>
      <c r="AH232" s="180" t="n">
        <v>1840.74</v>
      </c>
      <c r="AI232" s="181" t="n">
        <v>-3.37</v>
      </c>
      <c r="AJ232" s="182" t="inlineStr">
        <is>
          <t>56455-66P</t>
        </is>
      </c>
      <c r="AK232" s="183" t="inlineStr">
        <is>
          <t>Jeffrey Lasher</t>
        </is>
      </c>
      <c r="AL232" s="184" t="inlineStr">
        <is>
          <t>Chief Financial Officer &amp; Senior Vice President</t>
        </is>
      </c>
      <c r="AM232" s="185" t="inlineStr">
        <is>
          <t>jeffrey.lasher@westmarine.com</t>
        </is>
      </c>
      <c r="AN232" s="186" t="inlineStr">
        <is>
          <t>+1 (831) 728-2700</t>
        </is>
      </c>
      <c r="AO232" s="187" t="inlineStr">
        <is>
          <t>Longmont, CO</t>
        </is>
      </c>
      <c r="AP232" s="188" t="inlineStr">
        <is>
          <t>7477 East Dry Creek Parkway</t>
        </is>
      </c>
      <c r="AQ232" s="189" t="inlineStr">
        <is>
          <t/>
        </is>
      </c>
      <c r="AR232" s="190" t="inlineStr">
        <is>
          <t>Longmont</t>
        </is>
      </c>
      <c r="AS232" s="191" t="inlineStr">
        <is>
          <t>Colorado</t>
        </is>
      </c>
      <c r="AT232" s="192" t="inlineStr">
        <is>
          <t>80503</t>
        </is>
      </c>
      <c r="AU232" s="193" t="inlineStr">
        <is>
          <t>United States</t>
        </is>
      </c>
      <c r="AV232" s="194" t="inlineStr">
        <is>
          <t>+1 (303) 848-7000</t>
        </is>
      </c>
      <c r="AW232" s="195" t="inlineStr">
        <is>
          <t/>
        </is>
      </c>
      <c r="AX232" s="196" t="inlineStr">
        <is>
          <t/>
        </is>
      </c>
      <c r="AY232" s="197" t="inlineStr">
        <is>
          <t>Americas</t>
        </is>
      </c>
      <c r="AZ232" s="198" t="inlineStr">
        <is>
          <t>North America</t>
        </is>
      </c>
      <c r="BA232" s="199" t="inlineStr">
        <is>
          <t>The company (NASDAQ: CROX) received $200 million of development capital from The Blackstone Group on January 28, 2014, through a private placement, putting the valuation of the company at $1.53 billion.</t>
        </is>
      </c>
      <c r="BB232" s="200" t="inlineStr">
        <is>
          <t>The Blackstone Group</t>
        </is>
      </c>
      <c r="BC232" s="201" t="n">
        <v>1.0</v>
      </c>
      <c r="BD232" s="202" t="inlineStr">
        <is>
          <t/>
        </is>
      </c>
      <c r="BE232" s="203" t="inlineStr">
        <is>
          <t/>
        </is>
      </c>
      <c r="BF232" s="204" t="inlineStr">
        <is>
          <t>Kohlberg Kravis Roberts</t>
        </is>
      </c>
      <c r="BG232" s="205" t="inlineStr">
        <is>
          <t>The Blackstone Group(www.blackstone.com)</t>
        </is>
      </c>
      <c r="BH232" s="206" t="inlineStr">
        <is>
          <t/>
        </is>
      </c>
      <c r="BI232" s="207" t="inlineStr">
        <is>
          <t>Kohlberg Kravis Roberts(www.kkr.com)</t>
        </is>
      </c>
      <c r="BJ232" s="208" t="inlineStr">
        <is>
          <t>ASAP+(Consulting), Birchtree Global(Consulting), CL King &amp; Associates(Advisor: General), IRResults(Consulting), Raymond James Financial(Advisor: General)</t>
        </is>
      </c>
      <c r="BK232" s="209" t="inlineStr">
        <is>
          <t>BB&amp;T Capital Markets(Underwriter), D.A. Davidson Companies(Underwriter), Deloitte(Accounting), Faegre &amp; Benson(Legal Advisor), Moelis &amp; Company(Advisor: General), Perkins Coie(Legal Advisor), Piper Jaffray(Advisor: General), SG Cowen Securities(Underwriter), Thomas Weisel Partners Group(Cash Management), Wedbush Securities(Underwriter)</t>
        </is>
      </c>
      <c r="BL232" s="210" t="n">
        <v>38756.0</v>
      </c>
      <c r="BM232" s="211" t="n">
        <v>207.9</v>
      </c>
      <c r="BN232" s="212" t="inlineStr">
        <is>
          <t>Actual</t>
        </is>
      </c>
      <c r="BO232" s="213" t="n">
        <v>803.71</v>
      </c>
      <c r="BP232" s="214" t="inlineStr">
        <is>
          <t>Estimated</t>
        </is>
      </c>
      <c r="BQ232" s="215" t="inlineStr">
        <is>
          <t>IPO</t>
        </is>
      </c>
      <c r="BR232" s="216" t="inlineStr">
        <is>
          <t/>
        </is>
      </c>
      <c r="BS232" s="217" t="inlineStr">
        <is>
          <t/>
        </is>
      </c>
      <c r="BT232" s="218" t="inlineStr">
        <is>
          <t>Public Investment</t>
        </is>
      </c>
      <c r="BU232" s="219" t="inlineStr">
        <is>
          <t/>
        </is>
      </c>
      <c r="BV232" s="220" t="inlineStr">
        <is>
          <t/>
        </is>
      </c>
      <c r="BW232" s="221" t="inlineStr">
        <is>
          <t/>
        </is>
      </c>
      <c r="BX232" s="222" t="inlineStr">
        <is>
          <t>Completed</t>
        </is>
      </c>
      <c r="BY232" s="223" t="n">
        <v>41667.0</v>
      </c>
      <c r="BZ232" s="224" t="n">
        <v>200.0</v>
      </c>
      <c r="CA232" s="225" t="inlineStr">
        <is>
          <t/>
        </is>
      </c>
      <c r="CB232" s="226" t="n">
        <v>1538.46</v>
      </c>
      <c r="CC232" s="227" t="inlineStr">
        <is>
          <t>Estimated</t>
        </is>
      </c>
      <c r="CD232" s="228" t="inlineStr">
        <is>
          <t>PIPE</t>
        </is>
      </c>
      <c r="CE232" s="229" t="inlineStr">
        <is>
          <t/>
        </is>
      </c>
      <c r="CF232" s="230" t="inlineStr">
        <is>
          <t/>
        </is>
      </c>
      <c r="CG232" s="231" t="inlineStr">
        <is>
          <t>Private Equity</t>
        </is>
      </c>
      <c r="CH232" s="232" t="inlineStr">
        <is>
          <t/>
        </is>
      </c>
      <c r="CI232" s="233" t="inlineStr">
        <is>
          <t/>
        </is>
      </c>
      <c r="CJ232" s="234" t="inlineStr">
        <is>
          <t/>
        </is>
      </c>
      <c r="CK232" s="235" t="inlineStr">
        <is>
          <t>Completed</t>
        </is>
      </c>
      <c r="CL232" s="236" t="inlineStr">
        <is>
          <t/>
        </is>
      </c>
      <c r="CM232" s="237" t="inlineStr">
        <is>
          <t/>
        </is>
      </c>
      <c r="CN232" s="238" t="n">
        <v>1.02</v>
      </c>
      <c r="CO232" s="239" t="n">
        <v>98.0</v>
      </c>
      <c r="CP232" s="240" t="n">
        <v>-0.02</v>
      </c>
      <c r="CQ232" s="241" t="n">
        <v>-1.86</v>
      </c>
      <c r="CR232" s="242" t="n">
        <v>1.85</v>
      </c>
      <c r="CS232" s="243" t="n">
        <v>99.0</v>
      </c>
      <c r="CT232" s="244" t="n">
        <v>0.19</v>
      </c>
      <c r="CU232" s="245" t="n">
        <v>83.0</v>
      </c>
      <c r="CV232" s="246" t="n">
        <v>3.4</v>
      </c>
      <c r="CW232" s="247" t="n">
        <v>94.0</v>
      </c>
      <c r="CX232" s="248" t="n">
        <v>0.3</v>
      </c>
      <c r="CY232" s="249" t="n">
        <v>91.0</v>
      </c>
      <c r="CZ232" s="250" t="n">
        <v>0.19</v>
      </c>
      <c r="DA232" s="251" t="n">
        <v>85.0</v>
      </c>
      <c r="DB232" s="252" t="n">
        <v>311.71</v>
      </c>
      <c r="DC232" s="253" t="n">
        <v>100.0</v>
      </c>
      <c r="DD232" s="254" t="n">
        <v>-1385.53</v>
      </c>
      <c r="DE232" s="255" t="n">
        <v>-81.63</v>
      </c>
      <c r="DF232" s="256" t="n">
        <v>414.36</v>
      </c>
      <c r="DG232" s="257" t="n">
        <v>100.0</v>
      </c>
      <c r="DH232" s="258" t="n">
        <v>209.06</v>
      </c>
      <c r="DI232" s="259" t="n">
        <v>99.0</v>
      </c>
      <c r="DJ232" s="260" t="n">
        <v>576.3</v>
      </c>
      <c r="DK232" s="261" t="n">
        <v>100.0</v>
      </c>
      <c r="DL232" s="262" t="n">
        <v>252.41</v>
      </c>
      <c r="DM232" s="263" t="n">
        <v>100.0</v>
      </c>
      <c r="DN232" s="264" t="n">
        <v>209.06</v>
      </c>
      <c r="DO232" s="265" t="n">
        <v>99.0</v>
      </c>
      <c r="DP232" s="266" t="n">
        <v>411361.0</v>
      </c>
      <c r="DQ232" s="267" t="n">
        <v>-4120.0</v>
      </c>
      <c r="DR232" s="268" t="n">
        <v>-0.99</v>
      </c>
      <c r="DS232" s="269" t="n">
        <v>8560.0</v>
      </c>
      <c r="DT232" s="270" t="n">
        <v>38.0</v>
      </c>
      <c r="DU232" s="271" t="n">
        <v>0.45</v>
      </c>
      <c r="DV232" s="272" t="n">
        <v>75052.0</v>
      </c>
      <c r="DW232" s="273" t="n">
        <v>18.0</v>
      </c>
      <c r="DX232" s="274" t="n">
        <v>0.02</v>
      </c>
      <c r="DY232" s="275" t="inlineStr">
        <is>
          <t>PitchBook Research</t>
        </is>
      </c>
      <c r="DZ232" s="276" t="n">
        <v>43526.0</v>
      </c>
      <c r="EA232" s="277" t="n">
        <v>1538.46</v>
      </c>
      <c r="EB232" s="278" t="n">
        <v>41667.0</v>
      </c>
      <c r="EC232" s="279" t="inlineStr">
        <is>
          <t>PIPE</t>
        </is>
      </c>
      <c r="ED232" s="548">
        <f>HYPERLINK("https://my.pitchbook.com?c=42056-38", "View company online")</f>
      </c>
    </row>
    <row r="233">
      <c r="A233" s="13" t="inlineStr">
        <is>
          <t>59287-42</t>
        </is>
      </c>
      <c r="B233" s="14" t="inlineStr">
        <is>
          <t>Chiyoda (TKS: 8185)</t>
        </is>
      </c>
      <c r="C233" s="15" t="inlineStr">
        <is>
          <t/>
        </is>
      </c>
      <c r="D233" s="16" t="inlineStr">
        <is>
          <t/>
        </is>
      </c>
      <c r="E233" s="17" t="inlineStr">
        <is>
          <t>59287-42</t>
        </is>
      </c>
      <c r="F233" s="18" t="inlineStr">
        <is>
          <t>Chiyoda Co., Ltd. operates shoe and clothing retail stores in Japan. The shoe segment accounts for roughly three fourths of total company revenue. Chiyoda has more than 1,000 shoe stores, which sell both private-label and national brands and operate primarily under the names Shoe Plaza and Tokyo Shoes Retailing Center. Most of Chiyoda's shoe sales are in the athletic footwear, adult men's, and adult women's categories. The remaining sales are in the clothing segment, where the company operates nearly 500 stores, primarily under the Mac-House brand name.</t>
        </is>
      </c>
      <c r="G233" s="19" t="inlineStr">
        <is>
          <t>Consumer Products and Services (B2C)</t>
        </is>
      </c>
      <c r="H233" s="20" t="inlineStr">
        <is>
          <t>Apparel and Accessories</t>
        </is>
      </c>
      <c r="I233" s="21" t="inlineStr">
        <is>
          <t>Footwear</t>
        </is>
      </c>
      <c r="J233" s="22" t="inlineStr">
        <is>
          <t>Department Stores, Footwear*, Other Consumer Durables, Specialty Retail</t>
        </is>
      </c>
      <c r="K233" s="23" t="inlineStr">
        <is>
          <t>Manufacturing</t>
        </is>
      </c>
      <c r="L233" s="24" t="inlineStr">
        <is>
          <t/>
        </is>
      </c>
      <c r="M233" s="25" t="inlineStr">
        <is>
          <t>Corporation</t>
        </is>
      </c>
      <c r="N233" s="26" t="inlineStr">
        <is>
          <t/>
        </is>
      </c>
      <c r="O233" s="27" t="inlineStr">
        <is>
          <t>Profitable</t>
        </is>
      </c>
      <c r="P233" s="28" t="inlineStr">
        <is>
          <t>Publicly Held</t>
        </is>
      </c>
      <c r="Q233" s="29" t="inlineStr">
        <is>
          <t>Publicly Listed</t>
        </is>
      </c>
      <c r="R233" s="30" t="inlineStr">
        <is>
          <t>www.chiyodagrp.co.jp</t>
        </is>
      </c>
      <c r="S233" s="31" t="n">
        <v>6281.0</v>
      </c>
      <c r="T233" s="32" t="inlineStr">
        <is>
          <t>2007: 2585, 2008: 2608, 2009: 2605, 2010: 2650, 2011: 2465, 2012: 2117, 2013: 2041, 2014: 2001, 2015: 1919, 2016: 1915, 2017: 1828, 2018: 6281</t>
        </is>
      </c>
      <c r="U233" s="33" t="inlineStr">
        <is>
          <t>TKS</t>
        </is>
      </c>
      <c r="V233" s="34" t="inlineStr">
        <is>
          <t>8185</t>
        </is>
      </c>
      <c r="W233" s="35" t="inlineStr">
        <is>
          <t/>
        </is>
      </c>
      <c r="X233" s="36" t="inlineStr">
        <is>
          <t/>
        </is>
      </c>
      <c r="Y233" s="37" t="inlineStr">
        <is>
          <t/>
        </is>
      </c>
      <c r="Z233" s="38" t="inlineStr">
        <is>
          <t/>
        </is>
      </c>
      <c r="AA233" s="39" t="n">
        <v>1084.84</v>
      </c>
      <c r="AB233" s="40" t="n">
        <v>531.5</v>
      </c>
      <c r="AC233" s="41" t="n">
        <v>14.35</v>
      </c>
      <c r="AD233" s="42" t="n">
        <v>329.39</v>
      </c>
      <c r="AE233" s="43" t="n">
        <v>45.18</v>
      </c>
      <c r="AF233" s="44" t="inlineStr">
        <is>
          <t>TTM 3Q2019</t>
        </is>
      </c>
      <c r="AG233" s="45" t="n">
        <v>31.38</v>
      </c>
      <c r="AH233" s="46" t="n">
        <v>578.98</v>
      </c>
      <c r="AI233" s="47" t="n">
        <v>-317.08</v>
      </c>
      <c r="AJ233" s="48" t="inlineStr">
        <is>
          <t>143336-17P</t>
        </is>
      </c>
      <c r="AK233" s="49" t="inlineStr">
        <is>
          <t>Shogo Shibuya</t>
        </is>
      </c>
      <c r="AL233" s="50" t="inlineStr">
        <is>
          <t>President &amp; Chief Executive Officer</t>
        </is>
      </c>
      <c r="AM233" s="51" t="inlineStr">
        <is>
          <t>shogo.shibuya@chiyoda-corp.com</t>
        </is>
      </c>
      <c r="AN233" s="52" t="inlineStr">
        <is>
          <t>+81 (0)33 316 4131</t>
        </is>
      </c>
      <c r="AO233" s="53" t="inlineStr">
        <is>
          <t>Tokyo, Japan</t>
        </is>
      </c>
      <c r="AP233" s="54" t="inlineStr">
        <is>
          <t>4-39-8 Narita-Higashi</t>
        </is>
      </c>
      <c r="AQ233" s="55" t="inlineStr">
        <is>
          <t>Sunginami-ku</t>
        </is>
      </c>
      <c r="AR233" s="56" t="inlineStr">
        <is>
          <t>Tokyo</t>
        </is>
      </c>
      <c r="AS233" s="57" t="inlineStr">
        <is>
          <t/>
        </is>
      </c>
      <c r="AT233" s="58" t="inlineStr">
        <is>
          <t>166-8506</t>
        </is>
      </c>
      <c r="AU233" s="59" t="inlineStr">
        <is>
          <t>Japan</t>
        </is>
      </c>
      <c r="AV233" s="60" t="inlineStr">
        <is>
          <t>+81 (0)33 316 4131</t>
        </is>
      </c>
      <c r="AW233" s="61" t="inlineStr">
        <is>
          <t>+81 (0)33 317 2852</t>
        </is>
      </c>
      <c r="AX233" s="62" t="inlineStr">
        <is>
          <t/>
        </is>
      </c>
      <c r="AY233" s="63" t="inlineStr">
        <is>
          <t>Asia</t>
        </is>
      </c>
      <c r="AZ233" s="64" t="inlineStr">
        <is>
          <t>East Asia</t>
        </is>
      </c>
      <c r="BA233" s="65" t="inlineStr">
        <is>
          <t/>
        </is>
      </c>
      <c r="BB233" s="66" t="inlineStr">
        <is>
          <t/>
        </is>
      </c>
      <c r="BC233" s="67" t="inlineStr">
        <is>
          <t/>
        </is>
      </c>
      <c r="BD233" s="68" t="inlineStr">
        <is>
          <t/>
        </is>
      </c>
      <c r="BE233" s="69" t="inlineStr">
        <is>
          <t/>
        </is>
      </c>
      <c r="BF233" s="70" t="inlineStr">
        <is>
          <t/>
        </is>
      </c>
      <c r="BG233" s="71" t="inlineStr">
        <is>
          <t/>
        </is>
      </c>
      <c r="BH233" s="72" t="inlineStr">
        <is>
          <t/>
        </is>
      </c>
      <c r="BI233" s="73" t="inlineStr">
        <is>
          <t/>
        </is>
      </c>
      <c r="BJ233" s="74" t="inlineStr">
        <is>
          <t/>
        </is>
      </c>
      <c r="BK233" s="75" t="inlineStr">
        <is>
          <t/>
        </is>
      </c>
      <c r="BL233" s="76" t="inlineStr">
        <is>
          <t/>
        </is>
      </c>
      <c r="BM233" s="77" t="inlineStr">
        <is>
          <t/>
        </is>
      </c>
      <c r="BN233" s="78" t="inlineStr">
        <is>
          <t/>
        </is>
      </c>
      <c r="BO233" s="79" t="inlineStr">
        <is>
          <t/>
        </is>
      </c>
      <c r="BP233" s="80" t="inlineStr">
        <is>
          <t/>
        </is>
      </c>
      <c r="BQ233" s="81" t="inlineStr">
        <is>
          <t/>
        </is>
      </c>
      <c r="BR233" s="82" t="inlineStr">
        <is>
          <t/>
        </is>
      </c>
      <c r="BS233" s="83" t="inlineStr">
        <is>
          <t/>
        </is>
      </c>
      <c r="BT233" s="84" t="inlineStr">
        <is>
          <t/>
        </is>
      </c>
      <c r="BU233" s="85" t="inlineStr">
        <is>
          <t/>
        </is>
      </c>
      <c r="BV233" s="86" t="inlineStr">
        <is>
          <t/>
        </is>
      </c>
      <c r="BW233" s="87" t="inlineStr">
        <is>
          <t/>
        </is>
      </c>
      <c r="BX233" s="88" t="inlineStr">
        <is>
          <t/>
        </is>
      </c>
      <c r="BY233" s="89" t="inlineStr">
        <is>
          <t/>
        </is>
      </c>
      <c r="BZ233" s="90" t="inlineStr">
        <is>
          <t/>
        </is>
      </c>
      <c r="CA233" s="91" t="inlineStr">
        <is>
          <t/>
        </is>
      </c>
      <c r="CB233" s="92" t="inlineStr">
        <is>
          <t/>
        </is>
      </c>
      <c r="CC233" s="93" t="inlineStr">
        <is>
          <t/>
        </is>
      </c>
      <c r="CD233" s="94" t="inlineStr">
        <is>
          <t/>
        </is>
      </c>
      <c r="CE233" s="95" t="inlineStr">
        <is>
          <t/>
        </is>
      </c>
      <c r="CF233" s="96" t="inlineStr">
        <is>
          <t/>
        </is>
      </c>
      <c r="CG233" s="97" t="inlineStr">
        <is>
          <t/>
        </is>
      </c>
      <c r="CH233" s="98" t="inlineStr">
        <is>
          <t/>
        </is>
      </c>
      <c r="CI233" s="99" t="inlineStr">
        <is>
          <t/>
        </is>
      </c>
      <c r="CJ233" s="100" t="inlineStr">
        <is>
          <t/>
        </is>
      </c>
      <c r="CK233" s="101" t="inlineStr">
        <is>
          <t/>
        </is>
      </c>
      <c r="CL233" s="102" t="inlineStr">
        <is>
          <t/>
        </is>
      </c>
      <c r="CM233" s="103" t="inlineStr">
        <is>
          <t/>
        </is>
      </c>
      <c r="CN233" s="104" t="n">
        <v>0.1</v>
      </c>
      <c r="CO233" s="105" t="n">
        <v>85.0</v>
      </c>
      <c r="CP233" s="106" t="n">
        <v>0.04</v>
      </c>
      <c r="CQ233" s="107" t="n">
        <v>57.67</v>
      </c>
      <c r="CR233" s="108" t="n">
        <v>0.16</v>
      </c>
      <c r="CS233" s="109" t="n">
        <v>88.0</v>
      </c>
      <c r="CT233" s="110" t="n">
        <v>0.04</v>
      </c>
      <c r="CU233" s="111" t="n">
        <v>62.0</v>
      </c>
      <c r="CV233" s="112" t="inlineStr">
        <is>
          <t/>
        </is>
      </c>
      <c r="CW233" s="113" t="inlineStr">
        <is>
          <t/>
        </is>
      </c>
      <c r="CX233" s="114" t="n">
        <v>0.16</v>
      </c>
      <c r="CY233" s="115" t="n">
        <v>88.0</v>
      </c>
      <c r="CZ233" s="116" t="n">
        <v>0.04</v>
      </c>
      <c r="DA233" s="117" t="n">
        <v>67.0</v>
      </c>
      <c r="DB233" s="118" t="n">
        <v>29.62</v>
      </c>
      <c r="DC233" s="119" t="n">
        <v>97.0</v>
      </c>
      <c r="DD233" s="120" t="n">
        <v>5.77</v>
      </c>
      <c r="DE233" s="121" t="n">
        <v>24.21</v>
      </c>
      <c r="DF233" s="122" t="n">
        <v>46.71</v>
      </c>
      <c r="DG233" s="123" t="n">
        <v>98.0</v>
      </c>
      <c r="DH233" s="124" t="n">
        <v>12.53</v>
      </c>
      <c r="DI233" s="125" t="n">
        <v>88.0</v>
      </c>
      <c r="DJ233" s="126" t="inlineStr">
        <is>
          <t/>
        </is>
      </c>
      <c r="DK233" s="127" t="inlineStr">
        <is>
          <t/>
        </is>
      </c>
      <c r="DL233" s="128" t="n">
        <v>46.71</v>
      </c>
      <c r="DM233" s="129" t="n">
        <v>98.0</v>
      </c>
      <c r="DN233" s="130" t="n">
        <v>12.53</v>
      </c>
      <c r="DO233" s="131" t="n">
        <v>89.0</v>
      </c>
      <c r="DP233" s="132" t="inlineStr">
        <is>
          <t/>
        </is>
      </c>
      <c r="DQ233" s="133" t="inlineStr">
        <is>
          <t/>
        </is>
      </c>
      <c r="DR233" s="134" t="inlineStr">
        <is>
          <t/>
        </is>
      </c>
      <c r="DS233" s="135" t="n">
        <v>1587.0</v>
      </c>
      <c r="DT233" s="136" t="n">
        <v>4.0</v>
      </c>
      <c r="DU233" s="137" t="n">
        <v>0.25</v>
      </c>
      <c r="DV233" s="138" t="n">
        <v>4502.0</v>
      </c>
      <c r="DW233" s="139" t="n">
        <v>3.0</v>
      </c>
      <c r="DX233" s="140" t="n">
        <v>0.07</v>
      </c>
      <c r="DY233" s="141" t="inlineStr">
        <is>
          <t>PitchBook Research</t>
        </is>
      </c>
      <c r="DZ233" s="142" t="n">
        <v>43491.0</v>
      </c>
      <c r="EA233" s="143" t="inlineStr">
        <is>
          <t/>
        </is>
      </c>
      <c r="EB233" s="144" t="inlineStr">
        <is>
          <t/>
        </is>
      </c>
      <c r="EC233" s="145" t="inlineStr">
        <is>
          <t/>
        </is>
      </c>
      <c r="ED233" s="547">
        <f>HYPERLINK("https://my.pitchbook.com?c=59287-42", "View company online")</f>
      </c>
    </row>
    <row r="234">
      <c r="A234" s="147" t="inlineStr">
        <is>
          <t>42135-94</t>
        </is>
      </c>
      <c r="B234" s="148" t="inlineStr">
        <is>
          <t>Maurices</t>
        </is>
      </c>
      <c r="C234" s="149" t="inlineStr">
        <is>
          <t/>
        </is>
      </c>
      <c r="D234" s="150" t="inlineStr">
        <is>
          <t/>
        </is>
      </c>
      <c r="E234" s="151" t="inlineStr">
        <is>
          <t>42135-94</t>
        </is>
      </c>
      <c r="F234" s="152" t="inlineStr">
        <is>
          <t>Operator of a women's clothing retail chain in the United States. The company chain comprises more than 1,000 stores, primarily located in shopping malls and smaller towns offering authentic style clothing outfits to the fashion conscious customer.</t>
        </is>
      </c>
      <c r="G234" s="153" t="inlineStr">
        <is>
          <t>Consumer Products and Services (B2C)</t>
        </is>
      </c>
      <c r="H234" s="154" t="inlineStr">
        <is>
          <t>Apparel and Accessories</t>
        </is>
      </c>
      <c r="I234" s="155" t="inlineStr">
        <is>
          <t>Clothing</t>
        </is>
      </c>
      <c r="J234" s="156" t="inlineStr">
        <is>
          <t>Clothing*</t>
        </is>
      </c>
      <c r="K234" s="157" t="inlineStr">
        <is>
          <t/>
        </is>
      </c>
      <c r="L234" s="158" t="inlineStr">
        <is>
          <t>dresses, pullovers, trousers and jeans, women's apparel</t>
        </is>
      </c>
      <c r="M234" s="159" t="inlineStr">
        <is>
          <t>Formerly PE-Backed</t>
        </is>
      </c>
      <c r="N234" s="160" t="inlineStr">
        <is>
          <t/>
        </is>
      </c>
      <c r="O234" s="161" t="inlineStr">
        <is>
          <t>Profitable</t>
        </is>
      </c>
      <c r="P234" s="162" t="inlineStr">
        <is>
          <t>Acquired/Merged (Operating Subsidiary)</t>
        </is>
      </c>
      <c r="Q234" s="163" t="inlineStr">
        <is>
          <t>Private Equity</t>
        </is>
      </c>
      <c r="R234" s="164" t="inlineStr">
        <is>
          <t>www.maurices.com</t>
        </is>
      </c>
      <c r="S234" s="165" t="n">
        <v>5001.0</v>
      </c>
      <c r="T234" s="166" t="inlineStr">
        <is>
          <t>2016: 5001</t>
        </is>
      </c>
      <c r="U234" s="167" t="inlineStr">
        <is>
          <t/>
        </is>
      </c>
      <c r="V234" s="168" t="inlineStr">
        <is>
          <t/>
        </is>
      </c>
      <c r="W234" s="169" t="n">
        <v>1931.0</v>
      </c>
      <c r="X234" s="170" t="inlineStr">
        <is>
          <t>Ascena Retail Group</t>
        </is>
      </c>
      <c r="Y234" s="171" t="inlineStr">
        <is>
          <t>Deal (New) Buyout/LBO, 2019|Announced/In Progress, News (New) </t>
        </is>
      </c>
      <c r="Z234" s="172" t="inlineStr">
        <is>
          <t>Deal (New) Buyout/LBO, 2019|Announced/In Progress, News (New) , Competitor (New) Yandy</t>
        </is>
      </c>
      <c r="AA234" s="173" t="n">
        <v>1075.47</v>
      </c>
      <c r="AB234" s="174" t="inlineStr">
        <is>
          <t/>
        </is>
      </c>
      <c r="AC234" s="175" t="inlineStr">
        <is>
          <t/>
        </is>
      </c>
      <c r="AD234" s="176" t="inlineStr">
        <is>
          <t/>
        </is>
      </c>
      <c r="AE234" s="177" t="inlineStr">
        <is>
          <t/>
        </is>
      </c>
      <c r="AF234" s="178" t="inlineStr">
        <is>
          <t>FY 2015</t>
        </is>
      </c>
      <c r="AG234" s="179" t="inlineStr">
        <is>
          <t/>
        </is>
      </c>
      <c r="AH234" s="180" t="inlineStr">
        <is>
          <t/>
        </is>
      </c>
      <c r="AI234" s="181" t="inlineStr">
        <is>
          <t/>
        </is>
      </c>
      <c r="AJ234" s="182" t="inlineStr">
        <is>
          <t>135460-63P</t>
        </is>
      </c>
      <c r="AK234" s="183" t="inlineStr">
        <is>
          <t>Brian Thun</t>
        </is>
      </c>
      <c r="AL234" s="184" t="inlineStr">
        <is>
          <t>Chief Financial Officer &amp; Senior Vice President</t>
        </is>
      </c>
      <c r="AM234" s="185" t="inlineStr">
        <is>
          <t>bthun@maurices.com</t>
        </is>
      </c>
      <c r="AN234" s="186" t="inlineStr">
        <is>
          <t>+1 (218) 727-8431</t>
        </is>
      </c>
      <c r="AO234" s="187" t="inlineStr">
        <is>
          <t>Duluth, MN</t>
        </is>
      </c>
      <c r="AP234" s="188" t="inlineStr">
        <is>
          <t>105 West Superior Street</t>
        </is>
      </c>
      <c r="AQ234" s="189" t="inlineStr">
        <is>
          <t/>
        </is>
      </c>
      <c r="AR234" s="190" t="inlineStr">
        <is>
          <t>Duluth</t>
        </is>
      </c>
      <c r="AS234" s="191" t="inlineStr">
        <is>
          <t>Minnesota</t>
        </is>
      </c>
      <c r="AT234" s="192" t="inlineStr">
        <is>
          <t>55802</t>
        </is>
      </c>
      <c r="AU234" s="193" t="inlineStr">
        <is>
          <t>United States</t>
        </is>
      </c>
      <c r="AV234" s="194" t="inlineStr">
        <is>
          <t>+1 (218) 727-8431</t>
        </is>
      </c>
      <c r="AW234" s="195" t="inlineStr">
        <is>
          <t>+1 (218) 720-2102</t>
        </is>
      </c>
      <c r="AX234" s="196" t="inlineStr">
        <is>
          <t/>
        </is>
      </c>
      <c r="AY234" s="197" t="inlineStr">
        <is>
          <t>Americas</t>
        </is>
      </c>
      <c r="AZ234" s="198" t="inlineStr">
        <is>
          <t>North America</t>
        </is>
      </c>
      <c r="BA234" s="199" t="inlineStr">
        <is>
          <t>The company entered into a definitive agreement to be acquired by OpCapita through an LBO on March 25, 2019 for an undisclosed sum. The transaction furthers the development of the company's platform services business, and is structured to allow ascena to participate in potential upside by partnering with a strong operator who has a history of success in apparel retailing. Previously, the company was acquired by Ascena Retail Group (NAS: ASNA) for $320 million on January 3, 2005. The company is being actively tracked by PitchBook.</t>
        </is>
      </c>
      <c r="BB234" s="200" t="inlineStr">
        <is>
          <t>Ascena Retail Group</t>
        </is>
      </c>
      <c r="BC234" s="201" t="n">
        <v>1.0</v>
      </c>
      <c r="BD234" s="202" t="inlineStr">
        <is>
          <t/>
        </is>
      </c>
      <c r="BE234" s="203" t="inlineStr">
        <is>
          <t>Advent International, American Retail Group</t>
        </is>
      </c>
      <c r="BF234" s="204" t="inlineStr">
        <is>
          <t>OpCapita</t>
        </is>
      </c>
      <c r="BG234" s="205" t="inlineStr">
        <is>
          <t>Ascena Retail Group(www.ascenaretail.com)</t>
        </is>
      </c>
      <c r="BH234" s="206" t="inlineStr">
        <is>
          <t>Advent International(www.adventinternational.com), American Retail Group(www.american-retail-group.com)</t>
        </is>
      </c>
      <c r="BI234" s="207" t="inlineStr">
        <is>
          <t>OpCapita(www.opcapita.com)</t>
        </is>
      </c>
      <c r="BJ234" s="208" t="inlineStr">
        <is>
          <t>Opus Law Group(Legal Advisor)</t>
        </is>
      </c>
      <c r="BK234" s="209" t="inlineStr">
        <is>
          <t>Guggenheim Securities(Advisor: General), Proskauer Rose(Legal Advisor)</t>
        </is>
      </c>
      <c r="BL234" s="210" t="n">
        <v>34608.0</v>
      </c>
      <c r="BM234" s="211" t="inlineStr">
        <is>
          <t/>
        </is>
      </c>
      <c r="BN234" s="212" t="inlineStr">
        <is>
          <t/>
        </is>
      </c>
      <c r="BO234" s="213" t="inlineStr">
        <is>
          <t/>
        </is>
      </c>
      <c r="BP234" s="214" t="inlineStr">
        <is>
          <t/>
        </is>
      </c>
      <c r="BQ234" s="215" t="inlineStr">
        <is>
          <t>PE Growth/Expansion</t>
        </is>
      </c>
      <c r="BR234" s="216" t="inlineStr">
        <is>
          <t/>
        </is>
      </c>
      <c r="BS234" s="217" t="inlineStr">
        <is>
          <t/>
        </is>
      </c>
      <c r="BT234" s="218" t="inlineStr">
        <is>
          <t>Private Equity</t>
        </is>
      </c>
      <c r="BU234" s="219" t="inlineStr">
        <is>
          <t/>
        </is>
      </c>
      <c r="BV234" s="220" t="inlineStr">
        <is>
          <t/>
        </is>
      </c>
      <c r="BW234" s="221" t="inlineStr">
        <is>
          <t/>
        </is>
      </c>
      <c r="BX234" s="222" t="inlineStr">
        <is>
          <t>Completed</t>
        </is>
      </c>
      <c r="BY234" s="223" t="n">
        <v>43549.0</v>
      </c>
      <c r="BZ234" s="224" t="inlineStr">
        <is>
          <t/>
        </is>
      </c>
      <c r="CA234" s="225" t="inlineStr">
        <is>
          <t/>
        </is>
      </c>
      <c r="CB234" s="226" t="n">
        <v>300.0</v>
      </c>
      <c r="CC234" s="227" t="inlineStr">
        <is>
          <t>Estimated</t>
        </is>
      </c>
      <c r="CD234" s="228" t="inlineStr">
        <is>
          <t>Buyout/LBO</t>
        </is>
      </c>
      <c r="CE234" s="229" t="inlineStr">
        <is>
          <t>Corporate Divestiture</t>
        </is>
      </c>
      <c r="CF234" s="230" t="inlineStr">
        <is>
          <t/>
        </is>
      </c>
      <c r="CG234" s="231" t="inlineStr">
        <is>
          <t>Private Equity</t>
        </is>
      </c>
      <c r="CH234" s="232" t="inlineStr">
        <is>
          <t/>
        </is>
      </c>
      <c r="CI234" s="233" t="inlineStr">
        <is>
          <t/>
        </is>
      </c>
      <c r="CJ234" s="234" t="inlineStr">
        <is>
          <t/>
        </is>
      </c>
      <c r="CK234" s="235" t="inlineStr">
        <is>
          <t>Announced/In Progress</t>
        </is>
      </c>
      <c r="CL234" s="236" t="inlineStr">
        <is>
          <t/>
        </is>
      </c>
      <c r="CM234" s="237" t="inlineStr">
        <is>
          <t/>
        </is>
      </c>
      <c r="CN234" s="238" t="inlineStr">
        <is>
          <t/>
        </is>
      </c>
      <c r="CO234" s="239" t="inlineStr">
        <is>
          <t/>
        </is>
      </c>
      <c r="CP234" s="240" t="inlineStr">
        <is>
          <t/>
        </is>
      </c>
      <c r="CQ234" s="241" t="inlineStr">
        <is>
          <t/>
        </is>
      </c>
      <c r="CR234" s="242" t="inlineStr">
        <is>
          <t/>
        </is>
      </c>
      <c r="CS234" s="243" t="inlineStr">
        <is>
          <t/>
        </is>
      </c>
      <c r="CT234" s="244" t="inlineStr">
        <is>
          <t/>
        </is>
      </c>
      <c r="CU234" s="245" t="inlineStr">
        <is>
          <t/>
        </is>
      </c>
      <c r="CV234" s="246" t="inlineStr">
        <is>
          <t/>
        </is>
      </c>
      <c r="CW234" s="247" t="inlineStr">
        <is>
          <t/>
        </is>
      </c>
      <c r="CX234" s="248" t="inlineStr">
        <is>
          <t/>
        </is>
      </c>
      <c r="CY234" s="249" t="inlineStr">
        <is>
          <t/>
        </is>
      </c>
      <c r="CZ234" s="250" t="inlineStr">
        <is>
          <t/>
        </is>
      </c>
      <c r="DA234" s="251" t="inlineStr">
        <is>
          <t/>
        </is>
      </c>
      <c r="DB234" s="252" t="inlineStr">
        <is>
          <t/>
        </is>
      </c>
      <c r="DC234" s="253" t="inlineStr">
        <is>
          <t/>
        </is>
      </c>
      <c r="DD234" s="254" t="inlineStr">
        <is>
          <t/>
        </is>
      </c>
      <c r="DE234" s="255" t="inlineStr">
        <is>
          <t/>
        </is>
      </c>
      <c r="DF234" s="256" t="inlineStr">
        <is>
          <t/>
        </is>
      </c>
      <c r="DG234" s="257" t="inlineStr">
        <is>
          <t/>
        </is>
      </c>
      <c r="DH234" s="258" t="inlineStr">
        <is>
          <t/>
        </is>
      </c>
      <c r="DI234" s="259" t="inlineStr">
        <is>
          <t/>
        </is>
      </c>
      <c r="DJ234" s="260" t="inlineStr">
        <is>
          <t/>
        </is>
      </c>
      <c r="DK234" s="261" t="inlineStr">
        <is>
          <t/>
        </is>
      </c>
      <c r="DL234" s="262" t="inlineStr">
        <is>
          <t/>
        </is>
      </c>
      <c r="DM234" s="263" t="inlineStr">
        <is>
          <t/>
        </is>
      </c>
      <c r="DN234" s="264" t="inlineStr">
        <is>
          <t/>
        </is>
      </c>
      <c r="DO234" s="265" t="inlineStr">
        <is>
          <t/>
        </is>
      </c>
      <c r="DP234" s="266" t="inlineStr">
        <is>
          <t/>
        </is>
      </c>
      <c r="DQ234" s="267" t="inlineStr">
        <is>
          <t/>
        </is>
      </c>
      <c r="DR234" s="268" t="inlineStr">
        <is>
          <t/>
        </is>
      </c>
      <c r="DS234" s="269" t="inlineStr">
        <is>
          <t/>
        </is>
      </c>
      <c r="DT234" s="270" t="inlineStr">
        <is>
          <t/>
        </is>
      </c>
      <c r="DU234" s="271" t="inlineStr">
        <is>
          <t/>
        </is>
      </c>
      <c r="DV234" s="272" t="inlineStr">
        <is>
          <t/>
        </is>
      </c>
      <c r="DW234" s="273" t="inlineStr">
        <is>
          <t/>
        </is>
      </c>
      <c r="DX234" s="274" t="inlineStr">
        <is>
          <t/>
        </is>
      </c>
      <c r="DY234" s="275" t="inlineStr">
        <is>
          <t>PitchBook Research</t>
        </is>
      </c>
      <c r="DZ234" s="276" t="n">
        <v>43549.0</v>
      </c>
      <c r="EA234" s="277" t="n">
        <v>300.0</v>
      </c>
      <c r="EB234" s="278" t="n">
        <v>43549.0</v>
      </c>
      <c r="EC234" s="279" t="inlineStr">
        <is>
          <t>Buyout/LBO</t>
        </is>
      </c>
      <c r="ED234" s="548">
        <f>HYPERLINK("https://my.pitchbook.com?c=42135-94", "View company online")</f>
      </c>
    </row>
    <row r="235">
      <c r="A235" s="13" t="inlineStr">
        <is>
          <t>11053-63</t>
        </is>
      </c>
      <c r="B235" s="14" t="inlineStr">
        <is>
          <t>Camaieu</t>
        </is>
      </c>
      <c r="C235" s="15" t="inlineStr">
        <is>
          <t/>
        </is>
      </c>
      <c r="D235" s="16" t="inlineStr">
        <is>
          <t/>
        </is>
      </c>
      <c r="E235" s="17" t="inlineStr">
        <is>
          <t>11053-63</t>
        </is>
      </c>
      <c r="F235" s="18" t="inlineStr">
        <is>
          <t>Designer and retailer of apparel and accessories for women. The company offers clothing for women, including T-shirts, skirts, coats and jackets, as well as handbags and related accessories, through its boutiques in France and via online stores.</t>
        </is>
      </c>
      <c r="G235" s="19" t="inlineStr">
        <is>
          <t>Consumer Products and Services (B2C)</t>
        </is>
      </c>
      <c r="H235" s="20" t="inlineStr">
        <is>
          <t>Restaurants, Hotels and Leisure</t>
        </is>
      </c>
      <c r="I235" s="21" t="inlineStr">
        <is>
          <t>Other Restaurants, Hotels and Leisure</t>
        </is>
      </c>
      <c r="J235" s="22" t="inlineStr">
        <is>
          <t>Accessories, Clothing, Other Restaurants, Hotels and Leisure*</t>
        </is>
      </c>
      <c r="K235" s="23" t="inlineStr">
        <is>
          <t>E-Commerce, Manufacturing, TMT</t>
        </is>
      </c>
      <c r="L235" s="24" t="inlineStr">
        <is>
          <t>apparel and accessories, online retailer, women clothing</t>
        </is>
      </c>
      <c r="M235" s="25" t="inlineStr">
        <is>
          <t>Private Equity-Backed</t>
        </is>
      </c>
      <c r="N235" s="26" t="n">
        <v>539.48</v>
      </c>
      <c r="O235" s="27" t="inlineStr">
        <is>
          <t>Generating Revenue</t>
        </is>
      </c>
      <c r="P235" s="28" t="inlineStr">
        <is>
          <t>Privately Held (backing)</t>
        </is>
      </c>
      <c r="Q235" s="29" t="inlineStr">
        <is>
          <t>Private Equity, Publicly Listed, Venture Capital</t>
        </is>
      </c>
      <c r="R235" s="30" t="inlineStr">
        <is>
          <t>www.camaieu.com</t>
        </is>
      </c>
      <c r="S235" s="31" t="n">
        <v>6000.0</v>
      </c>
      <c r="T235" s="32" t="inlineStr">
        <is>
          <t>2013: 6000</t>
        </is>
      </c>
      <c r="U235" s="33" t="inlineStr">
        <is>
          <t/>
        </is>
      </c>
      <c r="V235" s="34" t="inlineStr">
        <is>
          <t/>
        </is>
      </c>
      <c r="W235" s="35" t="n">
        <v>1984.0</v>
      </c>
      <c r="X235" s="36" t="inlineStr">
        <is>
          <t/>
        </is>
      </c>
      <c r="Y235" s="37" t="inlineStr">
        <is>
          <t/>
        </is>
      </c>
      <c r="Z235" s="38" t="inlineStr">
        <is>
          <t/>
        </is>
      </c>
      <c r="AA235" s="39" t="n">
        <v>1072.81</v>
      </c>
      <c r="AB235" s="40" t="inlineStr">
        <is>
          <t/>
        </is>
      </c>
      <c r="AC235" s="41" t="inlineStr">
        <is>
          <t/>
        </is>
      </c>
      <c r="AD235" s="42" t="inlineStr">
        <is>
          <t/>
        </is>
      </c>
      <c r="AE235" s="43" t="inlineStr">
        <is>
          <t/>
        </is>
      </c>
      <c r="AF235" s="44" t="inlineStr">
        <is>
          <t>FY 2010</t>
        </is>
      </c>
      <c r="AG235" s="45" t="inlineStr">
        <is>
          <t/>
        </is>
      </c>
      <c r="AH235" s="46" t="inlineStr">
        <is>
          <t/>
        </is>
      </c>
      <c r="AI235" s="47" t="inlineStr">
        <is>
          <t/>
        </is>
      </c>
      <c r="AJ235" s="48" t="inlineStr">
        <is>
          <t>60899-59P</t>
        </is>
      </c>
      <c r="AK235" s="49" t="inlineStr">
        <is>
          <t>Christian Watry</t>
        </is>
      </c>
      <c r="AL235" s="50" t="inlineStr">
        <is>
          <t>Member of the Management Board and Financial Director</t>
        </is>
      </c>
      <c r="AM235" s="51" t="inlineStr">
        <is>
          <t>cwatry@camaieu.com</t>
        </is>
      </c>
      <c r="AN235" s="52" t="inlineStr">
        <is>
          <t>+33 (0)3 20 99 71 13</t>
        </is>
      </c>
      <c r="AO235" s="53" t="inlineStr">
        <is>
          <t>Roubaix, France</t>
        </is>
      </c>
      <c r="AP235" s="54" t="inlineStr">
        <is>
          <t>211 Avenue Brame</t>
        </is>
      </c>
      <c r="AQ235" s="55" t="inlineStr">
        <is>
          <t>BP 229</t>
        </is>
      </c>
      <c r="AR235" s="56" t="inlineStr">
        <is>
          <t>Roubaix</t>
        </is>
      </c>
      <c r="AS235" s="57" t="inlineStr">
        <is>
          <t>Cedex</t>
        </is>
      </c>
      <c r="AT235" s="58" t="inlineStr">
        <is>
          <t>59054</t>
        </is>
      </c>
      <c r="AU235" s="59" t="inlineStr">
        <is>
          <t>France</t>
        </is>
      </c>
      <c r="AV235" s="60" t="inlineStr">
        <is>
          <t>+33 (0)3 20 99 71 13</t>
        </is>
      </c>
      <c r="AW235" s="61" t="inlineStr">
        <is>
          <t>+33 (0)3 20 80 71 70</t>
        </is>
      </c>
      <c r="AX235" s="62" t="inlineStr">
        <is>
          <t/>
        </is>
      </c>
      <c r="AY235" s="63" t="inlineStr">
        <is>
          <t>Europe</t>
        </is>
      </c>
      <c r="AZ235" s="64" t="inlineStr">
        <is>
          <t>Western Europe</t>
        </is>
      </c>
      <c r="BA235" s="65" t="inlineStr">
        <is>
          <t>Ardian, Centerbridge Partners, Polygon and Boussard &amp; Gavaudan Asset Management converted EUR 500 million of debt into an equity stake worth 55% of the company on December 15, 2016.</t>
        </is>
      </c>
      <c r="BB235" s="66" t="inlineStr">
        <is>
          <t>Ardian, Centerbridge Partners, Polygon International</t>
        </is>
      </c>
      <c r="BC235" s="67" t="n">
        <v>3.0</v>
      </c>
      <c r="BD235" s="68" t="inlineStr">
        <is>
          <t/>
        </is>
      </c>
      <c r="BE235" s="69" t="inlineStr">
        <is>
          <t>3i Group, BNP Paribas Capital Partners, Boussard &amp; Gavaudan Asset Management, Cinven</t>
        </is>
      </c>
      <c r="BF235" s="70" t="inlineStr">
        <is>
          <t/>
        </is>
      </c>
      <c r="BG235" s="71" t="inlineStr">
        <is>
          <t>Ardian(www.ardian.com), Centerbridge Partners(www.centerbridge.com), Polygon International(www.polygongroup.com)</t>
        </is>
      </c>
      <c r="BH235" s="72" t="inlineStr">
        <is>
          <t>3i Group(www.3i.com), Boussard &amp; Gavaudan Asset Management(www.boussard-gavaudan.com/en/index.php), Cinven(www.cinven.com)</t>
        </is>
      </c>
      <c r="BI235" s="73" t="inlineStr">
        <is>
          <t/>
        </is>
      </c>
      <c r="BJ235" s="74" t="inlineStr">
        <is>
          <t/>
        </is>
      </c>
      <c r="BK235" s="75" t="inlineStr">
        <is>
          <t>Bank Scalbert-Dupont(Advisor: General), Credit Industriel et Commercial(Advisor: General), Eifb(Advisor: General), EY Société d'Avocats(Legal Advisor), Grant Thornton(Advisor: General), LGT European Capital(Debt Financing), Lovells(Legal Advisor), Royal Bank of Scotland(Advisor: General), Weil, Gotshal &amp; Manges(Legal Advisor)</t>
        </is>
      </c>
      <c r="BL235" s="76" t="inlineStr">
        <is>
          <t/>
        </is>
      </c>
      <c r="BM235" s="77" t="inlineStr">
        <is>
          <t/>
        </is>
      </c>
      <c r="BN235" s="78" t="inlineStr">
        <is>
          <t/>
        </is>
      </c>
      <c r="BO235" s="79" t="inlineStr">
        <is>
          <t/>
        </is>
      </c>
      <c r="BP235" s="80" t="inlineStr">
        <is>
          <t/>
        </is>
      </c>
      <c r="BQ235" s="81" t="inlineStr">
        <is>
          <t>PE Growth/Expansion</t>
        </is>
      </c>
      <c r="BR235" s="82" t="inlineStr">
        <is>
          <t/>
        </is>
      </c>
      <c r="BS235" s="83" t="inlineStr">
        <is>
          <t/>
        </is>
      </c>
      <c r="BT235" s="84" t="inlineStr">
        <is>
          <t>Private Equity</t>
        </is>
      </c>
      <c r="BU235" s="85" t="inlineStr">
        <is>
          <t/>
        </is>
      </c>
      <c r="BV235" s="86" t="inlineStr">
        <is>
          <t/>
        </is>
      </c>
      <c r="BW235" s="87" t="inlineStr">
        <is>
          <t/>
        </is>
      </c>
      <c r="BX235" s="88" t="inlineStr">
        <is>
          <t>Completed</t>
        </is>
      </c>
      <c r="BY235" s="89" t="n">
        <v>42719.0</v>
      </c>
      <c r="BZ235" s="90" t="n">
        <v>527.1</v>
      </c>
      <c r="CA235" s="91" t="inlineStr">
        <is>
          <t/>
        </is>
      </c>
      <c r="CB235" s="92" t="n">
        <v>958.36</v>
      </c>
      <c r="CC235" s="93" t="inlineStr">
        <is>
          <t/>
        </is>
      </c>
      <c r="CD235" s="94" t="inlineStr">
        <is>
          <t>Buyout/LBO</t>
        </is>
      </c>
      <c r="CE235" s="95" t="inlineStr">
        <is>
          <t>Debt Conversion</t>
        </is>
      </c>
      <c r="CF235" s="96" t="inlineStr">
        <is>
          <t/>
        </is>
      </c>
      <c r="CG235" s="97" t="inlineStr">
        <is>
          <t>Private Equity</t>
        </is>
      </c>
      <c r="CH235" s="98" t="inlineStr">
        <is>
          <t/>
        </is>
      </c>
      <c r="CI235" s="99" t="inlineStr">
        <is>
          <t/>
        </is>
      </c>
      <c r="CJ235" s="100" t="inlineStr">
        <is>
          <t/>
        </is>
      </c>
      <c r="CK235" s="101" t="inlineStr">
        <is>
          <t>Completed</t>
        </is>
      </c>
      <c r="CL235" s="102" t="n">
        <v>39224.0</v>
      </c>
      <c r="CM235" s="103" t="n">
        <v>40.57</v>
      </c>
      <c r="CN235" s="104" t="n">
        <v>0.1</v>
      </c>
      <c r="CO235" s="105" t="n">
        <v>85.0</v>
      </c>
      <c r="CP235" s="106" t="n">
        <v>-0.01</v>
      </c>
      <c r="CQ235" s="107" t="n">
        <v>-13.02</v>
      </c>
      <c r="CR235" s="108" t="n">
        <v>0.25</v>
      </c>
      <c r="CS235" s="109" t="n">
        <v>90.0</v>
      </c>
      <c r="CT235" s="110" t="n">
        <v>-0.05</v>
      </c>
      <c r="CU235" s="111" t="n">
        <v>15.0</v>
      </c>
      <c r="CV235" s="112" t="inlineStr">
        <is>
          <t/>
        </is>
      </c>
      <c r="CW235" s="113" t="inlineStr">
        <is>
          <t/>
        </is>
      </c>
      <c r="CX235" s="114" t="n">
        <v>0.25</v>
      </c>
      <c r="CY235" s="115" t="n">
        <v>90.0</v>
      </c>
      <c r="CZ235" s="116" t="n">
        <v>-0.05</v>
      </c>
      <c r="DA235" s="117" t="n">
        <v>19.0</v>
      </c>
      <c r="DB235" s="118" t="n">
        <v>35.23</v>
      </c>
      <c r="DC235" s="119" t="n">
        <v>97.0</v>
      </c>
      <c r="DD235" s="120" t="n">
        <v>3.04</v>
      </c>
      <c r="DE235" s="121" t="n">
        <v>9.43</v>
      </c>
      <c r="DF235" s="122" t="n">
        <v>24.26</v>
      </c>
      <c r="DG235" s="123" t="n">
        <v>96.0</v>
      </c>
      <c r="DH235" s="124" t="n">
        <v>46.19</v>
      </c>
      <c r="DI235" s="125" t="n">
        <v>95.0</v>
      </c>
      <c r="DJ235" s="126" t="inlineStr">
        <is>
          <t/>
        </is>
      </c>
      <c r="DK235" s="127" t="inlineStr">
        <is>
          <t/>
        </is>
      </c>
      <c r="DL235" s="128" t="n">
        <v>24.26</v>
      </c>
      <c r="DM235" s="129" t="n">
        <v>94.0</v>
      </c>
      <c r="DN235" s="130" t="n">
        <v>46.19</v>
      </c>
      <c r="DO235" s="131" t="n">
        <v>96.0</v>
      </c>
      <c r="DP235" s="132" t="n">
        <v>260.0</v>
      </c>
      <c r="DQ235" s="133" t="n">
        <v>33.0</v>
      </c>
      <c r="DR235" s="134" t="n">
        <v>14.54</v>
      </c>
      <c r="DS235" s="135" t="n">
        <v>827.0</v>
      </c>
      <c r="DT235" s="136" t="n">
        <v>-2.0</v>
      </c>
      <c r="DU235" s="137" t="n">
        <v>-0.24</v>
      </c>
      <c r="DV235" s="138" t="n">
        <v>16580.0</v>
      </c>
      <c r="DW235" s="139" t="n">
        <v>-6.0</v>
      </c>
      <c r="DX235" s="140" t="n">
        <v>-0.04</v>
      </c>
      <c r="DY235" s="141" t="inlineStr">
        <is>
          <t>PitchBook Research</t>
        </is>
      </c>
      <c r="DZ235" s="142" t="n">
        <v>43515.0</v>
      </c>
      <c r="EA235" s="143" t="n">
        <v>958.36</v>
      </c>
      <c r="EB235" s="144" t="n">
        <v>42719.0</v>
      </c>
      <c r="EC235" s="145" t="inlineStr">
        <is>
          <t>Buyout/LBO</t>
        </is>
      </c>
      <c r="ED235" s="547">
        <f>HYPERLINK("https://my.pitchbook.com?c=11053-63", "View company online")</f>
      </c>
    </row>
    <row r="236">
      <c r="A236" s="147" t="inlineStr">
        <is>
          <t>59328-91</t>
        </is>
      </c>
      <c r="B236" s="148" t="inlineStr">
        <is>
          <t>Alpargatas (BSP: ALPA3)</t>
        </is>
      </c>
      <c r="C236" s="149" t="inlineStr">
        <is>
          <t>Sao Paulo Alpargatas</t>
        </is>
      </c>
      <c r="D236" s="150" t="inlineStr">
        <is>
          <t/>
        </is>
      </c>
      <c r="E236" s="151" t="inlineStr">
        <is>
          <t>59328-91</t>
        </is>
      </c>
      <c r="F236" s="152" t="inlineStr">
        <is>
          <t>Alpargatas SA primarily manufactures footwear, apparel, and sports items. Brands the company owns or manufactures under license include Havaianas, dupe, Osklen, Mizuno, Megga, and Sete Leguas. Alpargatas reaches consumers through third-party retailers and through its own retail stores. Most of the company's sales are in Brazil and Argentina, with sales in Brazil accounting for more than half of the company's total sales. Remaining revenue is generated by the company's subsidiaries in Europe and the United States, and through direct exports.</t>
        </is>
      </c>
      <c r="G236" s="153" t="inlineStr">
        <is>
          <t>Consumer Products and Services (B2C)</t>
        </is>
      </c>
      <c r="H236" s="154" t="inlineStr">
        <is>
          <t>Apparel and Accessories</t>
        </is>
      </c>
      <c r="I236" s="155" t="inlineStr">
        <is>
          <t>Footwear</t>
        </is>
      </c>
      <c r="J236" s="156" t="inlineStr">
        <is>
          <t>Clothing, Footwear*</t>
        </is>
      </c>
      <c r="K236" s="157" t="inlineStr">
        <is>
          <t>Manufacturing</t>
        </is>
      </c>
      <c r="L236" s="158" t="inlineStr">
        <is>
          <t>blended fabrics, casual footwear, footwear, sports product, textile product</t>
        </is>
      </c>
      <c r="M236" s="159" t="inlineStr">
        <is>
          <t>Private Equity-Backed</t>
        </is>
      </c>
      <c r="N236" s="160" t="inlineStr">
        <is>
          <t/>
        </is>
      </c>
      <c r="O236" s="161" t="inlineStr">
        <is>
          <t>Profitable</t>
        </is>
      </c>
      <c r="P236" s="162" t="inlineStr">
        <is>
          <t>Publicly Held</t>
        </is>
      </c>
      <c r="Q236" s="163" t="inlineStr">
        <is>
          <t>M&amp;A, Private Equity, Publicly Listed</t>
        </is>
      </c>
      <c r="R236" s="164" t="inlineStr">
        <is>
          <t>www.alpargatas.com.br</t>
        </is>
      </c>
      <c r="S236" s="165" t="inlineStr">
        <is>
          <t/>
        </is>
      </c>
      <c r="T236" s="166" t="inlineStr">
        <is>
          <t/>
        </is>
      </c>
      <c r="U236" s="167" t="inlineStr">
        <is>
          <t>BSP</t>
        </is>
      </c>
      <c r="V236" s="168" t="inlineStr">
        <is>
          <t>ALPA3</t>
        </is>
      </c>
      <c r="W236" s="169" t="n">
        <v>1880.0</v>
      </c>
      <c r="X236" s="170" t="inlineStr">
        <is>
          <t/>
        </is>
      </c>
      <c r="Y236" s="171" t="inlineStr">
        <is>
          <t/>
        </is>
      </c>
      <c r="Z236" s="172" t="inlineStr">
        <is>
          <t/>
        </is>
      </c>
      <c r="AA236" s="173" t="n">
        <v>1068.32</v>
      </c>
      <c r="AB236" s="174" t="n">
        <v>468.65</v>
      </c>
      <c r="AC236" s="175" t="n">
        <v>90.7</v>
      </c>
      <c r="AD236" s="176" t="n">
        <v>2500.92</v>
      </c>
      <c r="AE236" s="177" t="n">
        <v>154.48</v>
      </c>
      <c r="AF236" s="178" t="inlineStr">
        <is>
          <t>FY 2018</t>
        </is>
      </c>
      <c r="AG236" s="179" t="n">
        <v>125.31</v>
      </c>
      <c r="AH236" s="180" t="n">
        <v>2385.16</v>
      </c>
      <c r="AI236" s="181" t="n">
        <v>18.58</v>
      </c>
      <c r="AJ236" s="182" t="inlineStr">
        <is>
          <t>66469-87P</t>
        </is>
      </c>
      <c r="AK236" s="183" t="inlineStr">
        <is>
          <t>Márcio Luiz Simões Utsch</t>
        </is>
      </c>
      <c r="AL236" s="184" t="inlineStr">
        <is>
          <t>Chief Executive Officer</t>
        </is>
      </c>
      <c r="AM236" s="185" t="inlineStr">
        <is>
          <t>marcio@alpargatas.com.ar</t>
        </is>
      </c>
      <c r="AN236" s="186" t="inlineStr">
        <is>
          <t>+55 08 00707 0533</t>
        </is>
      </c>
      <c r="AO236" s="187" t="inlineStr">
        <is>
          <t>Sao Paulo, Brazil</t>
        </is>
      </c>
      <c r="AP236" s="188" t="inlineStr">
        <is>
          <t>Av. Dr. Cardoso de Melo</t>
        </is>
      </c>
      <c r="AQ236" s="189" t="inlineStr">
        <is>
          <t>Nº 1336, Vila Olímpia</t>
        </is>
      </c>
      <c r="AR236" s="190" t="inlineStr">
        <is>
          <t>Sao Paulo</t>
        </is>
      </c>
      <c r="AS236" s="191" t="inlineStr">
        <is>
          <t/>
        </is>
      </c>
      <c r="AT236" s="192" t="inlineStr">
        <is>
          <t>04548-004</t>
        </is>
      </c>
      <c r="AU236" s="193" t="inlineStr">
        <is>
          <t>Brazil</t>
        </is>
      </c>
      <c r="AV236" s="194" t="inlineStr">
        <is>
          <t>+55 08 00707 0533</t>
        </is>
      </c>
      <c r="AW236" s="195" t="inlineStr">
        <is>
          <t/>
        </is>
      </c>
      <c r="AX236" s="196" t="inlineStr">
        <is>
          <t>amc@alpargatas.com.br</t>
        </is>
      </c>
      <c r="AY236" s="197" t="inlineStr">
        <is>
          <t>Americas</t>
        </is>
      </c>
      <c r="AZ236" s="198" t="inlineStr">
        <is>
          <t>South America</t>
        </is>
      </c>
      <c r="BA236" s="199" t="inlineStr">
        <is>
          <t>The company (BSP:ALPA4) was acquired by Cambuhy Investimentos, Itaúsa and GP Investments (Brazil) through a BRL 3.5 billion LBO on September 20, 2017.</t>
        </is>
      </c>
      <c r="BB236" s="200" t="inlineStr">
        <is>
          <t>Brasil Warrant Administração de Bens e Empresas, Cambuhy Investimentos, GP Investments (Brazil), Itaúsa</t>
        </is>
      </c>
      <c r="BC236" s="201" t="n">
        <v>4.0</v>
      </c>
      <c r="BD236" s="202" t="inlineStr">
        <is>
          <t/>
        </is>
      </c>
      <c r="BE236" s="203" t="inlineStr">
        <is>
          <t>ACON Investments, Camargo Correa Metais, J&amp;F Investimentos, TPG Growth</t>
        </is>
      </c>
      <c r="BF236" s="204" t="inlineStr">
        <is>
          <t>Apax Partners, Gávea Investimentos, Grendene, Kohlberg Kravis Roberts, The Carlyle Group</t>
        </is>
      </c>
      <c r="BG236" s="205" t="inlineStr">
        <is>
          <t>Cambuhy Investimentos(www.cmby.com), GP Investments (Brazil)(www.gp.com.br), Itaúsa(www.itausa.com.br)</t>
        </is>
      </c>
      <c r="BH236" s="206" t="inlineStr">
        <is>
          <t>ACON Investments(www.aconinvestments.com), Camargo Correa Metais(www.camargocorrea.com.br), TPG Growth(www.tpggrowth.com)</t>
        </is>
      </c>
      <c r="BI236" s="207" t="inlineStr">
        <is>
          <t>Apax Partners(www.apax.com), Gávea Investimentos(www.gaveainvest.com), Grendene(www.grendene.com.br), Kohlberg Kravis Roberts(www.kkr.com), The Carlyle Group(www.carlyle.com)</t>
        </is>
      </c>
      <c r="BJ236" s="208" t="inlineStr">
        <is>
          <t>Buenos Aires Capital Partners(Advisor: General), Integration Consulting(Consulting), McMillanDoolittle(Accounting), The Jai Group(Advisor: General)</t>
        </is>
      </c>
      <c r="BK236" s="209" t="inlineStr">
        <is>
          <t>Caixa Econômica Federal(Debt Financing)</t>
        </is>
      </c>
      <c r="BL236" s="210" t="n">
        <v>4750.0</v>
      </c>
      <c r="BM236" s="211" t="inlineStr">
        <is>
          <t/>
        </is>
      </c>
      <c r="BN236" s="212" t="inlineStr">
        <is>
          <t/>
        </is>
      </c>
      <c r="BO236" s="213" t="inlineStr">
        <is>
          <t/>
        </is>
      </c>
      <c r="BP236" s="214" t="inlineStr">
        <is>
          <t/>
        </is>
      </c>
      <c r="BQ236" s="215" t="inlineStr">
        <is>
          <t>IPO</t>
        </is>
      </c>
      <c r="BR236" s="216" t="inlineStr">
        <is>
          <t/>
        </is>
      </c>
      <c r="BS236" s="217" t="inlineStr">
        <is>
          <t/>
        </is>
      </c>
      <c r="BT236" s="218" t="inlineStr">
        <is>
          <t>Public Investment</t>
        </is>
      </c>
      <c r="BU236" s="219" t="inlineStr">
        <is>
          <t/>
        </is>
      </c>
      <c r="BV236" s="220" t="inlineStr">
        <is>
          <t/>
        </is>
      </c>
      <c r="BW236" s="221" t="inlineStr">
        <is>
          <t/>
        </is>
      </c>
      <c r="BX236" s="222" t="inlineStr">
        <is>
          <t>Completed</t>
        </is>
      </c>
      <c r="BY236" s="223" t="n">
        <v>42998.0</v>
      </c>
      <c r="BZ236" s="224" t="n">
        <v>1117.93</v>
      </c>
      <c r="CA236" s="225" t="inlineStr">
        <is>
          <t>Actual</t>
        </is>
      </c>
      <c r="CB236" s="226" t="n">
        <v>1299.91</v>
      </c>
      <c r="CC236" s="227" t="inlineStr">
        <is>
          <t>Estimated</t>
        </is>
      </c>
      <c r="CD236" s="228" t="inlineStr">
        <is>
          <t>Buyout/LBO</t>
        </is>
      </c>
      <c r="CE236" s="229" t="inlineStr">
        <is>
          <t>Corporate Divestiture</t>
        </is>
      </c>
      <c r="CF236" s="230" t="inlineStr">
        <is>
          <t/>
        </is>
      </c>
      <c r="CG236" s="231" t="inlineStr">
        <is>
          <t>Private Equity</t>
        </is>
      </c>
      <c r="CH236" s="232" t="inlineStr">
        <is>
          <t/>
        </is>
      </c>
      <c r="CI236" s="233" t="inlineStr">
        <is>
          <t/>
        </is>
      </c>
      <c r="CJ236" s="234" t="inlineStr">
        <is>
          <t/>
        </is>
      </c>
      <c r="CK236" s="235" t="inlineStr">
        <is>
          <t>Completed</t>
        </is>
      </c>
      <c r="CL236" s="236" t="n">
        <v>42643.0</v>
      </c>
      <c r="CM236" s="237" t="inlineStr">
        <is>
          <t/>
        </is>
      </c>
      <c r="CN236" s="238" t="n">
        <v>-1.43</v>
      </c>
      <c r="CO236" s="239" t="n">
        <v>3.0</v>
      </c>
      <c r="CP236" s="240" t="n">
        <v>0.04</v>
      </c>
      <c r="CQ236" s="241" t="n">
        <v>2.63</v>
      </c>
      <c r="CR236" s="242" t="n">
        <v>-1.43</v>
      </c>
      <c r="CS236" s="243" t="n">
        <v>5.0</v>
      </c>
      <c r="CT236" s="244" t="inlineStr">
        <is>
          <t/>
        </is>
      </c>
      <c r="CU236" s="245" t="inlineStr">
        <is>
          <t/>
        </is>
      </c>
      <c r="CV236" s="246" t="inlineStr">
        <is>
          <t/>
        </is>
      </c>
      <c r="CW236" s="247" t="inlineStr">
        <is>
          <t/>
        </is>
      </c>
      <c r="CX236" s="248" t="n">
        <v>-1.43</v>
      </c>
      <c r="CY236" s="249" t="n">
        <v>3.0</v>
      </c>
      <c r="CZ236" s="250" t="inlineStr">
        <is>
          <t/>
        </is>
      </c>
      <c r="DA236" s="251" t="inlineStr">
        <is>
          <t/>
        </is>
      </c>
      <c r="DB236" s="252" t="n">
        <v>9.56</v>
      </c>
      <c r="DC236" s="253" t="n">
        <v>90.0</v>
      </c>
      <c r="DD236" s="254" t="n">
        <v>2.38</v>
      </c>
      <c r="DE236" s="255" t="n">
        <v>33.17</v>
      </c>
      <c r="DF236" s="256" t="n">
        <v>9.56</v>
      </c>
      <c r="DG236" s="257" t="n">
        <v>89.0</v>
      </c>
      <c r="DH236" s="258" t="inlineStr">
        <is>
          <t/>
        </is>
      </c>
      <c r="DI236" s="259" t="inlineStr">
        <is>
          <t/>
        </is>
      </c>
      <c r="DJ236" s="260" t="inlineStr">
        <is>
          <t/>
        </is>
      </c>
      <c r="DK236" s="261" t="inlineStr">
        <is>
          <t/>
        </is>
      </c>
      <c r="DL236" s="262" t="n">
        <v>9.56</v>
      </c>
      <c r="DM236" s="263" t="n">
        <v>89.0</v>
      </c>
      <c r="DN236" s="264" t="inlineStr">
        <is>
          <t/>
        </is>
      </c>
      <c r="DO236" s="265" t="inlineStr">
        <is>
          <t/>
        </is>
      </c>
      <c r="DP236" s="266" t="inlineStr">
        <is>
          <t/>
        </is>
      </c>
      <c r="DQ236" s="267" t="inlineStr">
        <is>
          <t/>
        </is>
      </c>
      <c r="DR236" s="268" t="inlineStr">
        <is>
          <t/>
        </is>
      </c>
      <c r="DS236" s="269" t="n">
        <v>324.0</v>
      </c>
      <c r="DT236" s="270" t="n">
        <v>1.0</v>
      </c>
      <c r="DU236" s="271" t="n">
        <v>0.31</v>
      </c>
      <c r="DV236" s="272" t="inlineStr">
        <is>
          <t/>
        </is>
      </c>
      <c r="DW236" s="273" t="inlineStr">
        <is>
          <t/>
        </is>
      </c>
      <c r="DX236" s="274" t="inlineStr">
        <is>
          <t/>
        </is>
      </c>
      <c r="DY236" s="275" t="inlineStr">
        <is>
          <t>PitchBook Research</t>
        </is>
      </c>
      <c r="DZ236" s="276" t="n">
        <v>43492.0</v>
      </c>
      <c r="EA236" s="277" t="n">
        <v>1299.91</v>
      </c>
      <c r="EB236" s="278" t="n">
        <v>42998.0</v>
      </c>
      <c r="EC236" s="279" t="inlineStr">
        <is>
          <t>Buyout/LBO</t>
        </is>
      </c>
      <c r="ED236" s="548">
        <f>HYPERLINK("https://my.pitchbook.com?c=59328-91", "View company online")</f>
      </c>
    </row>
    <row r="237">
      <c r="A237" s="13" t="inlineStr">
        <is>
          <t>165781-36</t>
        </is>
      </c>
      <c r="B237" s="14" t="inlineStr">
        <is>
          <t>Harbin Churin Group (SHG: 600891)</t>
        </is>
      </c>
      <c r="C237" s="15" t="inlineStr">
        <is>
          <t/>
        </is>
      </c>
      <c r="D237" s="16" t="inlineStr">
        <is>
          <t/>
        </is>
      </c>
      <c r="E237" s="17" t="inlineStr">
        <is>
          <t>165781-36</t>
        </is>
      </c>
      <c r="F237" s="18" t="inlineStr">
        <is>
          <t>Harbin Churin Group Jointstock Co Ltd operates primarily in the department store business in Harbin, China.</t>
        </is>
      </c>
      <c r="G237" s="19" t="inlineStr">
        <is>
          <t>Consumer Products and Services (B2C)</t>
        </is>
      </c>
      <c r="H237" s="20" t="inlineStr">
        <is>
          <t>Apparel and Accessories</t>
        </is>
      </c>
      <c r="I237" s="21" t="inlineStr">
        <is>
          <t>Accessories</t>
        </is>
      </c>
      <c r="J237" s="22" t="inlineStr">
        <is>
          <t>Accessories*, Luxury Goods</t>
        </is>
      </c>
      <c r="K237" s="23" t="inlineStr">
        <is>
          <t>Manufacturing</t>
        </is>
      </c>
      <c r="L237" s="24" t="inlineStr">
        <is>
          <t>jewelry, medicine, textile product</t>
        </is>
      </c>
      <c r="M237" s="25" t="inlineStr">
        <is>
          <t>Corporation</t>
        </is>
      </c>
      <c r="N237" s="26" t="inlineStr">
        <is>
          <t/>
        </is>
      </c>
      <c r="O237" s="27" t="inlineStr">
        <is>
          <t>Profitable</t>
        </is>
      </c>
      <c r="P237" s="28" t="inlineStr">
        <is>
          <t>Publicly Held</t>
        </is>
      </c>
      <c r="Q237" s="29" t="inlineStr">
        <is>
          <t>Publicly Listed</t>
        </is>
      </c>
      <c r="R237" s="30" t="inlineStr">
        <is>
          <t>www.qlgroup.com.cn</t>
        </is>
      </c>
      <c r="S237" s="31" t="n">
        <v>1499.0</v>
      </c>
      <c r="T237" s="32" t="inlineStr">
        <is>
          <t>2000: 3475, 2001: 3547, 2002: 3501, 2003: 3554, 2004: 2057, 2005: 1933, 2006: 1813, 2007: 630, 2008: 434, 2009: 443, 2010: 366, 2011: 349, 2012: 807, 2013: 565, 2014: 463, 2015: 1326, 2016: 1540, 2017: 1499</t>
        </is>
      </c>
      <c r="U237" s="33" t="inlineStr">
        <is>
          <t>SHG</t>
        </is>
      </c>
      <c r="V237" s="34" t="inlineStr">
        <is>
          <t>600891</t>
        </is>
      </c>
      <c r="W237" s="35" t="inlineStr">
        <is>
          <t/>
        </is>
      </c>
      <c r="X237" s="36" t="inlineStr">
        <is>
          <t/>
        </is>
      </c>
      <c r="Y237" s="37" t="inlineStr">
        <is>
          <t/>
        </is>
      </c>
      <c r="Z237" s="38" t="inlineStr">
        <is>
          <t/>
        </is>
      </c>
      <c r="AA237" s="39" t="n">
        <v>1068.15</v>
      </c>
      <c r="AB237" s="40" t="n">
        <v>71.31</v>
      </c>
      <c r="AC237" s="41" t="n">
        <v>17.34</v>
      </c>
      <c r="AD237" s="42" t="n">
        <v>768.64</v>
      </c>
      <c r="AE237" s="43" t="n">
        <v>51.5</v>
      </c>
      <c r="AF237" s="44" t="inlineStr">
        <is>
          <t>TTM 3Q2018</t>
        </is>
      </c>
      <c r="AG237" s="45" t="n">
        <v>48.79</v>
      </c>
      <c r="AH237" s="46" t="n">
        <v>516.18</v>
      </c>
      <c r="AI237" s="47" t="n">
        <v>239.01</v>
      </c>
      <c r="AJ237" s="48" t="inlineStr">
        <is>
          <t/>
        </is>
      </c>
      <c r="AK237" s="49" t="inlineStr">
        <is>
          <t/>
        </is>
      </c>
      <c r="AL237" s="50" t="inlineStr">
        <is>
          <t/>
        </is>
      </c>
      <c r="AM237" s="51" t="inlineStr">
        <is>
          <t/>
        </is>
      </c>
      <c r="AN237" s="52" t="inlineStr">
        <is>
          <t/>
        </is>
      </c>
      <c r="AO237" s="53" t="inlineStr">
        <is>
          <t>Harbin, China</t>
        </is>
      </c>
      <c r="AP237" s="54" t="inlineStr">
        <is>
          <t>No. 319 East Dazhi Street</t>
        </is>
      </c>
      <c r="AQ237" s="55" t="inlineStr">
        <is>
          <t>Nangang District, Heilongjiang Province</t>
        </is>
      </c>
      <c r="AR237" s="56" t="inlineStr">
        <is>
          <t>Harbin</t>
        </is>
      </c>
      <c r="AS237" s="57" t="inlineStr">
        <is>
          <t/>
        </is>
      </c>
      <c r="AT237" s="58" t="inlineStr">
        <is>
          <t>150001</t>
        </is>
      </c>
      <c r="AU237" s="59" t="inlineStr">
        <is>
          <t>China</t>
        </is>
      </c>
      <c r="AV237" s="60" t="inlineStr">
        <is>
          <t>+86 (0)451 5364 4632</t>
        </is>
      </c>
      <c r="AW237" s="61" t="inlineStr">
        <is>
          <t>+86 (0)451 5364 9282</t>
        </is>
      </c>
      <c r="AX237" s="62" t="inlineStr">
        <is>
          <t/>
        </is>
      </c>
      <c r="AY237" s="63" t="inlineStr">
        <is>
          <t>Asia</t>
        </is>
      </c>
      <c r="AZ237" s="64" t="inlineStr">
        <is>
          <t>East Asia</t>
        </is>
      </c>
      <c r="BA237" s="65" t="inlineStr">
        <is>
          <t/>
        </is>
      </c>
      <c r="BB237" s="66" t="inlineStr">
        <is>
          <t/>
        </is>
      </c>
      <c r="BC237" s="67" t="inlineStr">
        <is>
          <t/>
        </is>
      </c>
      <c r="BD237" s="68" t="inlineStr">
        <is>
          <t/>
        </is>
      </c>
      <c r="BE237" s="69" t="inlineStr">
        <is>
          <t/>
        </is>
      </c>
      <c r="BF237" s="70" t="inlineStr">
        <is>
          <t/>
        </is>
      </c>
      <c r="BG237" s="71" t="inlineStr">
        <is>
          <t/>
        </is>
      </c>
      <c r="BH237" s="72" t="inlineStr">
        <is>
          <t/>
        </is>
      </c>
      <c r="BI237" s="73" t="inlineStr">
        <is>
          <t/>
        </is>
      </c>
      <c r="BJ237" s="74" t="inlineStr">
        <is>
          <t/>
        </is>
      </c>
      <c r="BK237" s="75" t="inlineStr">
        <is>
          <t/>
        </is>
      </c>
      <c r="BL237" s="76" t="inlineStr">
        <is>
          <t/>
        </is>
      </c>
      <c r="BM237" s="77" t="inlineStr">
        <is>
          <t/>
        </is>
      </c>
      <c r="BN237" s="78" t="inlineStr">
        <is>
          <t/>
        </is>
      </c>
      <c r="BO237" s="79" t="inlineStr">
        <is>
          <t/>
        </is>
      </c>
      <c r="BP237" s="80" t="inlineStr">
        <is>
          <t/>
        </is>
      </c>
      <c r="BQ237" s="81" t="inlineStr">
        <is>
          <t/>
        </is>
      </c>
      <c r="BR237" s="82" t="inlineStr">
        <is>
          <t/>
        </is>
      </c>
      <c r="BS237" s="83" t="inlineStr">
        <is>
          <t/>
        </is>
      </c>
      <c r="BT237" s="84" t="inlineStr">
        <is>
          <t/>
        </is>
      </c>
      <c r="BU237" s="85" t="inlineStr">
        <is>
          <t/>
        </is>
      </c>
      <c r="BV237" s="86" t="inlineStr">
        <is>
          <t/>
        </is>
      </c>
      <c r="BW237" s="87" t="inlineStr">
        <is>
          <t/>
        </is>
      </c>
      <c r="BX237" s="88" t="inlineStr">
        <is>
          <t/>
        </is>
      </c>
      <c r="BY237" s="89" t="inlineStr">
        <is>
          <t/>
        </is>
      </c>
      <c r="BZ237" s="90" t="inlineStr">
        <is>
          <t/>
        </is>
      </c>
      <c r="CA237" s="91" t="inlineStr">
        <is>
          <t/>
        </is>
      </c>
      <c r="CB237" s="92" t="inlineStr">
        <is>
          <t/>
        </is>
      </c>
      <c r="CC237" s="93" t="inlineStr">
        <is>
          <t/>
        </is>
      </c>
      <c r="CD237" s="94" t="inlineStr">
        <is>
          <t/>
        </is>
      </c>
      <c r="CE237" s="95" t="inlineStr">
        <is>
          <t/>
        </is>
      </c>
      <c r="CF237" s="96" t="inlineStr">
        <is>
          <t/>
        </is>
      </c>
      <c r="CG237" s="97" t="inlineStr">
        <is>
          <t/>
        </is>
      </c>
      <c r="CH237" s="98" t="inlineStr">
        <is>
          <t/>
        </is>
      </c>
      <c r="CI237" s="99" t="inlineStr">
        <is>
          <t/>
        </is>
      </c>
      <c r="CJ237" s="100" t="inlineStr">
        <is>
          <t/>
        </is>
      </c>
      <c r="CK237" s="101" t="inlineStr">
        <is>
          <t/>
        </is>
      </c>
      <c r="CL237" s="102" t="inlineStr">
        <is>
          <t/>
        </is>
      </c>
      <c r="CM237" s="103" t="inlineStr">
        <is>
          <t/>
        </is>
      </c>
      <c r="CN237" s="104" t="n">
        <v>1.58</v>
      </c>
      <c r="CO237" s="105" t="n">
        <v>99.0</v>
      </c>
      <c r="CP237" s="106" t="n">
        <v>-0.21</v>
      </c>
      <c r="CQ237" s="107" t="n">
        <v>-11.97</v>
      </c>
      <c r="CR237" s="108" t="n">
        <v>1.58</v>
      </c>
      <c r="CS237" s="109" t="n">
        <v>98.0</v>
      </c>
      <c r="CT237" s="110" t="inlineStr">
        <is>
          <t/>
        </is>
      </c>
      <c r="CU237" s="111" t="inlineStr">
        <is>
          <t/>
        </is>
      </c>
      <c r="CV237" s="112" t="inlineStr">
        <is>
          <t/>
        </is>
      </c>
      <c r="CW237" s="113" t="inlineStr">
        <is>
          <t/>
        </is>
      </c>
      <c r="CX237" s="114" t="n">
        <v>1.58</v>
      </c>
      <c r="CY237" s="115" t="n">
        <v>99.0</v>
      </c>
      <c r="CZ237" s="116" t="inlineStr">
        <is>
          <t/>
        </is>
      </c>
      <c r="DA237" s="117" t="inlineStr">
        <is>
          <t/>
        </is>
      </c>
      <c r="DB237" s="118" t="n">
        <v>3.38</v>
      </c>
      <c r="DC237" s="119" t="n">
        <v>77.0</v>
      </c>
      <c r="DD237" s="120" t="n">
        <v>0.83</v>
      </c>
      <c r="DE237" s="121" t="n">
        <v>32.35</v>
      </c>
      <c r="DF237" s="122" t="n">
        <v>3.38</v>
      </c>
      <c r="DG237" s="123" t="n">
        <v>77.0</v>
      </c>
      <c r="DH237" s="124" t="inlineStr">
        <is>
          <t/>
        </is>
      </c>
      <c r="DI237" s="125" t="inlineStr">
        <is>
          <t/>
        </is>
      </c>
      <c r="DJ237" s="126" t="inlineStr">
        <is>
          <t/>
        </is>
      </c>
      <c r="DK237" s="127" t="inlineStr">
        <is>
          <t/>
        </is>
      </c>
      <c r="DL237" s="128" t="n">
        <v>3.38</v>
      </c>
      <c r="DM237" s="129" t="n">
        <v>76.0</v>
      </c>
      <c r="DN237" s="130" t="inlineStr">
        <is>
          <t/>
        </is>
      </c>
      <c r="DO237" s="131" t="inlineStr">
        <is>
          <t/>
        </is>
      </c>
      <c r="DP237" s="132" t="inlineStr">
        <is>
          <t/>
        </is>
      </c>
      <c r="DQ237" s="133" t="inlineStr">
        <is>
          <t/>
        </is>
      </c>
      <c r="DR237" s="134" t="inlineStr">
        <is>
          <t/>
        </is>
      </c>
      <c r="DS237" s="135" t="n">
        <v>115.0</v>
      </c>
      <c r="DT237" s="136" t="n">
        <v>0.0</v>
      </c>
      <c r="DU237" s="137" t="n">
        <v>0.0</v>
      </c>
      <c r="DV237" s="138" t="inlineStr">
        <is>
          <t/>
        </is>
      </c>
      <c r="DW237" s="139" t="inlineStr">
        <is>
          <t/>
        </is>
      </c>
      <c r="DX237" s="140" t="inlineStr">
        <is>
          <t/>
        </is>
      </c>
      <c r="DY237" s="141" t="inlineStr">
        <is>
          <t>PitchBook Research</t>
        </is>
      </c>
      <c r="DZ237" s="142" t="n">
        <v>43491.0</v>
      </c>
      <c r="EA237" s="143" t="inlineStr">
        <is>
          <t/>
        </is>
      </c>
      <c r="EB237" s="144" t="inlineStr">
        <is>
          <t/>
        </is>
      </c>
      <c r="EC237" s="145" t="inlineStr">
        <is>
          <t/>
        </is>
      </c>
      <c r="ED237" s="547">
        <f>HYPERLINK("https://my.pitchbook.com?c=165781-36", "View company online")</f>
      </c>
    </row>
    <row r="238">
      <c r="A238" s="147" t="inlineStr">
        <is>
          <t>57672-19</t>
        </is>
      </c>
      <c r="B238" s="148" t="inlineStr">
        <is>
          <t>C and J Clark International</t>
        </is>
      </c>
      <c r="C238" s="149" t="inlineStr">
        <is>
          <t/>
        </is>
      </c>
      <c r="D238" s="150" t="inlineStr">
        <is>
          <t>Clarks</t>
        </is>
      </c>
      <c r="E238" s="151" t="inlineStr">
        <is>
          <t>57672-19</t>
        </is>
      </c>
      <c r="F238" s="152" t="inlineStr">
        <is>
          <t>Manufacturer and retailer of footwear and footwear accessories designed for men and women. The company is an international shoe manufacturer and retailer designed to make shoes made with crepe rubber sole and calf suede leather and and also manufactures handbags, boots and sandals.</t>
        </is>
      </c>
      <c r="G238" s="153" t="inlineStr">
        <is>
          <t>Consumer Products and Services (B2C)</t>
        </is>
      </c>
      <c r="H238" s="154" t="inlineStr">
        <is>
          <t>Retail</t>
        </is>
      </c>
      <c r="I238" s="155" t="inlineStr">
        <is>
          <t>Specialty Retail</t>
        </is>
      </c>
      <c r="J238" s="156" t="inlineStr">
        <is>
          <t>Distributors/Wholesale (B2C), Footwear, Internet Retail, Specialty Retail*</t>
        </is>
      </c>
      <c r="K238" s="157" t="inlineStr">
        <is>
          <t/>
        </is>
      </c>
      <c r="L238" s="158" t="inlineStr">
        <is>
          <t>footwear accessories, footwear company, footwear design, footwear retail, international shoes manufacturer, international shoes retailer, luxury shoemaker, online footwear retailer, shoemaker</t>
        </is>
      </c>
      <c r="M238" s="159" t="inlineStr">
        <is>
          <t>Corporation</t>
        </is>
      </c>
      <c r="N238" s="160" t="inlineStr">
        <is>
          <t/>
        </is>
      </c>
      <c r="O238" s="161" t="inlineStr">
        <is>
          <t>Profitable</t>
        </is>
      </c>
      <c r="P238" s="162" t="inlineStr">
        <is>
          <t>Privately Held (no backing)</t>
        </is>
      </c>
      <c r="Q238" s="163" t="inlineStr">
        <is>
          <t>Other Private Companies</t>
        </is>
      </c>
      <c r="R238" s="164" t="inlineStr">
        <is>
          <t>www.clarks.com</t>
        </is>
      </c>
      <c r="S238" s="165" t="n">
        <v>15380.0</v>
      </c>
      <c r="T238" s="166" t="inlineStr">
        <is>
          <t>2017: 15380</t>
        </is>
      </c>
      <c r="U238" s="167" t="inlineStr">
        <is>
          <t/>
        </is>
      </c>
      <c r="V238" s="168" t="inlineStr">
        <is>
          <t/>
        </is>
      </c>
      <c r="W238" s="169" t="n">
        <v>1825.0</v>
      </c>
      <c r="X238" s="170" t="inlineStr">
        <is>
          <t/>
        </is>
      </c>
      <c r="Y238" s="171" t="inlineStr">
        <is>
          <t/>
        </is>
      </c>
      <c r="Z238" s="172" t="inlineStr">
        <is>
          <t/>
        </is>
      </c>
      <c r="AA238" s="173" t="n">
        <v>1066.35</v>
      </c>
      <c r="AB238" s="174" t="n">
        <v>476.9</v>
      </c>
      <c r="AC238" s="175" t="inlineStr">
        <is>
          <t/>
        </is>
      </c>
      <c r="AD238" s="176" t="inlineStr">
        <is>
          <t/>
        </is>
      </c>
      <c r="AE238" s="177" t="n">
        <v>26.65</v>
      </c>
      <c r="AF238" s="178" t="inlineStr">
        <is>
          <t>FY 2018</t>
        </is>
      </c>
      <c r="AG238" s="179" t="inlineStr">
        <is>
          <t/>
        </is>
      </c>
      <c r="AH238" s="180" t="inlineStr">
        <is>
          <t/>
        </is>
      </c>
      <c r="AI238" s="181" t="inlineStr">
        <is>
          <t/>
        </is>
      </c>
      <c r="AJ238" s="182" t="inlineStr">
        <is>
          <t>59572-90P</t>
        </is>
      </c>
      <c r="AK238" s="183" t="inlineStr">
        <is>
          <t>Mike Shearwood</t>
        </is>
      </c>
      <c r="AL238" s="184" t="inlineStr">
        <is>
          <t>Chief Executive Officer</t>
        </is>
      </c>
      <c r="AM238" s="185" t="inlineStr">
        <is>
          <t>mike@clarks.com</t>
        </is>
      </c>
      <c r="AN238" s="186" t="inlineStr">
        <is>
          <t/>
        </is>
      </c>
      <c r="AO238" s="187" t="inlineStr">
        <is>
          <t>Somerset, United Kingdom</t>
        </is>
      </c>
      <c r="AP238" s="188" t="inlineStr">
        <is>
          <t>40 High Street</t>
        </is>
      </c>
      <c r="AQ238" s="189" t="inlineStr">
        <is>
          <t/>
        </is>
      </c>
      <c r="AR238" s="190" t="inlineStr">
        <is>
          <t>Somerset</t>
        </is>
      </c>
      <c r="AS238" s="191" t="inlineStr">
        <is>
          <t>England</t>
        </is>
      </c>
      <c r="AT238" s="192" t="inlineStr">
        <is>
          <t>BA16 0EQ</t>
        </is>
      </c>
      <c r="AU238" s="193" t="inlineStr">
        <is>
          <t>United Kingdom</t>
        </is>
      </c>
      <c r="AV238" s="194" t="inlineStr">
        <is>
          <t/>
        </is>
      </c>
      <c r="AW238" s="195" t="inlineStr">
        <is>
          <t/>
        </is>
      </c>
      <c r="AX238" s="196" t="inlineStr">
        <is>
          <t>customer.care@clarks.in</t>
        </is>
      </c>
      <c r="AY238" s="197" t="inlineStr">
        <is>
          <t>Europe</t>
        </is>
      </c>
      <c r="AZ238" s="198" t="inlineStr">
        <is>
          <t>Western Europe</t>
        </is>
      </c>
      <c r="BA238" s="199" t="inlineStr">
        <is>
          <t/>
        </is>
      </c>
      <c r="BB238" s="200" t="inlineStr">
        <is>
          <t/>
        </is>
      </c>
      <c r="BC238" s="201" t="inlineStr">
        <is>
          <t/>
        </is>
      </c>
      <c r="BD238" s="202" t="inlineStr">
        <is>
          <t/>
        </is>
      </c>
      <c r="BE238" s="203" t="inlineStr">
        <is>
          <t/>
        </is>
      </c>
      <c r="BF238" s="204" t="inlineStr">
        <is>
          <t/>
        </is>
      </c>
      <c r="BG238" s="205" t="inlineStr">
        <is>
          <t/>
        </is>
      </c>
      <c r="BH238" s="206" t="inlineStr">
        <is>
          <t/>
        </is>
      </c>
      <c r="BI238" s="207" t="inlineStr">
        <is>
          <t/>
        </is>
      </c>
      <c r="BJ238" s="208" t="inlineStr">
        <is>
          <t>Mandala Partners(Advisor: General), Olshan Frome Wolosky(Legal Advisor), Simon-Kucher &amp; Partners(Consulting)</t>
        </is>
      </c>
      <c r="BK238" s="209" t="inlineStr">
        <is>
          <t/>
        </is>
      </c>
      <c r="BL238" s="210" t="inlineStr">
        <is>
          <t/>
        </is>
      </c>
      <c r="BM238" s="211" t="inlineStr">
        <is>
          <t/>
        </is>
      </c>
      <c r="BN238" s="212" t="inlineStr">
        <is>
          <t/>
        </is>
      </c>
      <c r="BO238" s="213" t="inlineStr">
        <is>
          <t/>
        </is>
      </c>
      <c r="BP238" s="214" t="inlineStr">
        <is>
          <t/>
        </is>
      </c>
      <c r="BQ238" s="215" t="inlineStr">
        <is>
          <t/>
        </is>
      </c>
      <c r="BR238" s="216" t="inlineStr">
        <is>
          <t/>
        </is>
      </c>
      <c r="BS238" s="217" t="inlineStr">
        <is>
          <t/>
        </is>
      </c>
      <c r="BT238" s="218" t="inlineStr">
        <is>
          <t/>
        </is>
      </c>
      <c r="BU238" s="219" t="inlineStr">
        <is>
          <t/>
        </is>
      </c>
      <c r="BV238" s="220" t="inlineStr">
        <is>
          <t/>
        </is>
      </c>
      <c r="BW238" s="221" t="inlineStr">
        <is>
          <t/>
        </is>
      </c>
      <c r="BX238" s="222" t="inlineStr">
        <is>
          <t/>
        </is>
      </c>
      <c r="BY238" s="223" t="inlineStr">
        <is>
          <t/>
        </is>
      </c>
      <c r="BZ238" s="224" t="inlineStr">
        <is>
          <t/>
        </is>
      </c>
      <c r="CA238" s="225" t="inlineStr">
        <is>
          <t/>
        </is>
      </c>
      <c r="CB238" s="226" t="inlineStr">
        <is>
          <t/>
        </is>
      </c>
      <c r="CC238" s="227" t="inlineStr">
        <is>
          <t/>
        </is>
      </c>
      <c r="CD238" s="228" t="inlineStr">
        <is>
          <t/>
        </is>
      </c>
      <c r="CE238" s="229" t="inlineStr">
        <is>
          <t/>
        </is>
      </c>
      <c r="CF238" s="230" t="inlineStr">
        <is>
          <t/>
        </is>
      </c>
      <c r="CG238" s="231" t="inlineStr">
        <is>
          <t/>
        </is>
      </c>
      <c r="CH238" s="232" t="inlineStr">
        <is>
          <t/>
        </is>
      </c>
      <c r="CI238" s="233" t="inlineStr">
        <is>
          <t/>
        </is>
      </c>
      <c r="CJ238" s="234" t="inlineStr">
        <is>
          <t/>
        </is>
      </c>
      <c r="CK238" s="235" t="inlineStr">
        <is>
          <t/>
        </is>
      </c>
      <c r="CL238" s="236" t="inlineStr">
        <is>
          <t/>
        </is>
      </c>
      <c r="CM238" s="237" t="inlineStr">
        <is>
          <t/>
        </is>
      </c>
      <c r="CN238" s="238" t="n">
        <v>0.15</v>
      </c>
      <c r="CO238" s="239" t="n">
        <v>87.0</v>
      </c>
      <c r="CP238" s="240" t="n">
        <v>0.01</v>
      </c>
      <c r="CQ238" s="241" t="n">
        <v>4.15</v>
      </c>
      <c r="CR238" s="242" t="n">
        <v>0.26</v>
      </c>
      <c r="CS238" s="243" t="n">
        <v>91.0</v>
      </c>
      <c r="CT238" s="244" t="n">
        <v>0.03</v>
      </c>
      <c r="CU238" s="245" t="n">
        <v>60.0</v>
      </c>
      <c r="CV238" s="246" t="n">
        <v>0.69</v>
      </c>
      <c r="CW238" s="247" t="n">
        <v>85.0</v>
      </c>
      <c r="CX238" s="248" t="n">
        <v>-0.17</v>
      </c>
      <c r="CY238" s="249" t="n">
        <v>9.0</v>
      </c>
      <c r="CZ238" s="250" t="n">
        <v>0.02</v>
      </c>
      <c r="DA238" s="251" t="n">
        <v>64.0</v>
      </c>
      <c r="DB238" s="252" t="n">
        <v>722.03</v>
      </c>
      <c r="DC238" s="253" t="n">
        <v>100.0</v>
      </c>
      <c r="DD238" s="254" t="n">
        <v>6.93</v>
      </c>
      <c r="DE238" s="255" t="n">
        <v>0.97</v>
      </c>
      <c r="DF238" s="256" t="n">
        <v>55.94</v>
      </c>
      <c r="DG238" s="257" t="n">
        <v>99.0</v>
      </c>
      <c r="DH238" s="258" t="n">
        <v>1388.12</v>
      </c>
      <c r="DI238" s="259" t="n">
        <v>100.0</v>
      </c>
      <c r="DJ238" s="260" t="n">
        <v>28.12</v>
      </c>
      <c r="DK238" s="261" t="n">
        <v>93.0</v>
      </c>
      <c r="DL238" s="262" t="n">
        <v>83.76</v>
      </c>
      <c r="DM238" s="263" t="n">
        <v>99.0</v>
      </c>
      <c r="DN238" s="264" t="n">
        <v>134.83</v>
      </c>
      <c r="DO238" s="265" t="n">
        <v>99.0</v>
      </c>
      <c r="DP238" s="266" t="n">
        <v>20235.0</v>
      </c>
      <c r="DQ238" s="267" t="n">
        <v>-1644.0</v>
      </c>
      <c r="DR238" s="268" t="n">
        <v>-7.51</v>
      </c>
      <c r="DS238" s="269" t="n">
        <v>2842.0</v>
      </c>
      <c r="DT238" s="270" t="n">
        <v>13.0</v>
      </c>
      <c r="DU238" s="271" t="n">
        <v>0.46</v>
      </c>
      <c r="DV238" s="272" t="n">
        <v>48404.0</v>
      </c>
      <c r="DW238" s="273" t="n">
        <v>-12.0</v>
      </c>
      <c r="DX238" s="274" t="n">
        <v>-0.02</v>
      </c>
      <c r="DY238" s="275" t="inlineStr">
        <is>
          <t>PitchBook Research</t>
        </is>
      </c>
      <c r="DZ238" s="276" t="n">
        <v>43531.0</v>
      </c>
      <c r="EA238" s="277" t="inlineStr">
        <is>
          <t/>
        </is>
      </c>
      <c r="EB238" s="278" t="inlineStr">
        <is>
          <t/>
        </is>
      </c>
      <c r="EC238" s="279" t="inlineStr">
        <is>
          <t/>
        </is>
      </c>
      <c r="ED238" s="548">
        <f>HYPERLINK("https://my.pitchbook.com?c=57672-19", "View company online")</f>
      </c>
    </row>
    <row r="239">
      <c r="A239" s="13" t="inlineStr">
        <is>
          <t>41955-94</t>
        </is>
      </c>
      <c r="B239" s="14" t="inlineStr">
        <is>
          <t>Jos A. Bank Clothiers</t>
        </is>
      </c>
      <c r="C239" s="15" t="inlineStr">
        <is>
          <t/>
        </is>
      </c>
      <c r="D239" s="16" t="inlineStr">
        <is>
          <t/>
        </is>
      </c>
      <c r="E239" s="17" t="inlineStr">
        <is>
          <t>41955-94</t>
        </is>
      </c>
      <c r="F239" s="18" t="inlineStr">
        <is>
          <t>Jos A Bank Clothiers Inc is a Delaware corporation organized on June 22, 1982. It is a nationwide designer, manufacturer, retailer and direct marketer of men's tailored and casual clothing and accessories and is a retailer of tuxedo rental products. The Company sells substantially all of our products exclusively under the Jos. A. Bank label through 628 retail stores (as of February 1, 2014, which includes 42 Factory stores and 15 Franchise stores) located throughout 44 states and the District of Columbia in the United States, as well as through our nationwide call center and Internet operations. The Company operates in two segments namely Stores and Direct Marketing. The Stores segment includes all Company-owned stores excluding Factory stores (Full-line stores). The Direct Marketing segment includes the Internet and the call center and the internet. The Company's trademarks are JOS. A. BANK(r), JOS. A. BANK V.I.P(r), JOS. A. BANK VACATION IN PARADISE (r), VACATION IN PARADISE (r), THE MIRACLE COLLECTION (r) and TRAVELER CREASE (r). Its competitors include regional and national department stores, including, Macy's and Nordstrom, and specialty stores, including Brooks Brothers and Men's Wearhouse.</t>
        </is>
      </c>
      <c r="G239" s="19" t="inlineStr">
        <is>
          <t>Consumer Products and Services (B2C)</t>
        </is>
      </c>
      <c r="H239" s="20" t="inlineStr">
        <is>
          <t>Retail</t>
        </is>
      </c>
      <c r="I239" s="21" t="inlineStr">
        <is>
          <t>Specialty Retail</t>
        </is>
      </c>
      <c r="J239" s="22" t="inlineStr">
        <is>
          <t>Clothing, Specialty Retail*</t>
        </is>
      </c>
      <c r="K239" s="23" t="inlineStr">
        <is>
          <t>Manufacturing</t>
        </is>
      </c>
      <c r="L239" s="24" t="inlineStr">
        <is>
          <t>casual and formal, designer suits, tailored</t>
        </is>
      </c>
      <c r="M239" s="25" t="inlineStr">
        <is>
          <t>Corporate Backed or Acquired</t>
        </is>
      </c>
      <c r="N239" s="26" t="inlineStr">
        <is>
          <t/>
        </is>
      </c>
      <c r="O239" s="27" t="inlineStr">
        <is>
          <t>Profitable</t>
        </is>
      </c>
      <c r="P239" s="28" t="inlineStr">
        <is>
          <t>Acquired/Merged (Operating Subsidiary)</t>
        </is>
      </c>
      <c r="Q239" s="29" t="inlineStr">
        <is>
          <t>M&amp;A, Publicly Listed</t>
        </is>
      </c>
      <c r="R239" s="30" t="inlineStr">
        <is>
          <t>www.josbank.com</t>
        </is>
      </c>
      <c r="S239" s="31" t="n">
        <v>6469.0</v>
      </c>
      <c r="T239" s="32" t="inlineStr">
        <is>
          <t>1995: 1603, 1996: 1150, 1997: 1139, 1998: 1470, 1999: 1150, 2000: 1174, 2001: 1241, 2002: 1222, 2003: 1540, 2004: 1870, 2005: 2350, 2006: 2995, 2007: 3375, 2008: 4069, 2009: 4040, 2010: 4318, 2011: 4998, 2012: 5883, 2013: 6342, 2014: 6469</t>
        </is>
      </c>
      <c r="U239" s="33" t="inlineStr">
        <is>
          <t/>
        </is>
      </c>
      <c r="V239" s="34" t="inlineStr">
        <is>
          <t/>
        </is>
      </c>
      <c r="W239" s="35" t="n">
        <v>1905.0</v>
      </c>
      <c r="X239" s="36" t="inlineStr">
        <is>
          <t>Tailored Brands</t>
        </is>
      </c>
      <c r="Y239" s="37" t="inlineStr">
        <is>
          <t/>
        </is>
      </c>
      <c r="Z239" s="38" t="inlineStr">
        <is>
          <t/>
        </is>
      </c>
      <c r="AA239" s="39" t="n">
        <v>1053.53</v>
      </c>
      <c r="AB239" s="40" t="n">
        <v>609.27</v>
      </c>
      <c r="AC239" s="41" t="n">
        <v>18.1</v>
      </c>
      <c r="AD239" s="42" t="n">
        <v>1361.15</v>
      </c>
      <c r="AE239" s="43" t="n">
        <v>57.85</v>
      </c>
      <c r="AF239" s="44" t="inlineStr">
        <is>
          <t>TTM 1Q2015</t>
        </is>
      </c>
      <c r="AG239" s="45" t="inlineStr">
        <is>
          <t/>
        </is>
      </c>
      <c r="AH239" s="46" t="inlineStr">
        <is>
          <t/>
        </is>
      </c>
      <c r="AI239" s="47" t="inlineStr">
        <is>
          <t/>
        </is>
      </c>
      <c r="AJ239" s="48" t="inlineStr">
        <is>
          <t>66092-95P</t>
        </is>
      </c>
      <c r="AK239" s="49" t="inlineStr">
        <is>
          <t>David Ullman</t>
        </is>
      </c>
      <c r="AL239" s="50" t="inlineStr">
        <is>
          <t>Chief Financial Officer</t>
        </is>
      </c>
      <c r="AM239" s="51" t="inlineStr">
        <is>
          <t>ullman.david@josbank.com</t>
        </is>
      </c>
      <c r="AN239" s="52" t="inlineStr">
        <is>
          <t>+1 (410) 239-2700</t>
        </is>
      </c>
      <c r="AO239" s="53" t="inlineStr">
        <is>
          <t>Hampstead, MD</t>
        </is>
      </c>
      <c r="AP239" s="54" t="inlineStr">
        <is>
          <t>500 Hanover Pike</t>
        </is>
      </c>
      <c r="AQ239" s="55" t="inlineStr">
        <is>
          <t/>
        </is>
      </c>
      <c r="AR239" s="56" t="inlineStr">
        <is>
          <t>Hampstead</t>
        </is>
      </c>
      <c r="AS239" s="57" t="inlineStr">
        <is>
          <t>Maryland</t>
        </is>
      </c>
      <c r="AT239" s="58" t="inlineStr">
        <is>
          <t>21074</t>
        </is>
      </c>
      <c r="AU239" s="59" t="inlineStr">
        <is>
          <t>United States</t>
        </is>
      </c>
      <c r="AV239" s="60" t="inlineStr">
        <is>
          <t>+1 (410) 239-2700</t>
        </is>
      </c>
      <c r="AW239" s="61" t="inlineStr">
        <is>
          <t/>
        </is>
      </c>
      <c r="AX239" s="62" t="inlineStr">
        <is>
          <t>service@jos-a-bank.com</t>
        </is>
      </c>
      <c r="AY239" s="63" t="inlineStr">
        <is>
          <t>Americas</t>
        </is>
      </c>
      <c r="AZ239" s="64" t="inlineStr">
        <is>
          <t>North America</t>
        </is>
      </c>
      <c r="BA239" s="65" t="inlineStr">
        <is>
          <t>The company (Nasdaq: JOSB) was acquired by Mens Wearhouse (NYSE: MW) for approximately $1.8 billion on June 18, 2014. The company is no longer actively tracked by PitchBook.</t>
        </is>
      </c>
      <c r="BB239" s="66" t="inlineStr">
        <is>
          <t/>
        </is>
      </c>
      <c r="BC239" s="67" t="inlineStr">
        <is>
          <t/>
        </is>
      </c>
      <c r="BD239" s="68" t="inlineStr">
        <is>
          <t>Tailored Brands</t>
        </is>
      </c>
      <c r="BE239" s="69" t="inlineStr">
        <is>
          <t/>
        </is>
      </c>
      <c r="BF239" s="70" t="inlineStr">
        <is>
          <t/>
        </is>
      </c>
      <c r="BG239" s="71" t="inlineStr">
        <is>
          <t/>
        </is>
      </c>
      <c r="BH239" s="72" t="inlineStr">
        <is>
          <t/>
        </is>
      </c>
      <c r="BI239" s="73" t="inlineStr">
        <is>
          <t/>
        </is>
      </c>
      <c r="BJ239" s="74" t="inlineStr">
        <is>
          <t/>
        </is>
      </c>
      <c r="BK239" s="75" t="inlineStr">
        <is>
          <t>Bank of America Merrill Lynch(Advisor: General), Financo(Advisor: General), J.P. Morgan(Advisor: General), Law Office of Gerhard J. Petzall(Legal Advisor), Skadden, Arps, Slate, Meagher &amp; Flom(Legal Advisor), The Goldman Sachs Group(Advisor: General)</t>
        </is>
      </c>
      <c r="BL239" s="76" t="n">
        <v>41808.0</v>
      </c>
      <c r="BM239" s="77" t="n">
        <v>1800.0</v>
      </c>
      <c r="BN239" s="78" t="inlineStr">
        <is>
          <t>Estimated</t>
        </is>
      </c>
      <c r="BO239" s="79" t="n">
        <v>1800.0</v>
      </c>
      <c r="BP239" s="80" t="inlineStr">
        <is>
          <t>Estimated</t>
        </is>
      </c>
      <c r="BQ239" s="81" t="inlineStr">
        <is>
          <t>Merger/Acquisition</t>
        </is>
      </c>
      <c r="BR239" s="82" t="inlineStr">
        <is>
          <t/>
        </is>
      </c>
      <c r="BS239" s="83" t="inlineStr">
        <is>
          <t/>
        </is>
      </c>
      <c r="BT239" s="84" t="inlineStr">
        <is>
          <t>Corporate</t>
        </is>
      </c>
      <c r="BU239" s="85" t="inlineStr">
        <is>
          <t>Loan</t>
        </is>
      </c>
      <c r="BV239" s="86" t="inlineStr">
        <is>
          <t/>
        </is>
      </c>
      <c r="BW239" s="87" t="inlineStr">
        <is>
          <t/>
        </is>
      </c>
      <c r="BX239" s="88" t="inlineStr">
        <is>
          <t>Completed</t>
        </is>
      </c>
      <c r="BY239" s="89" t="n">
        <v>41808.0</v>
      </c>
      <c r="BZ239" s="90" t="n">
        <v>1800.0</v>
      </c>
      <c r="CA239" s="91" t="inlineStr">
        <is>
          <t>Estimated</t>
        </is>
      </c>
      <c r="CB239" s="92" t="n">
        <v>1800.0</v>
      </c>
      <c r="CC239" s="93" t="inlineStr">
        <is>
          <t>Estimated</t>
        </is>
      </c>
      <c r="CD239" s="94" t="inlineStr">
        <is>
          <t>Merger/Acquisition</t>
        </is>
      </c>
      <c r="CE239" s="95" t="inlineStr">
        <is>
          <t/>
        </is>
      </c>
      <c r="CF239" s="96" t="inlineStr">
        <is>
          <t/>
        </is>
      </c>
      <c r="CG239" s="97" t="inlineStr">
        <is>
          <t>Corporate</t>
        </is>
      </c>
      <c r="CH239" s="98" t="inlineStr">
        <is>
          <t>Loan</t>
        </is>
      </c>
      <c r="CI239" s="99" t="inlineStr">
        <is>
          <t/>
        </is>
      </c>
      <c r="CJ239" s="100" t="inlineStr">
        <is>
          <t/>
        </is>
      </c>
      <c r="CK239" s="101" t="inlineStr">
        <is>
          <t>Completed</t>
        </is>
      </c>
      <c r="CL239" s="102" t="n">
        <v>41808.0</v>
      </c>
      <c r="CM239" s="103" t="inlineStr">
        <is>
          <t/>
        </is>
      </c>
      <c r="CN239" s="104" t="n">
        <v>1.28</v>
      </c>
      <c r="CO239" s="105" t="n">
        <v>98.0</v>
      </c>
      <c r="CP239" s="106" t="n">
        <v>-0.02</v>
      </c>
      <c r="CQ239" s="107" t="n">
        <v>-1.25</v>
      </c>
      <c r="CR239" s="108" t="n">
        <v>2.58</v>
      </c>
      <c r="CS239" s="109" t="n">
        <v>99.0</v>
      </c>
      <c r="CT239" s="110" t="n">
        <v>-0.03</v>
      </c>
      <c r="CU239" s="111" t="n">
        <v>20.0</v>
      </c>
      <c r="CV239" s="112" t="n">
        <v>5.03</v>
      </c>
      <c r="CW239" s="113" t="n">
        <v>97.0</v>
      </c>
      <c r="CX239" s="114" t="n">
        <v>0.13</v>
      </c>
      <c r="CY239" s="115" t="n">
        <v>87.0</v>
      </c>
      <c r="CZ239" s="116" t="n">
        <v>-0.03</v>
      </c>
      <c r="DA239" s="117" t="n">
        <v>23.0</v>
      </c>
      <c r="DB239" s="118" t="n">
        <v>319.95</v>
      </c>
      <c r="DC239" s="119" t="n">
        <v>100.0</v>
      </c>
      <c r="DD239" s="120" t="n">
        <v>12.21</v>
      </c>
      <c r="DE239" s="121" t="n">
        <v>3.97</v>
      </c>
      <c r="DF239" s="122" t="n">
        <v>565.65</v>
      </c>
      <c r="DG239" s="123" t="n">
        <v>100.0</v>
      </c>
      <c r="DH239" s="124" t="n">
        <v>74.24</v>
      </c>
      <c r="DI239" s="125" t="n">
        <v>97.0</v>
      </c>
      <c r="DJ239" s="126" t="n">
        <v>936.37</v>
      </c>
      <c r="DK239" s="127" t="n">
        <v>100.0</v>
      </c>
      <c r="DL239" s="128" t="n">
        <v>194.94</v>
      </c>
      <c r="DM239" s="129" t="n">
        <v>100.0</v>
      </c>
      <c r="DN239" s="130" t="n">
        <v>74.24</v>
      </c>
      <c r="DO239" s="131" t="n">
        <v>98.0</v>
      </c>
      <c r="DP239" s="132" t="n">
        <v>666639.0</v>
      </c>
      <c r="DQ239" s="133" t="n">
        <v>8921.0</v>
      </c>
      <c r="DR239" s="134" t="n">
        <v>1.36</v>
      </c>
      <c r="DS239" s="135" t="n">
        <v>6620.0</v>
      </c>
      <c r="DT239" s="136" t="n">
        <v>16.0</v>
      </c>
      <c r="DU239" s="137" t="n">
        <v>0.24</v>
      </c>
      <c r="DV239" s="138" t="n">
        <v>26656.0</v>
      </c>
      <c r="DW239" s="139" t="n">
        <v>-19.0</v>
      </c>
      <c r="DX239" s="140" t="n">
        <v>-0.07</v>
      </c>
      <c r="DY239" s="141" t="inlineStr">
        <is>
          <t>PitchBook Research</t>
        </is>
      </c>
      <c r="DZ239" s="142" t="n">
        <v>43409.0</v>
      </c>
      <c r="EA239" s="143" t="n">
        <v>1800.0</v>
      </c>
      <c r="EB239" s="144" t="n">
        <v>41808.0</v>
      </c>
      <c r="EC239" s="145" t="inlineStr">
        <is>
          <t>Merger/Acquisition</t>
        </is>
      </c>
      <c r="ED239" s="547">
        <f>HYPERLINK("https://my.pitchbook.com?c=41955-94", "View company online")</f>
      </c>
    </row>
    <row r="240">
      <c r="A240" s="147" t="inlineStr">
        <is>
          <t>165418-75</t>
        </is>
      </c>
      <c r="B240" s="148" t="inlineStr">
        <is>
          <t>Luthai Textile Company (SHE: 000726)</t>
        </is>
      </c>
      <c r="C240" s="149" t="inlineStr">
        <is>
          <t/>
        </is>
      </c>
      <c r="D240" s="150" t="inlineStr">
        <is>
          <t/>
        </is>
      </c>
      <c r="E240" s="151" t="inlineStr">
        <is>
          <t>165418-75</t>
        </is>
      </c>
      <c r="F240" s="152" t="inlineStr">
        <is>
          <t>Luthai Textile Co Ltd is a China-based company. Its business includes the production, processing and sales business of cotton yarn, yarn dyed fabrics, shirts, fashion accessories, health underwear and other textile products and their mating products; design, Research and development, technology services of the textile and garment products. It has four segments which are Textile and apparel, Cotton, Electricity and steam, and Other. Most of the revenue generated from the Textile and apparel segment.</t>
        </is>
      </c>
      <c r="G240" s="153" t="inlineStr">
        <is>
          <t>Consumer Products and Services (B2C)</t>
        </is>
      </c>
      <c r="H240" s="154" t="inlineStr">
        <is>
          <t>Apparel and Accessories</t>
        </is>
      </c>
      <c r="I240" s="155" t="inlineStr">
        <is>
          <t>Clothing</t>
        </is>
      </c>
      <c r="J240" s="156" t="inlineStr">
        <is>
          <t>Clothing*</t>
        </is>
      </c>
      <c r="K240" s="157" t="inlineStr">
        <is>
          <t/>
        </is>
      </c>
      <c r="L240" s="158" t="inlineStr">
        <is>
          <t>cotton yarn, health underwear, shirts, yarn dyed fabrics</t>
        </is>
      </c>
      <c r="M240" s="159" t="inlineStr">
        <is>
          <t>Corporation</t>
        </is>
      </c>
      <c r="N240" s="160" t="inlineStr">
        <is>
          <t/>
        </is>
      </c>
      <c r="O240" s="161" t="inlineStr">
        <is>
          <t>Profitable</t>
        </is>
      </c>
      <c r="P240" s="162" t="inlineStr">
        <is>
          <t>Publicly Held</t>
        </is>
      </c>
      <c r="Q240" s="163" t="inlineStr">
        <is>
          <t>Publicly Listed</t>
        </is>
      </c>
      <c r="R240" s="164" t="inlineStr">
        <is>
          <t>www.lttc.com.cn</t>
        </is>
      </c>
      <c r="S240" s="165" t="n">
        <v>25203.0</v>
      </c>
      <c r="T240" s="166" t="inlineStr">
        <is>
          <t>2000: 3860, 2001: 4476, 2002: 6032, 2003: 7428, 2004: 9147, 2005: 11260, 2006: 13962, 2007: 16562, 2008: 16755, 2009: 16400, 2010: 16019, 2011: 16559, 2012: 16725, 2013: 16754, 2014: 16822, 2015: 22445, 2016: 21019, 2017: 25203</t>
        </is>
      </c>
      <c r="U240" s="167" t="inlineStr">
        <is>
          <t>SHE</t>
        </is>
      </c>
      <c r="V240" s="168" t="inlineStr">
        <is>
          <t>000726</t>
        </is>
      </c>
      <c r="W240" s="169" t="inlineStr">
        <is>
          <t/>
        </is>
      </c>
      <c r="X240" s="170" t="inlineStr">
        <is>
          <t/>
        </is>
      </c>
      <c r="Y240" s="171" t="inlineStr">
        <is>
          <t/>
        </is>
      </c>
      <c r="Z240" s="172" t="inlineStr">
        <is>
          <t/>
        </is>
      </c>
      <c r="AA240" s="173" t="n">
        <v>1041.39</v>
      </c>
      <c r="AB240" s="174" t="n">
        <v>304.13</v>
      </c>
      <c r="AC240" s="175" t="n">
        <v>128.13</v>
      </c>
      <c r="AD240" s="176" t="n">
        <v>1400.27</v>
      </c>
      <c r="AE240" s="177" t="n">
        <v>218.46</v>
      </c>
      <c r="AF240" s="178" t="inlineStr">
        <is>
          <t>TTM 3Q2018</t>
        </is>
      </c>
      <c r="AG240" s="179" t="n">
        <v>156.28</v>
      </c>
      <c r="AH240" s="180" t="n">
        <v>1303.91</v>
      </c>
      <c r="AI240" s="181" t="n">
        <v>137.94</v>
      </c>
      <c r="AJ240" s="182" t="inlineStr">
        <is>
          <t/>
        </is>
      </c>
      <c r="AK240" s="183" t="inlineStr">
        <is>
          <t/>
        </is>
      </c>
      <c r="AL240" s="184" t="inlineStr">
        <is>
          <t/>
        </is>
      </c>
      <c r="AM240" s="185" t="inlineStr">
        <is>
          <t/>
        </is>
      </c>
      <c r="AN240" s="186" t="inlineStr">
        <is>
          <t/>
        </is>
      </c>
      <c r="AO240" s="187" t="inlineStr">
        <is>
          <t>Zibo, China</t>
        </is>
      </c>
      <c r="AP240" s="188" t="inlineStr">
        <is>
          <t>Number 11, Mingbo Road</t>
        </is>
      </c>
      <c r="AQ240" s="189" t="inlineStr">
        <is>
          <t>High-tech Industry Development Zone, Shandong</t>
        </is>
      </c>
      <c r="AR240" s="190" t="inlineStr">
        <is>
          <t>Zibo</t>
        </is>
      </c>
      <c r="AS240" s="191" t="inlineStr">
        <is>
          <t/>
        </is>
      </c>
      <c r="AT240" s="192" t="inlineStr">
        <is>
          <t>255086</t>
        </is>
      </c>
      <c r="AU240" s="193" t="inlineStr">
        <is>
          <t>China</t>
        </is>
      </c>
      <c r="AV240" s="194" t="inlineStr">
        <is>
          <t/>
        </is>
      </c>
      <c r="AW240" s="195" t="inlineStr">
        <is>
          <t/>
        </is>
      </c>
      <c r="AX240" s="196" t="inlineStr">
        <is>
          <t/>
        </is>
      </c>
      <c r="AY240" s="197" t="inlineStr">
        <is>
          <t>Asia</t>
        </is>
      </c>
      <c r="AZ240" s="198" t="inlineStr">
        <is>
          <t>East Asia</t>
        </is>
      </c>
      <c r="BA240" s="199" t="inlineStr">
        <is>
          <t/>
        </is>
      </c>
      <c r="BB240" s="200" t="inlineStr">
        <is>
          <t/>
        </is>
      </c>
      <c r="BC240" s="201" t="inlineStr">
        <is>
          <t/>
        </is>
      </c>
      <c r="BD240" s="202" t="inlineStr">
        <is>
          <t/>
        </is>
      </c>
      <c r="BE240" s="203" t="inlineStr">
        <is>
          <t/>
        </is>
      </c>
      <c r="BF240" s="204" t="inlineStr">
        <is>
          <t/>
        </is>
      </c>
      <c r="BG240" s="205" t="inlineStr">
        <is>
          <t/>
        </is>
      </c>
      <c r="BH240" s="206" t="inlineStr">
        <is>
          <t/>
        </is>
      </c>
      <c r="BI240" s="207" t="inlineStr">
        <is>
          <t/>
        </is>
      </c>
      <c r="BJ240" s="208" t="inlineStr">
        <is>
          <t/>
        </is>
      </c>
      <c r="BK240" s="209" t="inlineStr">
        <is>
          <t/>
        </is>
      </c>
      <c r="BL240" s="210" t="inlineStr">
        <is>
          <t/>
        </is>
      </c>
      <c r="BM240" s="211" t="inlineStr">
        <is>
          <t/>
        </is>
      </c>
      <c r="BN240" s="212" t="inlineStr">
        <is>
          <t/>
        </is>
      </c>
      <c r="BO240" s="213" t="inlineStr">
        <is>
          <t/>
        </is>
      </c>
      <c r="BP240" s="214" t="inlineStr">
        <is>
          <t/>
        </is>
      </c>
      <c r="BQ240" s="215" t="inlineStr">
        <is>
          <t/>
        </is>
      </c>
      <c r="BR240" s="216" t="inlineStr">
        <is>
          <t/>
        </is>
      </c>
      <c r="BS240" s="217" t="inlineStr">
        <is>
          <t/>
        </is>
      </c>
      <c r="BT240" s="218" t="inlineStr">
        <is>
          <t/>
        </is>
      </c>
      <c r="BU240" s="219" t="inlineStr">
        <is>
          <t/>
        </is>
      </c>
      <c r="BV240" s="220" t="inlineStr">
        <is>
          <t/>
        </is>
      </c>
      <c r="BW240" s="221" t="inlineStr">
        <is>
          <t/>
        </is>
      </c>
      <c r="BX240" s="222" t="inlineStr">
        <is>
          <t/>
        </is>
      </c>
      <c r="BY240" s="223" t="inlineStr">
        <is>
          <t/>
        </is>
      </c>
      <c r="BZ240" s="224" t="inlineStr">
        <is>
          <t/>
        </is>
      </c>
      <c r="CA240" s="225" t="inlineStr">
        <is>
          <t/>
        </is>
      </c>
      <c r="CB240" s="226" t="inlineStr">
        <is>
          <t/>
        </is>
      </c>
      <c r="CC240" s="227" t="inlineStr">
        <is>
          <t/>
        </is>
      </c>
      <c r="CD240" s="228" t="inlineStr">
        <is>
          <t/>
        </is>
      </c>
      <c r="CE240" s="229" t="inlineStr">
        <is>
          <t/>
        </is>
      </c>
      <c r="CF240" s="230" t="inlineStr">
        <is>
          <t/>
        </is>
      </c>
      <c r="CG240" s="231" t="inlineStr">
        <is>
          <t/>
        </is>
      </c>
      <c r="CH240" s="232" t="inlineStr">
        <is>
          <t/>
        </is>
      </c>
      <c r="CI240" s="233" t="inlineStr">
        <is>
          <t/>
        </is>
      </c>
      <c r="CJ240" s="234" t="inlineStr">
        <is>
          <t/>
        </is>
      </c>
      <c r="CK240" s="235" t="inlineStr">
        <is>
          <t/>
        </is>
      </c>
      <c r="CL240" s="236" t="inlineStr">
        <is>
          <t/>
        </is>
      </c>
      <c r="CM240" s="237" t="inlineStr">
        <is>
          <t/>
        </is>
      </c>
      <c r="CN240" s="238" t="n">
        <v>0.79</v>
      </c>
      <c r="CO240" s="239" t="n">
        <v>97.0</v>
      </c>
      <c r="CP240" s="240" t="n">
        <v>0.0</v>
      </c>
      <c r="CQ240" s="241" t="n">
        <v>-0.12</v>
      </c>
      <c r="CR240" s="242" t="n">
        <v>0.79</v>
      </c>
      <c r="CS240" s="243" t="n">
        <v>96.0</v>
      </c>
      <c r="CT240" s="244" t="inlineStr">
        <is>
          <t/>
        </is>
      </c>
      <c r="CU240" s="245" t="inlineStr">
        <is>
          <t/>
        </is>
      </c>
      <c r="CV240" s="246" t="inlineStr">
        <is>
          <t/>
        </is>
      </c>
      <c r="CW240" s="247" t="inlineStr">
        <is>
          <t/>
        </is>
      </c>
      <c r="CX240" s="248" t="n">
        <v>0.79</v>
      </c>
      <c r="CY240" s="249" t="n">
        <v>97.0</v>
      </c>
      <c r="CZ240" s="250" t="inlineStr">
        <is>
          <t/>
        </is>
      </c>
      <c r="DA240" s="251" t="inlineStr">
        <is>
          <t/>
        </is>
      </c>
      <c r="DB240" s="252" t="n">
        <v>25.56</v>
      </c>
      <c r="DC240" s="253" t="n">
        <v>96.0</v>
      </c>
      <c r="DD240" s="254" t="n">
        <v>6.18</v>
      </c>
      <c r="DE240" s="255" t="n">
        <v>31.9</v>
      </c>
      <c r="DF240" s="256" t="n">
        <v>25.56</v>
      </c>
      <c r="DG240" s="257" t="n">
        <v>96.0</v>
      </c>
      <c r="DH240" s="258" t="inlineStr">
        <is>
          <t/>
        </is>
      </c>
      <c r="DI240" s="259" t="inlineStr">
        <is>
          <t/>
        </is>
      </c>
      <c r="DJ240" s="260" t="inlineStr">
        <is>
          <t/>
        </is>
      </c>
      <c r="DK240" s="261" t="inlineStr">
        <is>
          <t/>
        </is>
      </c>
      <c r="DL240" s="262" t="n">
        <v>25.56</v>
      </c>
      <c r="DM240" s="263" t="n">
        <v>95.0</v>
      </c>
      <c r="DN240" s="264" t="inlineStr">
        <is>
          <t/>
        </is>
      </c>
      <c r="DO240" s="265" t="inlineStr">
        <is>
          <t/>
        </is>
      </c>
      <c r="DP240" s="266" t="inlineStr">
        <is>
          <t/>
        </is>
      </c>
      <c r="DQ240" s="267" t="inlineStr">
        <is>
          <t/>
        </is>
      </c>
      <c r="DR240" s="268" t="inlineStr">
        <is>
          <t/>
        </is>
      </c>
      <c r="DS240" s="269" t="n">
        <v>870.0</v>
      </c>
      <c r="DT240" s="270" t="n">
        <v>1.0</v>
      </c>
      <c r="DU240" s="271" t="n">
        <v>0.12</v>
      </c>
      <c r="DV240" s="272" t="inlineStr">
        <is>
          <t/>
        </is>
      </c>
      <c r="DW240" s="273" t="inlineStr">
        <is>
          <t/>
        </is>
      </c>
      <c r="DX240" s="274" t="inlineStr">
        <is>
          <t/>
        </is>
      </c>
      <c r="DY240" s="275" t="inlineStr">
        <is>
          <t>PitchBook Research</t>
        </is>
      </c>
      <c r="DZ240" s="276" t="n">
        <v>43491.0</v>
      </c>
      <c r="EA240" s="277" t="inlineStr">
        <is>
          <t/>
        </is>
      </c>
      <c r="EB240" s="278" t="inlineStr">
        <is>
          <t/>
        </is>
      </c>
      <c r="EC240" s="279" t="inlineStr">
        <is>
          <t/>
        </is>
      </c>
      <c r="ED240" s="548">
        <f>HYPERLINK("https://my.pitchbook.com?c=165418-75", "View company online")</f>
      </c>
    </row>
    <row r="241">
      <c r="A241" s="13" t="inlineStr">
        <is>
          <t>42789-52</t>
        </is>
      </c>
      <c r="B241" s="14" t="inlineStr">
        <is>
          <t>Catherines Stores</t>
        </is>
      </c>
      <c r="C241" s="15" t="inlineStr">
        <is>
          <t>Catherines</t>
        </is>
      </c>
      <c r="D241" s="16" t="inlineStr">
        <is>
          <t/>
        </is>
      </c>
      <c r="E241" s="17" t="inlineStr">
        <is>
          <t>42789-52</t>
        </is>
      </c>
      <c r="F241" s="18" t="inlineStr">
        <is>
          <t>Retailer of women's large-size clothing and accessories. The company offers casual shirts, sweaters, jackets and blazers, dress tops, right fit pants, capris and shorts, casual pants, leggings and slim leg pants, denim jeans and accessories like jewelry, sets and boxed jewelry, scarves, hosiery and socks, sunglasses, sandals and flip-flops for woman.</t>
        </is>
      </c>
      <c r="G241" s="19" t="inlineStr">
        <is>
          <t>Consumer Products and Services (B2C)</t>
        </is>
      </c>
      <c r="H241" s="20" t="inlineStr">
        <is>
          <t>Retail</t>
        </is>
      </c>
      <c r="I241" s="21" t="inlineStr">
        <is>
          <t>Specialty Retail</t>
        </is>
      </c>
      <c r="J241" s="22" t="inlineStr">
        <is>
          <t>Clothing, Specialty Retail*</t>
        </is>
      </c>
      <c r="K241" s="23" t="inlineStr">
        <is>
          <t/>
        </is>
      </c>
      <c r="L241" s="24" t="inlineStr">
        <is>
          <t>jewelry, large sizing clothing, party dresses</t>
        </is>
      </c>
      <c r="M241" s="25" t="inlineStr">
        <is>
          <t>Formerly PE-Backed</t>
        </is>
      </c>
      <c r="N241" s="26" t="n">
        <v>24.0</v>
      </c>
      <c r="O241" s="27" t="inlineStr">
        <is>
          <t>Generating Revenue</t>
        </is>
      </c>
      <c r="P241" s="28" t="inlineStr">
        <is>
          <t>Acquired/Merged (Operating Subsidiary)</t>
        </is>
      </c>
      <c r="Q241" s="29" t="inlineStr">
        <is>
          <t>Private Equity, Publicly Listed</t>
        </is>
      </c>
      <c r="R241" s="30" t="inlineStr">
        <is>
          <t>www.catherines.com</t>
        </is>
      </c>
      <c r="S241" s="31" t="n">
        <v>1001.0</v>
      </c>
      <c r="T241" s="32" t="inlineStr">
        <is>
          <t>1999: 1730, 2007: 3200, 2016: 1001</t>
        </is>
      </c>
      <c r="U241" s="33" t="inlineStr">
        <is>
          <t/>
        </is>
      </c>
      <c r="V241" s="34" t="inlineStr">
        <is>
          <t/>
        </is>
      </c>
      <c r="W241" s="35" t="n">
        <v>1960.0</v>
      </c>
      <c r="X241" s="36" t="inlineStr">
        <is>
          <t>Charming Shoppes</t>
        </is>
      </c>
      <c r="Y241" s="37" t="inlineStr">
        <is>
          <t/>
        </is>
      </c>
      <c r="Z241" s="38" t="inlineStr">
        <is>
          <t/>
        </is>
      </c>
      <c r="AA241" s="39" t="n">
        <v>1027.0</v>
      </c>
      <c r="AB241" s="40" t="inlineStr">
        <is>
          <t/>
        </is>
      </c>
      <c r="AC241" s="41" t="inlineStr">
        <is>
          <t/>
        </is>
      </c>
      <c r="AD241" s="42" t="inlineStr">
        <is>
          <t/>
        </is>
      </c>
      <c r="AE241" s="43" t="inlineStr">
        <is>
          <t/>
        </is>
      </c>
      <c r="AF241" s="44" t="inlineStr">
        <is>
          <t>FY 2007</t>
        </is>
      </c>
      <c r="AG241" s="45" t="inlineStr">
        <is>
          <t/>
        </is>
      </c>
      <c r="AH241" s="46" t="inlineStr">
        <is>
          <t/>
        </is>
      </c>
      <c r="AI241" s="47" t="inlineStr">
        <is>
          <t/>
        </is>
      </c>
      <c r="AJ241" s="48" t="inlineStr">
        <is>
          <t>32832-64P</t>
        </is>
      </c>
      <c r="AK241" s="49" t="inlineStr">
        <is>
          <t>Brett Schneider</t>
        </is>
      </c>
      <c r="AL241" s="50" t="inlineStr">
        <is>
          <t>Chief Financial Officer &amp; Vice President, Finance</t>
        </is>
      </c>
      <c r="AM241" s="51" t="inlineStr">
        <is>
          <t>brett.schneider@catherines.com</t>
        </is>
      </c>
      <c r="AN241" s="52" t="inlineStr">
        <is>
          <t>+1 (215) 245-9100</t>
        </is>
      </c>
      <c r="AO241" s="53" t="inlineStr">
        <is>
          <t>Bensalem, PA</t>
        </is>
      </c>
      <c r="AP241" s="54" t="inlineStr">
        <is>
          <t>450 Winks Lane</t>
        </is>
      </c>
      <c r="AQ241" s="55" t="inlineStr">
        <is>
          <t/>
        </is>
      </c>
      <c r="AR241" s="56" t="inlineStr">
        <is>
          <t>Bensalem</t>
        </is>
      </c>
      <c r="AS241" s="57" t="inlineStr">
        <is>
          <t>Pennsylvania</t>
        </is>
      </c>
      <c r="AT241" s="58" t="inlineStr">
        <is>
          <t>19020</t>
        </is>
      </c>
      <c r="AU241" s="59" t="inlineStr">
        <is>
          <t>United States</t>
        </is>
      </c>
      <c r="AV241" s="60" t="inlineStr">
        <is>
          <t>+1 (215) 245-9100</t>
        </is>
      </c>
      <c r="AW241" s="61" t="inlineStr">
        <is>
          <t/>
        </is>
      </c>
      <c r="AX241" s="62" t="inlineStr">
        <is>
          <t/>
        </is>
      </c>
      <c r="AY241" s="63" t="inlineStr">
        <is>
          <t>Americas</t>
        </is>
      </c>
      <c r="AZ241" s="64" t="inlineStr">
        <is>
          <t>North America</t>
        </is>
      </c>
      <c r="BA241" s="65" t="inlineStr">
        <is>
          <t>The company was acquired by Charming Shoppes (NASDAQ: CHRS) in January 2000 for an undisclosed sum. The company is no longer actively tracked by PitchBook.</t>
        </is>
      </c>
      <c r="BB241" s="66" t="inlineStr">
        <is>
          <t/>
        </is>
      </c>
      <c r="BC241" s="67" t="inlineStr">
        <is>
          <t/>
        </is>
      </c>
      <c r="BD241" s="68" t="inlineStr">
        <is>
          <t>Charming Shoppes</t>
        </is>
      </c>
      <c r="BE241" s="69" t="inlineStr">
        <is>
          <t>Court Square Capital Partners, Investcorp Bank</t>
        </is>
      </c>
      <c r="BF241" s="70" t="inlineStr">
        <is>
          <t/>
        </is>
      </c>
      <c r="BG241" s="71" t="inlineStr">
        <is>
          <t/>
        </is>
      </c>
      <c r="BH241" s="72" t="inlineStr">
        <is>
          <t>Court Square Capital Partners(www.courtsquare.com), Investcorp Bank(www.investcorp.com)</t>
        </is>
      </c>
      <c r="BI241" s="73" t="inlineStr">
        <is>
          <t/>
        </is>
      </c>
      <c r="BJ241" s="74" t="inlineStr">
        <is>
          <t/>
        </is>
      </c>
      <c r="BK241" s="75" t="inlineStr">
        <is>
          <t>UBS Financial Services(Underwriter)</t>
        </is>
      </c>
      <c r="BL241" s="76" t="n">
        <v>32051.0</v>
      </c>
      <c r="BM241" s="77" t="n">
        <v>42.3</v>
      </c>
      <c r="BN241" s="78" t="inlineStr">
        <is>
          <t>Actual</t>
        </is>
      </c>
      <c r="BO241" s="79" t="n">
        <v>42.3</v>
      </c>
      <c r="BP241" s="80" t="inlineStr">
        <is>
          <t/>
        </is>
      </c>
      <c r="BQ241" s="81" t="inlineStr">
        <is>
          <t>Buyout/LBO</t>
        </is>
      </c>
      <c r="BR241" s="82" t="inlineStr">
        <is>
          <t>Management Buyout</t>
        </is>
      </c>
      <c r="BS241" s="83" t="inlineStr">
        <is>
          <t>Corporate Divestiture</t>
        </is>
      </c>
      <c r="BT241" s="84" t="inlineStr">
        <is>
          <t>Private Equity</t>
        </is>
      </c>
      <c r="BU241" s="85" t="inlineStr">
        <is>
          <t/>
        </is>
      </c>
      <c r="BV241" s="86" t="inlineStr">
        <is>
          <t/>
        </is>
      </c>
      <c r="BW241" s="87" t="inlineStr">
        <is>
          <t/>
        </is>
      </c>
      <c r="BX241" s="88" t="inlineStr">
        <is>
          <t>Completed</t>
        </is>
      </c>
      <c r="BY241" s="89" t="n">
        <v>36526.0</v>
      </c>
      <c r="BZ241" s="90" t="inlineStr">
        <is>
          <t/>
        </is>
      </c>
      <c r="CA241" s="91" t="inlineStr">
        <is>
          <t/>
        </is>
      </c>
      <c r="CB241" s="92" t="inlineStr">
        <is>
          <t/>
        </is>
      </c>
      <c r="CC241" s="93" t="inlineStr">
        <is>
          <t/>
        </is>
      </c>
      <c r="CD241" s="94" t="inlineStr">
        <is>
          <t>Merger/Acquisition</t>
        </is>
      </c>
      <c r="CE241" s="95" t="inlineStr">
        <is>
          <t/>
        </is>
      </c>
      <c r="CF241" s="96" t="inlineStr">
        <is>
          <t/>
        </is>
      </c>
      <c r="CG241" s="97" t="inlineStr">
        <is>
          <t>Corporate</t>
        </is>
      </c>
      <c r="CH241" s="98" t="inlineStr">
        <is>
          <t/>
        </is>
      </c>
      <c r="CI241" s="99" t="inlineStr">
        <is>
          <t/>
        </is>
      </c>
      <c r="CJ241" s="100" t="inlineStr">
        <is>
          <t/>
        </is>
      </c>
      <c r="CK241" s="101" t="inlineStr">
        <is>
          <t>Completed</t>
        </is>
      </c>
      <c r="CL241" s="102" t="inlineStr">
        <is>
          <t/>
        </is>
      </c>
      <c r="CM241" s="103" t="inlineStr">
        <is>
          <t/>
        </is>
      </c>
      <c r="CN241" s="104" t="inlineStr">
        <is>
          <t/>
        </is>
      </c>
      <c r="CO241" s="105" t="inlineStr">
        <is>
          <t/>
        </is>
      </c>
      <c r="CP241" s="106" t="inlineStr">
        <is>
          <t/>
        </is>
      </c>
      <c r="CQ241" s="107" t="inlineStr">
        <is>
          <t/>
        </is>
      </c>
      <c r="CR241" s="108" t="inlineStr">
        <is>
          <t/>
        </is>
      </c>
      <c r="CS241" s="109" t="inlineStr">
        <is>
          <t/>
        </is>
      </c>
      <c r="CT241" s="110" t="inlineStr">
        <is>
          <t/>
        </is>
      </c>
      <c r="CU241" s="111" t="inlineStr">
        <is>
          <t/>
        </is>
      </c>
      <c r="CV241" s="112" t="inlineStr">
        <is>
          <t/>
        </is>
      </c>
      <c r="CW241" s="113" t="inlineStr">
        <is>
          <t/>
        </is>
      </c>
      <c r="CX241" s="114" t="inlineStr">
        <is>
          <t/>
        </is>
      </c>
      <c r="CY241" s="115" t="inlineStr">
        <is>
          <t/>
        </is>
      </c>
      <c r="CZ241" s="116" t="inlineStr">
        <is>
          <t/>
        </is>
      </c>
      <c r="DA241" s="117" t="inlineStr">
        <is>
          <t/>
        </is>
      </c>
      <c r="DB241" s="118" t="inlineStr">
        <is>
          <t/>
        </is>
      </c>
      <c r="DC241" s="119" t="inlineStr">
        <is>
          <t/>
        </is>
      </c>
      <c r="DD241" s="120" t="inlineStr">
        <is>
          <t/>
        </is>
      </c>
      <c r="DE241" s="121" t="inlineStr">
        <is>
          <t/>
        </is>
      </c>
      <c r="DF241" s="122" t="inlineStr">
        <is>
          <t/>
        </is>
      </c>
      <c r="DG241" s="123" t="inlineStr">
        <is>
          <t/>
        </is>
      </c>
      <c r="DH241" s="124" t="inlineStr">
        <is>
          <t/>
        </is>
      </c>
      <c r="DI241" s="125" t="inlineStr">
        <is>
          <t/>
        </is>
      </c>
      <c r="DJ241" s="126" t="inlineStr">
        <is>
          <t/>
        </is>
      </c>
      <c r="DK241" s="127" t="inlineStr">
        <is>
          <t/>
        </is>
      </c>
      <c r="DL241" s="128" t="inlineStr">
        <is>
          <t/>
        </is>
      </c>
      <c r="DM241" s="129" t="inlineStr">
        <is>
          <t/>
        </is>
      </c>
      <c r="DN241" s="130" t="inlineStr">
        <is>
          <t/>
        </is>
      </c>
      <c r="DO241" s="131" t="inlineStr">
        <is>
          <t/>
        </is>
      </c>
      <c r="DP241" s="132" t="inlineStr">
        <is>
          <t/>
        </is>
      </c>
      <c r="DQ241" s="133" t="inlineStr">
        <is>
          <t/>
        </is>
      </c>
      <c r="DR241" s="134" t="inlineStr">
        <is>
          <t/>
        </is>
      </c>
      <c r="DS241" s="135" t="inlineStr">
        <is>
          <t/>
        </is>
      </c>
      <c r="DT241" s="136" t="inlineStr">
        <is>
          <t/>
        </is>
      </c>
      <c r="DU241" s="137" t="inlineStr">
        <is>
          <t/>
        </is>
      </c>
      <c r="DV241" s="138" t="inlineStr">
        <is>
          <t/>
        </is>
      </c>
      <c r="DW241" s="139" t="inlineStr">
        <is>
          <t/>
        </is>
      </c>
      <c r="DX241" s="140" t="inlineStr">
        <is>
          <t/>
        </is>
      </c>
      <c r="DY241" s="141" t="inlineStr">
        <is>
          <t>PitchBook Research</t>
        </is>
      </c>
      <c r="DZ241" s="142" t="n">
        <v>43351.0</v>
      </c>
      <c r="EA241" s="143" t="n">
        <v>3.9</v>
      </c>
      <c r="EB241" s="144" t="n">
        <v>32509.0</v>
      </c>
      <c r="EC241" s="145" t="inlineStr">
        <is>
          <t>Buyout/LBO</t>
        </is>
      </c>
      <c r="ED241" s="547">
        <f>HYPERLINK("https://my.pitchbook.com?c=42789-52", "View company online")</f>
      </c>
    </row>
    <row r="242">
      <c r="A242" s="147" t="inlineStr">
        <is>
          <t>10855-90</t>
        </is>
      </c>
      <c r="B242" s="148" t="inlineStr">
        <is>
          <t>Mariella Burani Fashion Group</t>
        </is>
      </c>
      <c r="C242" s="149" t="inlineStr">
        <is>
          <t/>
        </is>
      </c>
      <c r="D242" s="150" t="inlineStr">
        <is>
          <t>MBFG</t>
        </is>
      </c>
      <c r="E242" s="151" t="inlineStr">
        <is>
          <t>10855-90</t>
        </is>
      </c>
      <c r="F242" s="152" t="inlineStr">
        <is>
          <t>Producer and distributor of clothing, home products and luggage. The company offers apparel for women, men and children, including bridal gowns; jewelry and watches; cosmetics; leather goods, including luggage and bags; and housewares, including ceramics.</t>
        </is>
      </c>
      <c r="G242" s="153" t="inlineStr">
        <is>
          <t>Consumer Products and Services (B2C)</t>
        </is>
      </c>
      <c r="H242" s="154" t="inlineStr">
        <is>
          <t>Apparel and Accessories</t>
        </is>
      </c>
      <c r="I242" s="155" t="inlineStr">
        <is>
          <t>Accessories</t>
        </is>
      </c>
      <c r="J242" s="156" t="inlineStr">
        <is>
          <t>Accessories*, Clothing, Luxury Goods</t>
        </is>
      </c>
      <c r="K242" s="157" t="inlineStr">
        <is>
          <t/>
        </is>
      </c>
      <c r="L242" s="158" t="inlineStr">
        <is>
          <t>girls clothing, man apparel, women clothing</t>
        </is>
      </c>
      <c r="M242" s="159" t="inlineStr">
        <is>
          <t>Corporate Backed or Acquired</t>
        </is>
      </c>
      <c r="N242" s="160" t="n">
        <v>165.1</v>
      </c>
      <c r="O242" s="161" t="inlineStr">
        <is>
          <t>Generating Revenue/Not Profitable</t>
        </is>
      </c>
      <c r="P242" s="162" t="inlineStr">
        <is>
          <t>Privately Held (backing)</t>
        </is>
      </c>
      <c r="Q242" s="163" t="inlineStr">
        <is>
          <t>Debt Financed, M&amp;A, Private Equity, Publicly Listed</t>
        </is>
      </c>
      <c r="R242" s="164" t="inlineStr">
        <is>
          <t>www.mariellaburani.it</t>
        </is>
      </c>
      <c r="S242" s="165" t="n">
        <v>2212.0</v>
      </c>
      <c r="T242" s="166" t="inlineStr">
        <is>
          <t>2008: 2212</t>
        </is>
      </c>
      <c r="U242" s="167" t="inlineStr">
        <is>
          <t/>
        </is>
      </c>
      <c r="V242" s="168" t="inlineStr">
        <is>
          <t/>
        </is>
      </c>
      <c r="W242" s="169" t="n">
        <v>1960.0</v>
      </c>
      <c r="X242" s="170" t="inlineStr">
        <is>
          <t/>
        </is>
      </c>
      <c r="Y242" s="171" t="inlineStr">
        <is>
          <t/>
        </is>
      </c>
      <c r="Z242" s="172" t="inlineStr">
        <is>
          <t/>
        </is>
      </c>
      <c r="AA242" s="173" t="n">
        <v>1023.96</v>
      </c>
      <c r="AB242" s="174" t="n">
        <v>624.9</v>
      </c>
      <c r="AC242" s="175" t="n">
        <v>-95.36</v>
      </c>
      <c r="AD242" s="176" t="n">
        <v>1322.32</v>
      </c>
      <c r="AE242" s="177" t="n">
        <v>-21.75</v>
      </c>
      <c r="AF242" s="178" t="inlineStr">
        <is>
          <t>FY 2008</t>
        </is>
      </c>
      <c r="AG242" s="179" t="inlineStr">
        <is>
          <t/>
        </is>
      </c>
      <c r="AH242" s="180" t="inlineStr">
        <is>
          <t/>
        </is>
      </c>
      <c r="AI242" s="181" t="inlineStr">
        <is>
          <t/>
        </is>
      </c>
      <c r="AJ242" s="182" t="inlineStr">
        <is>
          <t/>
        </is>
      </c>
      <c r="AK242" s="183" t="inlineStr">
        <is>
          <t/>
        </is>
      </c>
      <c r="AL242" s="184" t="inlineStr">
        <is>
          <t/>
        </is>
      </c>
      <c r="AM242" s="185" t="inlineStr">
        <is>
          <t/>
        </is>
      </c>
      <c r="AN242" s="186" t="inlineStr">
        <is>
          <t/>
        </is>
      </c>
      <c r="AO242" s="187" t="inlineStr">
        <is>
          <t>Cavriago, Italy</t>
        </is>
      </c>
      <c r="AP242" s="188" t="inlineStr">
        <is>
          <t>Via Della Repubblica 86</t>
        </is>
      </c>
      <c r="AQ242" s="189" t="inlineStr">
        <is>
          <t/>
        </is>
      </c>
      <c r="AR242" s="190" t="inlineStr">
        <is>
          <t>Cavriago</t>
        </is>
      </c>
      <c r="AS242" s="191" t="inlineStr">
        <is>
          <t/>
        </is>
      </c>
      <c r="AT242" s="192" t="inlineStr">
        <is>
          <t>42025</t>
        </is>
      </c>
      <c r="AU242" s="193" t="inlineStr">
        <is>
          <t>Italy</t>
        </is>
      </c>
      <c r="AV242" s="194" t="inlineStr">
        <is>
          <t/>
        </is>
      </c>
      <c r="AW242" s="195" t="inlineStr">
        <is>
          <t/>
        </is>
      </c>
      <c r="AX242" s="196" t="inlineStr">
        <is>
          <t/>
        </is>
      </c>
      <c r="AY242" s="197" t="inlineStr">
        <is>
          <t>Europe</t>
        </is>
      </c>
      <c r="AZ242" s="198" t="inlineStr">
        <is>
          <t>Southern Europe</t>
        </is>
      </c>
      <c r="BA242" s="199" t="inlineStr">
        <is>
          <t>The company was acquired by the managers of Sedoc Digital Group for EUR 3.2 million on May 24, 2011. The company is no longer actively tracked by PitchBook.</t>
        </is>
      </c>
      <c r="BB242" s="200" t="inlineStr">
        <is>
          <t/>
        </is>
      </c>
      <c r="BC242" s="201" t="inlineStr">
        <is>
          <t/>
        </is>
      </c>
      <c r="BD242" s="202" t="inlineStr">
        <is>
          <t>Individual Investor</t>
        </is>
      </c>
      <c r="BE242" s="203" t="inlineStr">
        <is>
          <t>Burani Designer Holding, IGI Investimenti, Itochu, L Capital, Tamburi Investment Partners</t>
        </is>
      </c>
      <c r="BF242" s="204" t="inlineStr">
        <is>
          <t/>
        </is>
      </c>
      <c r="BG242" s="205" t="inlineStr">
        <is>
          <t/>
        </is>
      </c>
      <c r="BH242" s="206" t="inlineStr">
        <is>
          <t>IGI Investimenti(www.igisgr.it), Itochu(www.itochu.co.jp/en/index.html), Tamburi Investment Partners(www.tipspa.it)</t>
        </is>
      </c>
      <c r="BI242" s="207" t="inlineStr">
        <is>
          <t/>
        </is>
      </c>
      <c r="BJ242" s="208" t="inlineStr">
        <is>
          <t>La Compagnia Finanziaria(Advisor: General)</t>
        </is>
      </c>
      <c r="BK242" s="209" t="inlineStr">
        <is>
          <t>Mazars &amp; Guerard(Advisor: General), Palmer Corporate Finance(Advisor: General)</t>
        </is>
      </c>
      <c r="BL242" s="210" t="n">
        <v>36728.0</v>
      </c>
      <c r="BM242" s="211" t="inlineStr">
        <is>
          <t/>
        </is>
      </c>
      <c r="BN242" s="212" t="inlineStr">
        <is>
          <t/>
        </is>
      </c>
      <c r="BO242" s="213" t="inlineStr">
        <is>
          <t/>
        </is>
      </c>
      <c r="BP242" s="214" t="inlineStr">
        <is>
          <t/>
        </is>
      </c>
      <c r="BQ242" s="215" t="inlineStr">
        <is>
          <t>IPO</t>
        </is>
      </c>
      <c r="BR242" s="216" t="inlineStr">
        <is>
          <t/>
        </is>
      </c>
      <c r="BS242" s="217" t="inlineStr">
        <is>
          <t/>
        </is>
      </c>
      <c r="BT242" s="218" t="inlineStr">
        <is>
          <t>Public Investment</t>
        </is>
      </c>
      <c r="BU242" s="219" t="inlineStr">
        <is>
          <t/>
        </is>
      </c>
      <c r="BV242" s="220" t="inlineStr">
        <is>
          <t/>
        </is>
      </c>
      <c r="BW242" s="221" t="inlineStr">
        <is>
          <t/>
        </is>
      </c>
      <c r="BX242" s="222" t="inlineStr">
        <is>
          <t>Completed</t>
        </is>
      </c>
      <c r="BY242" s="223" t="n">
        <v>40687.0</v>
      </c>
      <c r="BZ242" s="224" t="inlineStr">
        <is>
          <t/>
        </is>
      </c>
      <c r="CA242" s="225" t="inlineStr">
        <is>
          <t/>
        </is>
      </c>
      <c r="CB242" s="226" t="inlineStr">
        <is>
          <t/>
        </is>
      </c>
      <c r="CC242" s="227" t="inlineStr">
        <is>
          <t/>
        </is>
      </c>
      <c r="CD242" s="228" t="inlineStr">
        <is>
          <t>Merger/Acquisition</t>
        </is>
      </c>
      <c r="CE242" s="229" t="inlineStr">
        <is>
          <t/>
        </is>
      </c>
      <c r="CF242" s="230" t="inlineStr">
        <is>
          <t/>
        </is>
      </c>
      <c r="CG242" s="231" t="inlineStr">
        <is>
          <t>Corporate</t>
        </is>
      </c>
      <c r="CH242" s="232" t="inlineStr">
        <is>
          <t/>
        </is>
      </c>
      <c r="CI242" s="233" t="inlineStr">
        <is>
          <t/>
        </is>
      </c>
      <c r="CJ242" s="234" t="inlineStr">
        <is>
          <t/>
        </is>
      </c>
      <c r="CK242" s="235" t="inlineStr">
        <is>
          <t>Completed</t>
        </is>
      </c>
      <c r="CL242" s="236" t="inlineStr">
        <is>
          <t/>
        </is>
      </c>
      <c r="CM242" s="237" t="inlineStr">
        <is>
          <t/>
        </is>
      </c>
      <c r="CN242" s="238" t="n">
        <v>-0.22</v>
      </c>
      <c r="CO242" s="239" t="n">
        <v>10.0</v>
      </c>
      <c r="CP242" s="240" t="n">
        <v>0.05</v>
      </c>
      <c r="CQ242" s="241" t="n">
        <v>19.97</v>
      </c>
      <c r="CR242" s="242" t="n">
        <v>-0.33</v>
      </c>
      <c r="CS242" s="243" t="n">
        <v>10.0</v>
      </c>
      <c r="CT242" s="244" t="n">
        <v>-0.1</v>
      </c>
      <c r="CU242" s="245" t="n">
        <v>7.0</v>
      </c>
      <c r="CV242" s="246" t="inlineStr">
        <is>
          <t/>
        </is>
      </c>
      <c r="CW242" s="247" t="inlineStr">
        <is>
          <t/>
        </is>
      </c>
      <c r="CX242" s="248" t="n">
        <v>-0.33</v>
      </c>
      <c r="CY242" s="249" t="n">
        <v>7.0</v>
      </c>
      <c r="CZ242" s="250" t="n">
        <v>-0.1</v>
      </c>
      <c r="DA242" s="251" t="n">
        <v>9.0</v>
      </c>
      <c r="DB242" s="252" t="n">
        <v>2.16</v>
      </c>
      <c r="DC242" s="253" t="n">
        <v>69.0</v>
      </c>
      <c r="DD242" s="254" t="n">
        <v>0.4</v>
      </c>
      <c r="DE242" s="255" t="n">
        <v>23.05</v>
      </c>
      <c r="DF242" s="256" t="n">
        <v>3.29</v>
      </c>
      <c r="DG242" s="257" t="n">
        <v>77.0</v>
      </c>
      <c r="DH242" s="258" t="n">
        <v>1.02</v>
      </c>
      <c r="DI242" s="259" t="n">
        <v>50.0</v>
      </c>
      <c r="DJ242" s="260" t="inlineStr">
        <is>
          <t/>
        </is>
      </c>
      <c r="DK242" s="261" t="inlineStr">
        <is>
          <t/>
        </is>
      </c>
      <c r="DL242" s="262" t="n">
        <v>3.29</v>
      </c>
      <c r="DM242" s="263" t="n">
        <v>75.0</v>
      </c>
      <c r="DN242" s="264" t="n">
        <v>1.02</v>
      </c>
      <c r="DO242" s="265" t="n">
        <v>51.0</v>
      </c>
      <c r="DP242" s="266" t="inlineStr">
        <is>
          <t/>
        </is>
      </c>
      <c r="DQ242" s="267" t="inlineStr">
        <is>
          <t/>
        </is>
      </c>
      <c r="DR242" s="268" t="inlineStr">
        <is>
          <t/>
        </is>
      </c>
      <c r="DS242" s="269" t="n">
        <v>112.0</v>
      </c>
      <c r="DT242" s="270" t="n">
        <v>0.0</v>
      </c>
      <c r="DU242" s="271" t="n">
        <v>0.0</v>
      </c>
      <c r="DV242" s="272" t="n">
        <v>366.0</v>
      </c>
      <c r="DW242" s="273" t="n">
        <v>-1.0</v>
      </c>
      <c r="DX242" s="274" t="n">
        <v>-0.27</v>
      </c>
      <c r="DY242" s="275" t="inlineStr">
        <is>
          <t>PitchBook Research</t>
        </is>
      </c>
      <c r="DZ242" s="276" t="n">
        <v>43517.0</v>
      </c>
      <c r="EA242" s="277" t="n">
        <v>804.67</v>
      </c>
      <c r="EB242" s="278" t="n">
        <v>39743.0</v>
      </c>
      <c r="EC242" s="279" t="inlineStr">
        <is>
          <t>PIPE</t>
        </is>
      </c>
      <c r="ED242" s="548">
        <f>HYPERLINK("https://my.pitchbook.com?c=10855-90", "View company online")</f>
      </c>
    </row>
    <row r="243">
      <c r="A243" s="13" t="inlineStr">
        <is>
          <t>150977-08</t>
        </is>
      </c>
      <c r="B243" s="14" t="inlineStr">
        <is>
          <t>Monsoon</t>
        </is>
      </c>
      <c r="C243" s="15" t="inlineStr">
        <is>
          <t/>
        </is>
      </c>
      <c r="D243" s="16" t="inlineStr">
        <is>
          <t/>
        </is>
      </c>
      <c r="E243" s="17" t="inlineStr">
        <is>
          <t>150977-08</t>
        </is>
      </c>
      <c r="F243" s="18" t="inlineStr">
        <is>
          <t>Operator of apparel and accessories retail stores. The company is engaged in operating apparel and accessories retail stores that sells dresses, clothing, shirts and blouses, coats and jackets, shrugs, jerseys, trousers and leggings, jeans, skirts, linens, shoes, boots, sandals, bags, scarves, jewelry, hats, casual wears, nightwear, swimwear, sunglasses, travel accessories, photo frames, dinnerware, gifts, phone and tablet accessories, and beachwear and accessories, evening, party, occasion, wedding, and other products.</t>
        </is>
      </c>
      <c r="G243" s="19" t="inlineStr">
        <is>
          <t>Consumer Products and Services (B2C)</t>
        </is>
      </c>
      <c r="H243" s="20" t="inlineStr">
        <is>
          <t>Apparel and Accessories</t>
        </is>
      </c>
      <c r="I243" s="21" t="inlineStr">
        <is>
          <t>Accessories</t>
        </is>
      </c>
      <c r="J243" s="22" t="inlineStr">
        <is>
          <t>Accessories*, Clothing, Footwear</t>
        </is>
      </c>
      <c r="K243" s="23" t="inlineStr">
        <is>
          <t/>
        </is>
      </c>
      <c r="L243" s="24" t="inlineStr">
        <is>
          <t>clothing and accessories, jerseys, online sunglasses, swimwear online</t>
        </is>
      </c>
      <c r="M243" s="25" t="inlineStr">
        <is>
          <t>Corporate Backed or Acquired</t>
        </is>
      </c>
      <c r="N243" s="26" t="n">
        <v>144.8</v>
      </c>
      <c r="O243" s="27" t="inlineStr">
        <is>
          <t>Profitable</t>
        </is>
      </c>
      <c r="P243" s="28" t="inlineStr">
        <is>
          <t>Acquired/Merged</t>
        </is>
      </c>
      <c r="Q243" s="29" t="inlineStr">
        <is>
          <t>M&amp;A, Publicly Listed</t>
        </is>
      </c>
      <c r="R243" s="30" t="inlineStr">
        <is>
          <t>www.monsoon.co.uk</t>
        </is>
      </c>
      <c r="S243" s="31" t="inlineStr">
        <is>
          <t/>
        </is>
      </c>
      <c r="T243" s="32" t="inlineStr">
        <is>
          <t/>
        </is>
      </c>
      <c r="U243" s="33" t="inlineStr">
        <is>
          <t/>
        </is>
      </c>
      <c r="V243" s="34" t="inlineStr">
        <is>
          <t/>
        </is>
      </c>
      <c r="W243" s="35" t="n">
        <v>1972.0</v>
      </c>
      <c r="X243" s="36" t="inlineStr">
        <is>
          <t/>
        </is>
      </c>
      <c r="Y243" s="37" t="inlineStr">
        <is>
          <t/>
        </is>
      </c>
      <c r="Z243" s="38" t="inlineStr">
        <is>
          <t>Competitor (New) Desigual</t>
        </is>
      </c>
      <c r="AA243" s="39" t="n">
        <v>1018.53</v>
      </c>
      <c r="AB243" s="40" t="inlineStr">
        <is>
          <t/>
        </is>
      </c>
      <c r="AC243" s="41" t="inlineStr">
        <is>
          <t/>
        </is>
      </c>
      <c r="AD243" s="42" t="inlineStr">
        <is>
          <t/>
        </is>
      </c>
      <c r="AE243" s="43" t="inlineStr">
        <is>
          <t/>
        </is>
      </c>
      <c r="AF243" s="44" t="inlineStr">
        <is>
          <t>FY 2007</t>
        </is>
      </c>
      <c r="AG243" s="45" t="inlineStr">
        <is>
          <t/>
        </is>
      </c>
      <c r="AH243" s="46" t="inlineStr">
        <is>
          <t/>
        </is>
      </c>
      <c r="AI243" s="47" t="inlineStr">
        <is>
          <t/>
        </is>
      </c>
      <c r="AJ243" s="48" t="inlineStr">
        <is>
          <t>140485-24P</t>
        </is>
      </c>
      <c r="AK243" s="49" t="inlineStr">
        <is>
          <t>Rose Foster</t>
        </is>
      </c>
      <c r="AL243" s="50" t="inlineStr">
        <is>
          <t>Chief Executive Officer</t>
        </is>
      </c>
      <c r="AM243" s="51" t="inlineStr">
        <is>
          <t/>
        </is>
      </c>
      <c r="AN243" s="52" t="inlineStr">
        <is>
          <t>+44 (0)20 7313 3000</t>
        </is>
      </c>
      <c r="AO243" s="53" t="inlineStr">
        <is>
          <t>London, United Kingdom</t>
        </is>
      </c>
      <c r="AP243" s="54" t="inlineStr">
        <is>
          <t>Monsoon Building</t>
        </is>
      </c>
      <c r="AQ243" s="55" t="inlineStr">
        <is>
          <t>1 Nicholas Road</t>
        </is>
      </c>
      <c r="AR243" s="56" t="inlineStr">
        <is>
          <t>London</t>
        </is>
      </c>
      <c r="AS243" s="57" t="inlineStr">
        <is>
          <t>England</t>
        </is>
      </c>
      <c r="AT243" s="58" t="inlineStr">
        <is>
          <t>W11 4AN</t>
        </is>
      </c>
      <c r="AU243" s="59" t="inlineStr">
        <is>
          <t>United Kingdom</t>
        </is>
      </c>
      <c r="AV243" s="60" t="inlineStr">
        <is>
          <t>+44 (0)20 7313 3000</t>
        </is>
      </c>
      <c r="AW243" s="61" t="inlineStr">
        <is>
          <t>+44 (0)20 3372 3040</t>
        </is>
      </c>
      <c r="AX243" s="62" t="inlineStr">
        <is>
          <t/>
        </is>
      </c>
      <c r="AY243" s="63" t="inlineStr">
        <is>
          <t>Europe</t>
        </is>
      </c>
      <c r="AZ243" s="64" t="inlineStr">
        <is>
          <t>Western Europe</t>
        </is>
      </c>
      <c r="BA243" s="65" t="inlineStr">
        <is>
          <t>The company was acquired by Peter Simon for GBP 755 million on December 12, 2007.</t>
        </is>
      </c>
      <c r="BB243" s="66" t="inlineStr">
        <is>
          <t/>
        </is>
      </c>
      <c r="BC243" s="67" t="inlineStr">
        <is>
          <t/>
        </is>
      </c>
      <c r="BD243" s="68" t="inlineStr">
        <is>
          <t/>
        </is>
      </c>
      <c r="BE243" s="69" t="inlineStr">
        <is>
          <t/>
        </is>
      </c>
      <c r="BF243" s="70" t="inlineStr">
        <is>
          <t/>
        </is>
      </c>
      <c r="BG243" s="71" t="inlineStr">
        <is>
          <t/>
        </is>
      </c>
      <c r="BH243" s="72" t="inlineStr">
        <is>
          <t/>
        </is>
      </c>
      <c r="BI243" s="73" t="inlineStr">
        <is>
          <t/>
        </is>
      </c>
      <c r="BJ243" s="74" t="inlineStr">
        <is>
          <t>eg.1(Consulting), Mandala Partners(Advisor: General)</t>
        </is>
      </c>
      <c r="BK243" s="75" t="inlineStr">
        <is>
          <t>Herbert Smith(Legal Advisor), Investment Management Holdings(Advisor: General), Norton Rose Fulbright(Legal Advisor)</t>
        </is>
      </c>
      <c r="BL243" s="76" t="n">
        <v>35827.0</v>
      </c>
      <c r="BM243" s="77" t="n">
        <v>144.8</v>
      </c>
      <c r="BN243" s="78" t="inlineStr">
        <is>
          <t>Estimated</t>
        </is>
      </c>
      <c r="BO243" s="79" t="n">
        <v>579.21</v>
      </c>
      <c r="BP243" s="80" t="inlineStr">
        <is>
          <t>Estimated</t>
        </is>
      </c>
      <c r="BQ243" s="81" t="inlineStr">
        <is>
          <t>IPO</t>
        </is>
      </c>
      <c r="BR243" s="82" t="inlineStr">
        <is>
          <t/>
        </is>
      </c>
      <c r="BS243" s="83" t="inlineStr">
        <is>
          <t/>
        </is>
      </c>
      <c r="BT243" s="84" t="inlineStr">
        <is>
          <t>Public Investment</t>
        </is>
      </c>
      <c r="BU243" s="85" t="inlineStr">
        <is>
          <t/>
        </is>
      </c>
      <c r="BV243" s="86" t="inlineStr">
        <is>
          <t/>
        </is>
      </c>
      <c r="BW243" s="87" t="inlineStr">
        <is>
          <t/>
        </is>
      </c>
      <c r="BX243" s="88" t="inlineStr">
        <is>
          <t>Completed</t>
        </is>
      </c>
      <c r="BY243" s="89" t="n">
        <v>39428.0</v>
      </c>
      <c r="BZ243" s="90" t="n">
        <v>1524.33</v>
      </c>
      <c r="CA243" s="91" t="inlineStr">
        <is>
          <t>Actual</t>
        </is>
      </c>
      <c r="CB243" s="92" t="n">
        <v>1524.33</v>
      </c>
      <c r="CC243" s="93" t="inlineStr">
        <is>
          <t>Actual</t>
        </is>
      </c>
      <c r="CD243" s="94" t="inlineStr">
        <is>
          <t>Merger/Acquisition</t>
        </is>
      </c>
      <c r="CE243" s="95" t="inlineStr">
        <is>
          <t>Public to Private</t>
        </is>
      </c>
      <c r="CF243" s="96" t="inlineStr">
        <is>
          <t/>
        </is>
      </c>
      <c r="CG243" s="97" t="inlineStr">
        <is>
          <t>Corporate</t>
        </is>
      </c>
      <c r="CH243" s="98" t="inlineStr">
        <is>
          <t/>
        </is>
      </c>
      <c r="CI243" s="99" t="inlineStr">
        <is>
          <t/>
        </is>
      </c>
      <c r="CJ243" s="100" t="inlineStr">
        <is>
          <t/>
        </is>
      </c>
      <c r="CK243" s="101" t="inlineStr">
        <is>
          <t>Completed</t>
        </is>
      </c>
      <c r="CL243" s="102" t="inlineStr">
        <is>
          <t/>
        </is>
      </c>
      <c r="CM243" s="103" t="inlineStr">
        <is>
          <t/>
        </is>
      </c>
      <c r="CN243" s="104" t="inlineStr">
        <is>
          <t/>
        </is>
      </c>
      <c r="CO243" s="105" t="inlineStr">
        <is>
          <t/>
        </is>
      </c>
      <c r="CP243" s="106" t="inlineStr">
        <is>
          <t/>
        </is>
      </c>
      <c r="CQ243" s="107" t="inlineStr">
        <is>
          <t/>
        </is>
      </c>
      <c r="CR243" s="108" t="inlineStr">
        <is>
          <t/>
        </is>
      </c>
      <c r="CS243" s="109" t="inlineStr">
        <is>
          <t/>
        </is>
      </c>
      <c r="CT243" s="110" t="inlineStr">
        <is>
          <t/>
        </is>
      </c>
      <c r="CU243" s="111" t="inlineStr">
        <is>
          <t/>
        </is>
      </c>
      <c r="CV243" s="112" t="inlineStr">
        <is>
          <t/>
        </is>
      </c>
      <c r="CW243" s="113" t="inlineStr">
        <is>
          <t/>
        </is>
      </c>
      <c r="CX243" s="114" t="inlineStr">
        <is>
          <t/>
        </is>
      </c>
      <c r="CY243" s="115" t="inlineStr">
        <is>
          <t/>
        </is>
      </c>
      <c r="CZ243" s="116" t="inlineStr">
        <is>
          <t/>
        </is>
      </c>
      <c r="DA243" s="117" t="inlineStr">
        <is>
          <t/>
        </is>
      </c>
      <c r="DB243" s="118" t="inlineStr">
        <is>
          <t/>
        </is>
      </c>
      <c r="DC243" s="119" t="inlineStr">
        <is>
          <t/>
        </is>
      </c>
      <c r="DD243" s="120" t="inlineStr">
        <is>
          <t/>
        </is>
      </c>
      <c r="DE243" s="121" t="inlineStr">
        <is>
          <t/>
        </is>
      </c>
      <c r="DF243" s="122" t="inlineStr">
        <is>
          <t/>
        </is>
      </c>
      <c r="DG243" s="123" t="inlineStr">
        <is>
          <t/>
        </is>
      </c>
      <c r="DH243" s="124" t="inlineStr">
        <is>
          <t/>
        </is>
      </c>
      <c r="DI243" s="125" t="inlineStr">
        <is>
          <t/>
        </is>
      </c>
      <c r="DJ243" s="126" t="inlineStr">
        <is>
          <t/>
        </is>
      </c>
      <c r="DK243" s="127" t="inlineStr">
        <is>
          <t/>
        </is>
      </c>
      <c r="DL243" s="128" t="inlineStr">
        <is>
          <t/>
        </is>
      </c>
      <c r="DM243" s="129" t="inlineStr">
        <is>
          <t/>
        </is>
      </c>
      <c r="DN243" s="130" t="inlineStr">
        <is>
          <t/>
        </is>
      </c>
      <c r="DO243" s="131" t="inlineStr">
        <is>
          <t/>
        </is>
      </c>
      <c r="DP243" s="132" t="inlineStr">
        <is>
          <t/>
        </is>
      </c>
      <c r="DQ243" s="133" t="inlineStr">
        <is>
          <t/>
        </is>
      </c>
      <c r="DR243" s="134" t="inlineStr">
        <is>
          <t/>
        </is>
      </c>
      <c r="DS243" s="135" t="inlineStr">
        <is>
          <t/>
        </is>
      </c>
      <c r="DT243" s="136" t="inlineStr">
        <is>
          <t/>
        </is>
      </c>
      <c r="DU243" s="137" t="inlineStr">
        <is>
          <t/>
        </is>
      </c>
      <c r="DV243" s="138" t="inlineStr">
        <is>
          <t/>
        </is>
      </c>
      <c r="DW243" s="139" t="inlineStr">
        <is>
          <t/>
        </is>
      </c>
      <c r="DX243" s="140" t="inlineStr">
        <is>
          <t/>
        </is>
      </c>
      <c r="DY243" s="141" t="inlineStr">
        <is>
          <t>PitchBook Research</t>
        </is>
      </c>
      <c r="DZ243" s="142" t="n">
        <v>43448.0</v>
      </c>
      <c r="EA243" s="143" t="n">
        <v>1524.33</v>
      </c>
      <c r="EB243" s="144" t="n">
        <v>39428.0</v>
      </c>
      <c r="EC243" s="145" t="inlineStr">
        <is>
          <t>Merger/Acquisition</t>
        </is>
      </c>
      <c r="ED243" s="547">
        <f>HYPERLINK("https://my.pitchbook.com?c=150977-08", "View company online")</f>
      </c>
    </row>
    <row r="244">
      <c r="A244" s="147" t="inlineStr">
        <is>
          <t>63591-67</t>
        </is>
      </c>
      <c r="B244" s="148" t="inlineStr">
        <is>
          <t>Geox (MIL: GEO)</t>
        </is>
      </c>
      <c r="C244" s="149" t="inlineStr">
        <is>
          <t/>
        </is>
      </c>
      <c r="D244" s="150" t="inlineStr">
        <is>
          <t/>
        </is>
      </c>
      <c r="E244" s="151" t="inlineStr">
        <is>
          <t>63591-67</t>
        </is>
      </c>
      <c r="F244" s="152" t="inlineStr">
        <is>
          <t>Geox SpA is an Italy based company engaged in the production and sales of footwear and apparel to retail and end-customers under the Geox-brand. Due to the technological solutions, the company's products remain breathable and waterproof. The group also grants distribution rights and the use of the brand name to the third parties in the markets where it has no direct presence. The operating segments of the group are based on its products, namely Footwear and Apparel. It derives a majority of the revenue from the Footwear segment which relates to the sale of footwear products. The company has the business presence in Italy, Europe, North America and other countries, of which key revenue is derived from the Europe and Italy.</t>
        </is>
      </c>
      <c r="G244" s="153" t="inlineStr">
        <is>
          <t>Consumer Products and Services (B2C)</t>
        </is>
      </c>
      <c r="H244" s="154" t="inlineStr">
        <is>
          <t>Apparel and Accessories</t>
        </is>
      </c>
      <c r="I244" s="155" t="inlineStr">
        <is>
          <t>Clothing</t>
        </is>
      </c>
      <c r="J244" s="156" t="inlineStr">
        <is>
          <t>Clothing*, Footwear</t>
        </is>
      </c>
      <c r="K244" s="157" t="inlineStr">
        <is>
          <t/>
        </is>
      </c>
      <c r="L244" s="158" t="inlineStr">
        <is>
          <t>data processing, directing marketing, electronic data, personal data</t>
        </is>
      </c>
      <c r="M244" s="159" t="inlineStr">
        <is>
          <t>Corporation</t>
        </is>
      </c>
      <c r="N244" s="160" t="inlineStr">
        <is>
          <t/>
        </is>
      </c>
      <c r="O244" s="161" t="inlineStr">
        <is>
          <t>Profitable</t>
        </is>
      </c>
      <c r="P244" s="162" t="inlineStr">
        <is>
          <t>Publicly Held</t>
        </is>
      </c>
      <c r="Q244" s="163" t="inlineStr">
        <is>
          <t>Publicly Listed</t>
        </is>
      </c>
      <c r="R244" s="164" t="inlineStr">
        <is>
          <t>www.geox.biz</t>
        </is>
      </c>
      <c r="S244" s="165" t="n">
        <v>5318.0</v>
      </c>
      <c r="T244" s="166" t="inlineStr">
        <is>
          <t>2008: 3851, 2009: 2408, 2010: 2590, 2011: 2904, 2012: 2962, 2013: 3713, 2014: 4033, 2015: 4173, 2016: 5296, 2017: 5345, 2018: 5318</t>
        </is>
      </c>
      <c r="U244" s="167" t="inlineStr">
        <is>
          <t>MIL</t>
        </is>
      </c>
      <c r="V244" s="168" t="inlineStr">
        <is>
          <t>GEO</t>
        </is>
      </c>
      <c r="W244" s="169" t="inlineStr">
        <is>
          <t/>
        </is>
      </c>
      <c r="X244" s="170" t="inlineStr">
        <is>
          <t/>
        </is>
      </c>
      <c r="Y244" s="171" t="inlineStr">
        <is>
          <t>News (New) </t>
        </is>
      </c>
      <c r="Z244" s="172" t="inlineStr">
        <is>
          <t>News (New) </t>
        </is>
      </c>
      <c r="AA244" s="173" t="n">
        <v>1010.84</v>
      </c>
      <c r="AB244" s="174" t="n">
        <v>494.15</v>
      </c>
      <c r="AC244" s="175" t="n">
        <v>10.17</v>
      </c>
      <c r="AD244" s="176" t="n">
        <v>706.99</v>
      </c>
      <c r="AE244" s="177" t="n">
        <v>61.41</v>
      </c>
      <c r="AF244" s="178" t="inlineStr">
        <is>
          <t>TTM 2Q2018</t>
        </is>
      </c>
      <c r="AG244" s="179" t="n">
        <v>22.03</v>
      </c>
      <c r="AH244" s="180" t="n">
        <v>492.06</v>
      </c>
      <c r="AI244" s="181" t="n">
        <v>23.59</v>
      </c>
      <c r="AJ244" s="182" t="inlineStr">
        <is>
          <t/>
        </is>
      </c>
      <c r="AK244" s="183" t="inlineStr">
        <is>
          <t/>
        </is>
      </c>
      <c r="AL244" s="184" t="inlineStr">
        <is>
          <t/>
        </is>
      </c>
      <c r="AM244" s="185" t="inlineStr">
        <is>
          <t/>
        </is>
      </c>
      <c r="AN244" s="186" t="inlineStr">
        <is>
          <t/>
        </is>
      </c>
      <c r="AO244" s="187" t="inlineStr">
        <is>
          <t>Biadene di Montebelluna, Italy</t>
        </is>
      </c>
      <c r="AP244" s="188" t="inlineStr">
        <is>
          <t>Via Feltrina Centro, 16</t>
        </is>
      </c>
      <c r="AQ244" s="189" t="inlineStr">
        <is>
          <t/>
        </is>
      </c>
      <c r="AR244" s="190" t="inlineStr">
        <is>
          <t>Biadene di Montebelluna</t>
        </is>
      </c>
      <c r="AS244" s="191" t="inlineStr">
        <is>
          <t/>
        </is>
      </c>
      <c r="AT244" s="192" t="inlineStr">
        <is>
          <t>31044</t>
        </is>
      </c>
      <c r="AU244" s="193" t="inlineStr">
        <is>
          <t>Italy</t>
        </is>
      </c>
      <c r="AV244" s="194" t="inlineStr">
        <is>
          <t>+39 42 3282 2</t>
        </is>
      </c>
      <c r="AW244" s="195" t="inlineStr">
        <is>
          <t>+39 42 3282 125</t>
        </is>
      </c>
      <c r="AX244" s="196" t="inlineStr">
        <is>
          <t/>
        </is>
      </c>
      <c r="AY244" s="197" t="inlineStr">
        <is>
          <t>Europe</t>
        </is>
      </c>
      <c r="AZ244" s="198" t="inlineStr">
        <is>
          <t>Southern Europe</t>
        </is>
      </c>
      <c r="BA244" s="199" t="inlineStr">
        <is>
          <t/>
        </is>
      </c>
      <c r="BB244" s="200" t="inlineStr">
        <is>
          <t/>
        </is>
      </c>
      <c r="BC244" s="201" t="inlineStr">
        <is>
          <t/>
        </is>
      </c>
      <c r="BD244" s="202" t="inlineStr">
        <is>
          <t/>
        </is>
      </c>
      <c r="BE244" s="203" t="inlineStr">
        <is>
          <t/>
        </is>
      </c>
      <c r="BF244" s="204" t="inlineStr">
        <is>
          <t/>
        </is>
      </c>
      <c r="BG244" s="205" t="inlineStr">
        <is>
          <t/>
        </is>
      </c>
      <c r="BH244" s="206" t="inlineStr">
        <is>
          <t/>
        </is>
      </c>
      <c r="BI244" s="207" t="inlineStr">
        <is>
          <t/>
        </is>
      </c>
      <c r="BJ244" s="208" t="inlineStr">
        <is>
          <t/>
        </is>
      </c>
      <c r="BK244" s="209" t="inlineStr">
        <is>
          <t/>
        </is>
      </c>
      <c r="BL244" s="210" t="inlineStr">
        <is>
          <t/>
        </is>
      </c>
      <c r="BM244" s="211" t="inlineStr">
        <is>
          <t/>
        </is>
      </c>
      <c r="BN244" s="212" t="inlineStr">
        <is>
          <t/>
        </is>
      </c>
      <c r="BO244" s="213" t="inlineStr">
        <is>
          <t/>
        </is>
      </c>
      <c r="BP244" s="214" t="inlineStr">
        <is>
          <t/>
        </is>
      </c>
      <c r="BQ244" s="215" t="inlineStr">
        <is>
          <t/>
        </is>
      </c>
      <c r="BR244" s="216" t="inlineStr">
        <is>
          <t/>
        </is>
      </c>
      <c r="BS244" s="217" t="inlineStr">
        <is>
          <t/>
        </is>
      </c>
      <c r="BT244" s="218" t="inlineStr">
        <is>
          <t/>
        </is>
      </c>
      <c r="BU244" s="219" t="inlineStr">
        <is>
          <t/>
        </is>
      </c>
      <c r="BV244" s="220" t="inlineStr">
        <is>
          <t/>
        </is>
      </c>
      <c r="BW244" s="221" t="inlineStr">
        <is>
          <t/>
        </is>
      </c>
      <c r="BX244" s="222" t="inlineStr">
        <is>
          <t/>
        </is>
      </c>
      <c r="BY244" s="223" t="inlineStr">
        <is>
          <t/>
        </is>
      </c>
      <c r="BZ244" s="224" t="inlineStr">
        <is>
          <t/>
        </is>
      </c>
      <c r="CA244" s="225" t="inlineStr">
        <is>
          <t/>
        </is>
      </c>
      <c r="CB244" s="226" t="inlineStr">
        <is>
          <t/>
        </is>
      </c>
      <c r="CC244" s="227" t="inlineStr">
        <is>
          <t/>
        </is>
      </c>
      <c r="CD244" s="228" t="inlineStr">
        <is>
          <t/>
        </is>
      </c>
      <c r="CE244" s="229" t="inlineStr">
        <is>
          <t/>
        </is>
      </c>
      <c r="CF244" s="230" t="inlineStr">
        <is>
          <t/>
        </is>
      </c>
      <c r="CG244" s="231" t="inlineStr">
        <is>
          <t/>
        </is>
      </c>
      <c r="CH244" s="232" t="inlineStr">
        <is>
          <t/>
        </is>
      </c>
      <c r="CI244" s="233" t="inlineStr">
        <is>
          <t/>
        </is>
      </c>
      <c r="CJ244" s="234" t="inlineStr">
        <is>
          <t/>
        </is>
      </c>
      <c r="CK244" s="235" t="inlineStr">
        <is>
          <t/>
        </is>
      </c>
      <c r="CL244" s="236" t="inlineStr">
        <is>
          <t/>
        </is>
      </c>
      <c r="CM244" s="237" t="inlineStr">
        <is>
          <t/>
        </is>
      </c>
      <c r="CN244" s="238" t="n">
        <v>0.97</v>
      </c>
      <c r="CO244" s="239" t="n">
        <v>97.0</v>
      </c>
      <c r="CP244" s="240" t="n">
        <v>0.05</v>
      </c>
      <c r="CQ244" s="241" t="n">
        <v>5.49</v>
      </c>
      <c r="CR244" s="242" t="n">
        <v>1.98</v>
      </c>
      <c r="CS244" s="243" t="n">
        <v>99.0</v>
      </c>
      <c r="CT244" s="244" t="n">
        <v>-0.04</v>
      </c>
      <c r="CU244" s="245" t="n">
        <v>17.0</v>
      </c>
      <c r="CV244" s="246" t="inlineStr">
        <is>
          <t/>
        </is>
      </c>
      <c r="CW244" s="247" t="inlineStr">
        <is>
          <t/>
        </is>
      </c>
      <c r="CX244" s="248" t="n">
        <v>1.98</v>
      </c>
      <c r="CY244" s="249" t="n">
        <v>99.0</v>
      </c>
      <c r="CZ244" s="250" t="n">
        <v>-0.04</v>
      </c>
      <c r="DA244" s="251" t="n">
        <v>21.0</v>
      </c>
      <c r="DB244" s="252" t="n">
        <v>57.77</v>
      </c>
      <c r="DC244" s="253" t="n">
        <v>98.0</v>
      </c>
      <c r="DD244" s="254" t="n">
        <v>1.08</v>
      </c>
      <c r="DE244" s="255" t="n">
        <v>1.9</v>
      </c>
      <c r="DF244" s="256" t="n">
        <v>6.41</v>
      </c>
      <c r="DG244" s="257" t="n">
        <v>86.0</v>
      </c>
      <c r="DH244" s="258" t="n">
        <v>109.13</v>
      </c>
      <c r="DI244" s="259" t="n">
        <v>98.0</v>
      </c>
      <c r="DJ244" s="260" t="inlineStr">
        <is>
          <t/>
        </is>
      </c>
      <c r="DK244" s="261" t="inlineStr">
        <is>
          <t/>
        </is>
      </c>
      <c r="DL244" s="262" t="n">
        <v>6.41</v>
      </c>
      <c r="DM244" s="263" t="n">
        <v>85.0</v>
      </c>
      <c r="DN244" s="264" t="n">
        <v>109.13</v>
      </c>
      <c r="DO244" s="265" t="n">
        <v>98.0</v>
      </c>
      <c r="DP244" s="266" t="n">
        <v>74.0</v>
      </c>
      <c r="DQ244" s="267" t="n">
        <v>-36.0</v>
      </c>
      <c r="DR244" s="268" t="n">
        <v>-32.73</v>
      </c>
      <c r="DS244" s="269" t="n">
        <v>217.0</v>
      </c>
      <c r="DT244" s="270" t="n">
        <v>3.0</v>
      </c>
      <c r="DU244" s="271" t="n">
        <v>1.4</v>
      </c>
      <c r="DV244" s="272" t="n">
        <v>39192.0</v>
      </c>
      <c r="DW244" s="273" t="n">
        <v>-28.0</v>
      </c>
      <c r="DX244" s="274" t="n">
        <v>-0.07</v>
      </c>
      <c r="DY244" s="275" t="inlineStr">
        <is>
          <t>PitchBook Research</t>
        </is>
      </c>
      <c r="DZ244" s="276" t="n">
        <v>43528.0</v>
      </c>
      <c r="EA244" s="277" t="inlineStr">
        <is>
          <t/>
        </is>
      </c>
      <c r="EB244" s="278" t="inlineStr">
        <is>
          <t/>
        </is>
      </c>
      <c r="EC244" s="279" t="inlineStr">
        <is>
          <t/>
        </is>
      </c>
      <c r="ED244" s="548">
        <f>HYPERLINK("https://my.pitchbook.com?c=63591-67", "View company online")</f>
      </c>
    </row>
    <row r="245">
      <c r="A245" s="13" t="inlineStr">
        <is>
          <t>42844-60</t>
        </is>
      </c>
      <c r="B245" s="14" t="inlineStr">
        <is>
          <t>Tom Tailor (ETR: TTI)</t>
        </is>
      </c>
      <c r="C245" s="15" t="inlineStr">
        <is>
          <t/>
        </is>
      </c>
      <c r="D245" s="16" t="inlineStr">
        <is>
          <t>Tom Tailor Group</t>
        </is>
      </c>
      <c r="E245" s="17" t="inlineStr">
        <is>
          <t>42844-60</t>
        </is>
      </c>
      <c r="F245" s="18" t="inlineStr">
        <is>
          <t>TOM TAILOR Holding SE designs and distributes casual wear products. The TOM TAILOR GROUP manages the business through two segments - Wholesale and Retail. The Wholesale segment is comprised of the business with resellers for the TOM TAILOR brands. The Retail segment makes a distinction between the TOM TAILOR and BONITA brands and comprises various forms of the brick-and-mortar retail business and the online business. Maximum revenue is generated by the TOM TAILOR Wholesale segment. The company's business is spread across Germany, Austria, Switzerland, France, Benelux, Poland, Russia, South-Eastern Europe and Other.</t>
        </is>
      </c>
      <c r="G245" s="19" t="inlineStr">
        <is>
          <t>Consumer Products and Services (B2C)</t>
        </is>
      </c>
      <c r="H245" s="20" t="inlineStr">
        <is>
          <t>Apparel and Accessories</t>
        </is>
      </c>
      <c r="I245" s="21" t="inlineStr">
        <is>
          <t>Accessories</t>
        </is>
      </c>
      <c r="J245" s="22" t="inlineStr">
        <is>
          <t>Accessories*, Clothing, Department Stores</t>
        </is>
      </c>
      <c r="K245" s="23" t="inlineStr">
        <is>
          <t/>
        </is>
      </c>
      <c r="L245" s="24" t="inlineStr">
        <is>
          <t>casual wear, designer wear, lifestyle clothing</t>
        </is>
      </c>
      <c r="M245" s="25" t="inlineStr">
        <is>
          <t>Formerly PE-Backed</t>
        </is>
      </c>
      <c r="N245" s="26" t="n">
        <v>987.49</v>
      </c>
      <c r="O245" s="27" t="inlineStr">
        <is>
          <t>Profitable</t>
        </is>
      </c>
      <c r="P245" s="28" t="inlineStr">
        <is>
          <t>Publicly Held</t>
        </is>
      </c>
      <c r="Q245" s="29" t="inlineStr">
        <is>
          <t>Debt Financed, M&amp;A, Private Equity, Publicly Listed, Venture Capital</t>
        </is>
      </c>
      <c r="R245" s="30" t="inlineStr">
        <is>
          <t>www.tom-tailor-group.com</t>
        </is>
      </c>
      <c r="S245" s="31" t="n">
        <v>6112.0</v>
      </c>
      <c r="T245" s="32" t="inlineStr">
        <is>
          <t>2011: 1541, 2012: 6100, 2013: 6406, 2014: 6527, 2015: 6981, 2016: 6933, 2017: 6610, 2018: 6112</t>
        </is>
      </c>
      <c r="U245" s="33" t="inlineStr">
        <is>
          <t>ETR</t>
        </is>
      </c>
      <c r="V245" s="34" t="inlineStr">
        <is>
          <t>TTI</t>
        </is>
      </c>
      <c r="W245" s="35" t="n">
        <v>1962.0</v>
      </c>
      <c r="X245" s="36" t="inlineStr">
        <is>
          <t/>
        </is>
      </c>
      <c r="Y245" s="37" t="inlineStr">
        <is>
          <t/>
        </is>
      </c>
      <c r="Z245" s="38" t="inlineStr">
        <is>
          <t>News (New) </t>
        </is>
      </c>
      <c r="AA245" s="39" t="n">
        <v>1010.17</v>
      </c>
      <c r="AB245" s="40" t="n">
        <v>612.51</v>
      </c>
      <c r="AC245" s="41" t="n">
        <v>8.39</v>
      </c>
      <c r="AD245" s="42" t="n">
        <v>344.56</v>
      </c>
      <c r="AE245" s="43" t="n">
        <v>79.82</v>
      </c>
      <c r="AF245" s="44" t="inlineStr">
        <is>
          <t>TTM 3Q2018</t>
        </is>
      </c>
      <c r="AG245" s="45" t="n">
        <v>32.47</v>
      </c>
      <c r="AH245" s="46" t="n">
        <v>124.16</v>
      </c>
      <c r="AI245" s="47" t="n">
        <v>187.36</v>
      </c>
      <c r="AJ245" s="48" t="inlineStr">
        <is>
          <t>165619-00P</t>
        </is>
      </c>
      <c r="AK245" s="49" t="inlineStr">
        <is>
          <t>Thomas Dressendörfer</t>
        </is>
      </c>
      <c r="AL245" s="50" t="inlineStr">
        <is>
          <t>Chief Financial Officer</t>
        </is>
      </c>
      <c r="AM245" s="51" t="inlineStr">
        <is>
          <t>thomas.dressendorfer@tailor-group.com</t>
        </is>
      </c>
      <c r="AN245" s="52" t="inlineStr">
        <is>
          <t>+49 (0)40 5895 60</t>
        </is>
      </c>
      <c r="AO245" s="53" t="inlineStr">
        <is>
          <t>Hamburg, Germany</t>
        </is>
      </c>
      <c r="AP245" s="54" t="inlineStr">
        <is>
          <t>Garstedter Weg 14</t>
        </is>
      </c>
      <c r="AQ245" s="55" t="inlineStr">
        <is>
          <t/>
        </is>
      </c>
      <c r="AR245" s="56" t="inlineStr">
        <is>
          <t>Hamburg</t>
        </is>
      </c>
      <c r="AS245" s="57" t="inlineStr">
        <is>
          <t/>
        </is>
      </c>
      <c r="AT245" s="58" t="inlineStr">
        <is>
          <t>22453</t>
        </is>
      </c>
      <c r="AU245" s="59" t="inlineStr">
        <is>
          <t>Germany</t>
        </is>
      </c>
      <c r="AV245" s="60" t="inlineStr">
        <is>
          <t>+49 (0)40 5895 60</t>
        </is>
      </c>
      <c r="AW245" s="61" t="inlineStr">
        <is>
          <t>+49 (0)40 5895 6398</t>
        </is>
      </c>
      <c r="AX245" s="62" t="inlineStr">
        <is>
          <t>info@tom-tailor.com</t>
        </is>
      </c>
      <c r="AY245" s="63" t="inlineStr">
        <is>
          <t>Europe</t>
        </is>
      </c>
      <c r="AZ245" s="64" t="inlineStr">
        <is>
          <t>Western Europe</t>
        </is>
      </c>
      <c r="BA245" s="65" t="inlineStr">
        <is>
          <t>The company (ETR:TTI) is in talks to receive EUR 8.7 million of development capital from Fosun International through a private placement as of February 19, 2019. Upon completion of the transaction, the company announced its intention to make a voluntary public takeover offer as an offeror to all shareholders of Tom Tailor to acquire all Tom Tailor Shares not already directly held by the company. The private placement is expected to close on February 22, 2019. Previously, the company (ETR:TTI) received $61 million of development capital from Fosun International another undisclosed investors on June 21, 2017 through a private placement. The company is being actively tracked by PitchBook.</t>
        </is>
      </c>
      <c r="BB245" s="66" t="inlineStr">
        <is>
          <t>Fosun International</t>
        </is>
      </c>
      <c r="BC245" s="67" t="n">
        <v>1.0</v>
      </c>
      <c r="BD245" s="68" t="inlineStr">
        <is>
          <t/>
        </is>
      </c>
      <c r="BE245" s="69" t="inlineStr">
        <is>
          <t>Alpha Group, SevenVentures</t>
        </is>
      </c>
      <c r="BF245" s="70" t="inlineStr">
        <is>
          <t/>
        </is>
      </c>
      <c r="BG245" s="71" t="inlineStr">
        <is>
          <t>Fosun International(www.fosun.com)</t>
        </is>
      </c>
      <c r="BH245" s="72" t="inlineStr">
        <is>
          <t>Alpha Group(www.alphapef.com), SevenVentures(www.sevenventures.de)</t>
        </is>
      </c>
      <c r="BI245" s="73" t="inlineStr">
        <is>
          <t/>
        </is>
      </c>
      <c r="BJ245" s="74" t="inlineStr">
        <is>
          <t>Blättchen &amp; Partner(Advisor: General), SRi Group(Consulting), SRiCheyenne(Consulting)</t>
        </is>
      </c>
      <c r="BK245" s="75" t="inlineStr">
        <is>
          <t>Commerzbank(Underwriter), Hauck &amp; Aufhäuser Privatbankiers(Lead Manager or Arranger), Herter and Company(Advisor: General), Heuking Kühn Lüer Wojtek(Legal Advisor), Heymann &amp; Partner(Legal Advisor), HSH Nordbank(Advisor: General), IKB Deutsche Industriebank(Debt Financing), J.P. Morgan(Underwriter), Landesbank Baden-Württemberg(Advisor: General), Ukrsotsbank(Advisor: General)</t>
        </is>
      </c>
      <c r="BL245" s="76" t="inlineStr">
        <is>
          <t/>
        </is>
      </c>
      <c r="BM245" s="77" t="inlineStr">
        <is>
          <t/>
        </is>
      </c>
      <c r="BN245" s="78" t="inlineStr">
        <is>
          <t/>
        </is>
      </c>
      <c r="BO245" s="79" t="inlineStr">
        <is>
          <t/>
        </is>
      </c>
      <c r="BP245" s="80" t="inlineStr">
        <is>
          <t/>
        </is>
      </c>
      <c r="BQ245" s="81" t="inlineStr">
        <is>
          <t>Later Stage VC</t>
        </is>
      </c>
      <c r="BR245" s="82" t="inlineStr">
        <is>
          <t/>
        </is>
      </c>
      <c r="BS245" s="83" t="inlineStr">
        <is>
          <t/>
        </is>
      </c>
      <c r="BT245" s="84" t="inlineStr">
        <is>
          <t>Venture Capital</t>
        </is>
      </c>
      <c r="BU245" s="85" t="inlineStr">
        <is>
          <t/>
        </is>
      </c>
      <c r="BV245" s="86" t="inlineStr">
        <is>
          <t/>
        </is>
      </c>
      <c r="BW245" s="87" t="inlineStr">
        <is>
          <t/>
        </is>
      </c>
      <c r="BX245" s="88" t="inlineStr">
        <is>
          <t>Completed</t>
        </is>
      </c>
      <c r="BY245" s="89" t="n">
        <v>43515.0</v>
      </c>
      <c r="BZ245" s="90" t="n">
        <v>10.14</v>
      </c>
      <c r="CA245" s="91" t="inlineStr">
        <is>
          <t>Actual</t>
        </is>
      </c>
      <c r="CB245" s="92" t="n">
        <v>101.01</v>
      </c>
      <c r="CC245" s="93" t="inlineStr">
        <is>
          <t>Estimated</t>
        </is>
      </c>
      <c r="CD245" s="94" t="inlineStr">
        <is>
          <t>PIPE</t>
        </is>
      </c>
      <c r="CE245" s="95" t="inlineStr">
        <is>
          <t/>
        </is>
      </c>
      <c r="CF245" s="96" t="inlineStr">
        <is>
          <t/>
        </is>
      </c>
      <c r="CG245" s="97" t="inlineStr">
        <is>
          <t/>
        </is>
      </c>
      <c r="CH245" s="98" t="inlineStr">
        <is>
          <t/>
        </is>
      </c>
      <c r="CI245" s="99" t="inlineStr">
        <is>
          <t/>
        </is>
      </c>
      <c r="CJ245" s="100" t="inlineStr">
        <is>
          <t/>
        </is>
      </c>
      <c r="CK245" s="101" t="inlineStr">
        <is>
          <t>Announced/In Progress</t>
        </is>
      </c>
      <c r="CL245" s="102" t="n">
        <v>40909.0</v>
      </c>
      <c r="CM245" s="103" t="n">
        <v>580.19</v>
      </c>
      <c r="CN245" s="104" t="n">
        <v>0.12</v>
      </c>
      <c r="CO245" s="105" t="n">
        <v>86.0</v>
      </c>
      <c r="CP245" s="106" t="n">
        <v>0.04</v>
      </c>
      <c r="CQ245" s="107" t="n">
        <v>46.91</v>
      </c>
      <c r="CR245" s="108" t="n">
        <v>0.27</v>
      </c>
      <c r="CS245" s="109" t="n">
        <v>91.0</v>
      </c>
      <c r="CT245" s="110" t="n">
        <v>0.07</v>
      </c>
      <c r="CU245" s="111" t="n">
        <v>68.0</v>
      </c>
      <c r="CV245" s="112" t="inlineStr">
        <is>
          <t/>
        </is>
      </c>
      <c r="CW245" s="113" t="inlineStr">
        <is>
          <t/>
        </is>
      </c>
      <c r="CX245" s="114" t="n">
        <v>0.27</v>
      </c>
      <c r="CY245" s="115" t="n">
        <v>90.0</v>
      </c>
      <c r="CZ245" s="116" t="n">
        <v>0.04</v>
      </c>
      <c r="DA245" s="117" t="n">
        <v>67.0</v>
      </c>
      <c r="DB245" s="118" t="n">
        <v>140.88</v>
      </c>
      <c r="DC245" s="119" t="n">
        <v>100.0</v>
      </c>
      <c r="DD245" s="120" t="n">
        <v>0.81</v>
      </c>
      <c r="DE245" s="121" t="n">
        <v>0.58</v>
      </c>
      <c r="DF245" s="122" t="n">
        <v>5.71</v>
      </c>
      <c r="DG245" s="123" t="n">
        <v>85.0</v>
      </c>
      <c r="DH245" s="124" t="n">
        <v>394.29</v>
      </c>
      <c r="DI245" s="125" t="n">
        <v>99.0</v>
      </c>
      <c r="DJ245" s="126" t="inlineStr">
        <is>
          <t/>
        </is>
      </c>
      <c r="DK245" s="127" t="inlineStr">
        <is>
          <t/>
        </is>
      </c>
      <c r="DL245" s="128" t="n">
        <v>5.71</v>
      </c>
      <c r="DM245" s="129" t="n">
        <v>83.0</v>
      </c>
      <c r="DN245" s="130" t="n">
        <v>6.33</v>
      </c>
      <c r="DO245" s="131" t="n">
        <v>82.0</v>
      </c>
      <c r="DP245" s="132" t="inlineStr">
        <is>
          <t/>
        </is>
      </c>
      <c r="DQ245" s="133" t="inlineStr">
        <is>
          <t/>
        </is>
      </c>
      <c r="DR245" s="134" t="inlineStr">
        <is>
          <t/>
        </is>
      </c>
      <c r="DS245" s="135" t="n">
        <v>192.0</v>
      </c>
      <c r="DT245" s="136" t="n">
        <v>2.0</v>
      </c>
      <c r="DU245" s="137" t="n">
        <v>1.05</v>
      </c>
      <c r="DV245" s="138" t="n">
        <v>2273.0</v>
      </c>
      <c r="DW245" s="139" t="n">
        <v>-2.0</v>
      </c>
      <c r="DX245" s="140" t="n">
        <v>-0.09</v>
      </c>
      <c r="DY245" s="141" t="inlineStr">
        <is>
          <t>PitchBook Research</t>
        </is>
      </c>
      <c r="DZ245" s="142" t="n">
        <v>43549.0</v>
      </c>
      <c r="EA245" s="143" t="n">
        <v>101.01</v>
      </c>
      <c r="EB245" s="144" t="n">
        <v>43515.0</v>
      </c>
      <c r="EC245" s="145" t="inlineStr">
        <is>
          <t>PIPE</t>
        </is>
      </c>
      <c r="ED245" s="547">
        <f>HYPERLINK("https://my.pitchbook.com?c=42844-60", "View company online")</f>
      </c>
    </row>
    <row r="246">
      <c r="A246" s="147" t="inlineStr">
        <is>
          <t>51018-67</t>
        </is>
      </c>
      <c r="B246" s="148" t="inlineStr">
        <is>
          <t>Groupe SMCP (PAR: SMCP)</t>
        </is>
      </c>
      <c r="C246" s="149" t="inlineStr">
        <is>
          <t/>
        </is>
      </c>
      <c r="D246" s="150" t="inlineStr">
        <is>
          <t>Sandro, Maje and Claudie Pierlot, SMCP</t>
        </is>
      </c>
      <c r="E246" s="151" t="inlineStr">
        <is>
          <t>51018-67</t>
        </is>
      </c>
      <c r="F246" s="152" t="inlineStr">
        <is>
          <t>SMCP SA is an international apparel and accessories, retail group. The company's products include womenswear, menswear, and accessories which are sold through a network of points of sale and websites under three brands: Sandro, Maje and Claudie Pierlot.</t>
        </is>
      </c>
      <c r="G246" s="153" t="inlineStr">
        <is>
          <t>Financial Services</t>
        </is>
      </c>
      <c r="H246" s="154" t="inlineStr">
        <is>
          <t>Other Financial Services</t>
        </is>
      </c>
      <c r="I246" s="155" t="inlineStr">
        <is>
          <t>Holding Companies</t>
        </is>
      </c>
      <c r="J246" s="156" t="inlineStr">
        <is>
          <t>Accessories, Clothing, Holding Companies*, Internet Retail</t>
        </is>
      </c>
      <c r="K246" s="157" t="inlineStr">
        <is>
          <t>Manufacturing</t>
        </is>
      </c>
      <c r="L246" s="158" t="inlineStr">
        <is>
          <t>fashion apparel, man apparel, online apparel shopping, premium apparel, women apparel</t>
        </is>
      </c>
      <c r="M246" s="159" t="inlineStr">
        <is>
          <t>Formerly PE-Backed</t>
        </is>
      </c>
      <c r="N246" s="160" t="n">
        <v>149.33</v>
      </c>
      <c r="O246" s="161" t="inlineStr">
        <is>
          <t>Profitable</t>
        </is>
      </c>
      <c r="P246" s="162" t="inlineStr">
        <is>
          <t>Publicly Held</t>
        </is>
      </c>
      <c r="Q246" s="163" t="inlineStr">
        <is>
          <t>Private Equity, Publicly Listed</t>
        </is>
      </c>
      <c r="R246" s="164" t="inlineStr">
        <is>
          <t>www.smcp.com</t>
        </is>
      </c>
      <c r="S246" s="165" t="n">
        <v>5487.0</v>
      </c>
      <c r="T246" s="166" t="inlineStr">
        <is>
          <t>2010: 700, 2015: 3000, 2016: 3876, 2017: 5091, 2018: 5487</t>
        </is>
      </c>
      <c r="U246" s="167" t="inlineStr">
        <is>
          <t>PAR</t>
        </is>
      </c>
      <c r="V246" s="168" t="inlineStr">
        <is>
          <t>SMCP</t>
        </is>
      </c>
      <c r="W246" s="169" t="n">
        <v>1984.0</v>
      </c>
      <c r="X246" s="170" t="inlineStr">
        <is>
          <t>Shandong Ruyi Technology Group Company</t>
        </is>
      </c>
      <c r="Y246" s="171" t="inlineStr">
        <is>
          <t/>
        </is>
      </c>
      <c r="Z246" s="172" t="inlineStr">
        <is>
          <t>News (New) </t>
        </is>
      </c>
      <c r="AA246" s="173" t="n">
        <v>1008.12</v>
      </c>
      <c r="AB246" s="174" t="n">
        <v>742.18</v>
      </c>
      <c r="AC246" s="175" t="n">
        <v>38.87</v>
      </c>
      <c r="AD246" s="176" t="n">
        <v>2420.27</v>
      </c>
      <c r="AE246" s="177" t="n">
        <v>139.84</v>
      </c>
      <c r="AF246" s="178" t="inlineStr">
        <is>
          <t>TTM 2Q2018</t>
        </is>
      </c>
      <c r="AG246" s="179" t="n">
        <v>97.25</v>
      </c>
      <c r="AH246" s="180" t="n">
        <v>1210.79</v>
      </c>
      <c r="AI246" s="181" t="n">
        <v>330.94</v>
      </c>
      <c r="AJ246" s="182" t="inlineStr">
        <is>
          <t>117103-51P</t>
        </is>
      </c>
      <c r="AK246" s="183" t="inlineStr">
        <is>
          <t>Philippe Gautier</t>
        </is>
      </c>
      <c r="AL246" s="184" t="inlineStr">
        <is>
          <t>Chief Financial Officer &amp; Director, Operations</t>
        </is>
      </c>
      <c r="AM246" s="185" t="inlineStr">
        <is>
          <t>philippe.gautier@sandro-paris.com</t>
        </is>
      </c>
      <c r="AN246" s="186" t="inlineStr">
        <is>
          <t>+33 (0)1 55 80 51 00</t>
        </is>
      </c>
      <c r="AO246" s="187" t="inlineStr">
        <is>
          <t>Paris, France</t>
        </is>
      </c>
      <c r="AP246" s="188" t="inlineStr">
        <is>
          <t>49, rue Etienne Marcel</t>
        </is>
      </c>
      <c r="AQ246" s="189" t="inlineStr">
        <is>
          <t/>
        </is>
      </c>
      <c r="AR246" s="190" t="inlineStr">
        <is>
          <t>Paris</t>
        </is>
      </c>
      <c r="AS246" s="191" t="inlineStr">
        <is>
          <t/>
        </is>
      </c>
      <c r="AT246" s="192" t="inlineStr">
        <is>
          <t>75001</t>
        </is>
      </c>
      <c r="AU246" s="193" t="inlineStr">
        <is>
          <t>France</t>
        </is>
      </c>
      <c r="AV246" s="194" t="inlineStr">
        <is>
          <t>+33 (0)1 55 80 51 00</t>
        </is>
      </c>
      <c r="AW246" s="195" t="inlineStr">
        <is>
          <t/>
        </is>
      </c>
      <c r="AX246" s="196" t="inlineStr">
        <is>
          <t>contact@smcp.com</t>
        </is>
      </c>
      <c r="AY246" s="197" t="inlineStr">
        <is>
          <t>Europe</t>
        </is>
      </c>
      <c r="AZ246" s="198" t="inlineStr">
        <is>
          <t>Western Europe</t>
        </is>
      </c>
      <c r="BA246" s="199" t="inlineStr">
        <is>
          <t>The company raised EUR 541 million in its initial public offering on the Euronext Paris stock exchange under the ticker symbol of SMCP on October 20, 2017. The shares were sold at at a price of EUR 22 per share. After the offering, the company was valued at EUR 1.7 billion. The total proceeds, before expenses, to the company was EUR 127 million and to the selling shareholders was EUR 414 million.</t>
        </is>
      </c>
      <c r="BB246" s="200" t="inlineStr">
        <is>
          <t/>
        </is>
      </c>
      <c r="BC246" s="201" t="inlineStr">
        <is>
          <t/>
        </is>
      </c>
      <c r="BD246" s="202" t="inlineStr">
        <is>
          <t>Shandong Ruyi Technology Group Company</t>
        </is>
      </c>
      <c r="BE246" s="203" t="inlineStr">
        <is>
          <t>Florac, Indigo Capital, Indigo Capital SAS, Individual Investor, Kohlberg Kravis Roberts, L Capital, L Catterton</t>
        </is>
      </c>
      <c r="BF246" s="204" t="inlineStr">
        <is>
          <t>CVC Capital Partners, Eurazeo, Lion Capital, PAI Partners, Swire Pacific, The Carlyle Group, Wendel Group</t>
        </is>
      </c>
      <c r="BG246" s="205" t="inlineStr">
        <is>
          <t/>
        </is>
      </c>
      <c r="BH246" s="206" t="inlineStr">
        <is>
          <t>Florac(www.florac.eu), Indigo Capital(www.indigo-capital.com), Indigo Capital SAS(www.indigo-capital.fr), Kohlberg Kravis Roberts(www.kkr.com), L Catterton(www.lcatterton.com)</t>
        </is>
      </c>
      <c r="BI246" s="207" t="inlineStr">
        <is>
          <t>CVC Capital Partners(www.cvc.com), Eurazeo(www.eurazeo.com), Lion Capital(www.lioncapital.com), PAI Partners(www.paipartners.com), The Carlyle Group(www.carlyle.com), Wendel Group(www.wendelgroup.com)</t>
        </is>
      </c>
      <c r="BJ246" s="208" t="inlineStr">
        <is>
          <t/>
        </is>
      </c>
      <c r="BK246" s="209" t="inlineStr">
        <is>
          <t>Bank of America(Advisor: General), Bank of America Merrill Lynch(Advisor: General), BNP Paribas(Advisor: General), Deloitte(Advisor: General), DLA Piper(Legal Advisor), Edmond de Rothschild Group(Advisor: General), Hoche Société d'Avocats(Legal Advisor), HSBC Bank UK(Advisor: General), Indigo Capital(Debt Financing), Industrial and Commercial Bank of China(Advisor: General), J.P. Morgan(Advisor: General), Kohlberg Kravis Roberts(Advisor: General), KPMG(Accounting), Leonardo &amp; Co.(Advisor: General), Mayer Brown(Legal Advisor), Mizuho International(Advisor: General), Oloryn Partners(Advisor: General), PricewaterhouseCoopers Legal(Legal Advisor), Simpson Thacher &amp; Bartlett(Legal Advisor), SJ Berwin(Legal Advisor), Société Générale(Advisor: General), UBS(Advisor: General)</t>
        </is>
      </c>
      <c r="BL246" s="210" t="n">
        <v>40441.0</v>
      </c>
      <c r="BM246" s="211" t="inlineStr">
        <is>
          <t/>
        </is>
      </c>
      <c r="BN246" s="212" t="inlineStr">
        <is>
          <t/>
        </is>
      </c>
      <c r="BO246" s="213" t="inlineStr">
        <is>
          <t/>
        </is>
      </c>
      <c r="BP246" s="214" t="inlineStr">
        <is>
          <t/>
        </is>
      </c>
      <c r="BQ246" s="215" t="inlineStr">
        <is>
          <t>Buyout/LBO</t>
        </is>
      </c>
      <c r="BR246" s="216" t="inlineStr">
        <is>
          <t/>
        </is>
      </c>
      <c r="BS246" s="217" t="inlineStr">
        <is>
          <t/>
        </is>
      </c>
      <c r="BT246" s="218" t="inlineStr">
        <is>
          <t>Private Equity</t>
        </is>
      </c>
      <c r="BU246" s="219" t="inlineStr">
        <is>
          <t>Mezzanine</t>
        </is>
      </c>
      <c r="BV246" s="220" t="inlineStr">
        <is>
          <t/>
        </is>
      </c>
      <c r="BW246" s="221" t="inlineStr">
        <is>
          <t/>
        </is>
      </c>
      <c r="BX246" s="222" t="inlineStr">
        <is>
          <t>Completed</t>
        </is>
      </c>
      <c r="BY246" s="223" t="n">
        <v>43028.0</v>
      </c>
      <c r="BZ246" s="224" t="n">
        <v>636.13</v>
      </c>
      <c r="CA246" s="225" t="inlineStr">
        <is>
          <t>Actual</t>
        </is>
      </c>
      <c r="CB246" s="226" t="n">
        <v>1998.94</v>
      </c>
      <c r="CC246" s="227" t="inlineStr">
        <is>
          <t>Actual</t>
        </is>
      </c>
      <c r="CD246" s="228" t="inlineStr">
        <is>
          <t>IPO</t>
        </is>
      </c>
      <c r="CE246" s="229" t="inlineStr">
        <is>
          <t/>
        </is>
      </c>
      <c r="CF246" s="230" t="inlineStr">
        <is>
          <t/>
        </is>
      </c>
      <c r="CG246" s="231" t="inlineStr">
        <is>
          <t>Public Investment</t>
        </is>
      </c>
      <c r="CH246" s="232" t="inlineStr">
        <is>
          <t/>
        </is>
      </c>
      <c r="CI246" s="233" t="inlineStr">
        <is>
          <t/>
        </is>
      </c>
      <c r="CJ246" s="234" t="inlineStr">
        <is>
          <t/>
        </is>
      </c>
      <c r="CK246" s="235" t="inlineStr">
        <is>
          <t>Completed</t>
        </is>
      </c>
      <c r="CL246" s="236" t="n">
        <v>40441.0</v>
      </c>
      <c r="CM246" s="237" t="inlineStr">
        <is>
          <t/>
        </is>
      </c>
      <c r="CN246" s="238" t="n">
        <v>1.05</v>
      </c>
      <c r="CO246" s="239" t="n">
        <v>98.0</v>
      </c>
      <c r="CP246" s="240" t="n">
        <v>0.0</v>
      </c>
      <c r="CQ246" s="241" t="n">
        <v>-0.25</v>
      </c>
      <c r="CR246" s="242" t="n">
        <v>1.05</v>
      </c>
      <c r="CS246" s="243" t="n">
        <v>97.0</v>
      </c>
      <c r="CT246" s="244" t="inlineStr">
        <is>
          <t/>
        </is>
      </c>
      <c r="CU246" s="245" t="inlineStr">
        <is>
          <t/>
        </is>
      </c>
      <c r="CV246" s="246" t="n">
        <v>0.82</v>
      </c>
      <c r="CW246" s="247" t="n">
        <v>86.0</v>
      </c>
      <c r="CX246" s="248" t="n">
        <v>1.28</v>
      </c>
      <c r="CY246" s="249" t="n">
        <v>98.0</v>
      </c>
      <c r="CZ246" s="250" t="inlineStr">
        <is>
          <t/>
        </is>
      </c>
      <c r="DA246" s="251" t="inlineStr">
        <is>
          <t/>
        </is>
      </c>
      <c r="DB246" s="252" t="n">
        <v>4.37</v>
      </c>
      <c r="DC246" s="253" t="n">
        <v>81.0</v>
      </c>
      <c r="DD246" s="254" t="n">
        <v>0.92</v>
      </c>
      <c r="DE246" s="255" t="n">
        <v>26.72</v>
      </c>
      <c r="DF246" s="256" t="n">
        <v>4.37</v>
      </c>
      <c r="DG246" s="257" t="n">
        <v>81.0</v>
      </c>
      <c r="DH246" s="258" t="inlineStr">
        <is>
          <t/>
        </is>
      </c>
      <c r="DI246" s="259" t="inlineStr">
        <is>
          <t/>
        </is>
      </c>
      <c r="DJ246" s="260" t="n">
        <v>1.29</v>
      </c>
      <c r="DK246" s="261" t="n">
        <v>56.0</v>
      </c>
      <c r="DL246" s="262" t="n">
        <v>7.44</v>
      </c>
      <c r="DM246" s="263" t="n">
        <v>86.0</v>
      </c>
      <c r="DN246" s="264" t="inlineStr">
        <is>
          <t/>
        </is>
      </c>
      <c r="DO246" s="265" t="inlineStr">
        <is>
          <t/>
        </is>
      </c>
      <c r="DP246" s="266" t="n">
        <v>932.0</v>
      </c>
      <c r="DQ246" s="267" t="n">
        <v>-105.0</v>
      </c>
      <c r="DR246" s="268" t="n">
        <v>-10.13</v>
      </c>
      <c r="DS246" s="269" t="n">
        <v>252.0</v>
      </c>
      <c r="DT246" s="270" t="n">
        <v>1.0</v>
      </c>
      <c r="DU246" s="271" t="n">
        <v>0.4</v>
      </c>
      <c r="DV246" s="272" t="inlineStr">
        <is>
          <t/>
        </is>
      </c>
      <c r="DW246" s="273" t="inlineStr">
        <is>
          <t/>
        </is>
      </c>
      <c r="DX246" s="274" t="inlineStr">
        <is>
          <t/>
        </is>
      </c>
      <c r="DY246" s="275" t="inlineStr">
        <is>
          <t>PitchBook Research</t>
        </is>
      </c>
      <c r="DZ246" s="276" t="n">
        <v>43491.0</v>
      </c>
      <c r="EA246" s="277" t="n">
        <v>1998.94</v>
      </c>
      <c r="EB246" s="278" t="n">
        <v>43028.0</v>
      </c>
      <c r="EC246" s="279" t="inlineStr">
        <is>
          <t>IPO</t>
        </is>
      </c>
      <c r="ED246" s="548">
        <f>HYPERLINK("https://my.pitchbook.com?c=51018-67", "View company online")</f>
      </c>
    </row>
    <row r="247">
      <c r="A247" s="13" t="inlineStr">
        <is>
          <t>10313-65</t>
        </is>
      </c>
      <c r="B247" s="14" t="inlineStr">
        <is>
          <t>Varsity Spirit</t>
        </is>
      </c>
      <c r="C247" s="15" t="inlineStr">
        <is>
          <t>Riddell Sports</t>
        </is>
      </c>
      <c r="D247" s="16" t="inlineStr">
        <is>
          <t>Varsity</t>
        </is>
      </c>
      <c r="E247" s="17" t="inlineStr">
        <is>
          <t>10313-65</t>
        </is>
      </c>
      <c r="F247" s="18" t="inlineStr">
        <is>
          <t>Designer and manufacturer of accessories and clothing products. The company manufactures uniforms, clothing, costumes and accessories for schools and colleges.</t>
        </is>
      </c>
      <c r="G247" s="19" t="inlineStr">
        <is>
          <t>Consumer Products and Services (B2C)</t>
        </is>
      </c>
      <c r="H247" s="20" t="inlineStr">
        <is>
          <t>Apparel and Accessories</t>
        </is>
      </c>
      <c r="I247" s="21" t="inlineStr">
        <is>
          <t>Accessories</t>
        </is>
      </c>
      <c r="J247" s="22" t="inlineStr">
        <is>
          <t>Accessories*, Clothing</t>
        </is>
      </c>
      <c r="K247" s="23" t="inlineStr">
        <is>
          <t>Manufacturing</t>
        </is>
      </c>
      <c r="L247" s="24" t="inlineStr">
        <is>
          <t>college clothing, costumes</t>
        </is>
      </c>
      <c r="M247" s="25" t="inlineStr">
        <is>
          <t>Formerly PE-Backed</t>
        </is>
      </c>
      <c r="N247" s="26" t="n">
        <v>42.84</v>
      </c>
      <c r="O247" s="27" t="inlineStr">
        <is>
          <t>Profitable</t>
        </is>
      </c>
      <c r="P247" s="28" t="inlineStr">
        <is>
          <t>Acquired/Merged (Operating Subsidiary)</t>
        </is>
      </c>
      <c r="Q247" s="29" t="inlineStr">
        <is>
          <t>Debt Financed, Private Equity, Publicly Listed</t>
        </is>
      </c>
      <c r="R247" s="30" t="inlineStr">
        <is>
          <t>www.varsity.com</t>
        </is>
      </c>
      <c r="S247" s="31" t="n">
        <v>5000.0</v>
      </c>
      <c r="T247" s="32" t="inlineStr">
        <is>
          <t>1991: 613, 1992: 667, 1993: 515, 1994: 573, 1995: 603, 1996: 613, 1997: 648, 1998: 1250, 1999: 1254, 2000: 1250, 2001: 570, 2002: 540, 2008: 475, 2011: 900, 2014: 4600, 2016: 1001, 2018: 5000</t>
        </is>
      </c>
      <c r="U247" s="33" t="inlineStr">
        <is>
          <t/>
        </is>
      </c>
      <c r="V247" s="34" t="inlineStr">
        <is>
          <t/>
        </is>
      </c>
      <c r="W247" s="35" t="n">
        <v>1927.0</v>
      </c>
      <c r="X247" s="36" t="inlineStr">
        <is>
          <t>Varsity Brands</t>
        </is>
      </c>
      <c r="Y247" s="37" t="inlineStr">
        <is>
          <t/>
        </is>
      </c>
      <c r="Z247" s="38" t="inlineStr">
        <is>
          <t/>
        </is>
      </c>
      <c r="AA247" s="39" t="n">
        <v>1000.0</v>
      </c>
      <c r="AB247" s="40" t="inlineStr">
        <is>
          <t/>
        </is>
      </c>
      <c r="AC247" s="41" t="inlineStr">
        <is>
          <t/>
        </is>
      </c>
      <c r="AD247" s="42" t="inlineStr">
        <is>
          <t/>
        </is>
      </c>
      <c r="AE247" s="43" t="inlineStr">
        <is>
          <t/>
        </is>
      </c>
      <c r="AF247" s="44" t="inlineStr">
        <is>
          <t>FY 2014</t>
        </is>
      </c>
      <c r="AG247" s="45" t="inlineStr">
        <is>
          <t/>
        </is>
      </c>
      <c r="AH247" s="46" t="inlineStr">
        <is>
          <t/>
        </is>
      </c>
      <c r="AI247" s="47" t="inlineStr">
        <is>
          <t/>
        </is>
      </c>
      <c r="AJ247" s="48" t="inlineStr">
        <is>
          <t>15897-52P</t>
        </is>
      </c>
      <c r="AK247" s="49" t="inlineStr">
        <is>
          <t>John Nichols</t>
        </is>
      </c>
      <c r="AL247" s="50" t="inlineStr">
        <is>
          <t>Executive Vice President &amp; General Manager</t>
        </is>
      </c>
      <c r="AM247" s="51" t="inlineStr">
        <is>
          <t/>
        </is>
      </c>
      <c r="AN247" s="52" t="inlineStr">
        <is>
          <t>+1 (800) 533-8022</t>
        </is>
      </c>
      <c r="AO247" s="53" t="inlineStr">
        <is>
          <t>Memphis, TN</t>
        </is>
      </c>
      <c r="AP247" s="54" t="inlineStr">
        <is>
          <t>6745 Lenox Center Court</t>
        </is>
      </c>
      <c r="AQ247" s="55" t="inlineStr">
        <is>
          <t>Suite 300</t>
        </is>
      </c>
      <c r="AR247" s="56" t="inlineStr">
        <is>
          <t>Memphis</t>
        </is>
      </c>
      <c r="AS247" s="57" t="inlineStr">
        <is>
          <t>Tennessee</t>
        </is>
      </c>
      <c r="AT247" s="58" t="inlineStr">
        <is>
          <t>38115</t>
        </is>
      </c>
      <c r="AU247" s="59" t="inlineStr">
        <is>
          <t>United States</t>
        </is>
      </c>
      <c r="AV247" s="60" t="inlineStr">
        <is>
          <t>+1 (800) 533-8022</t>
        </is>
      </c>
      <c r="AW247" s="61" t="inlineStr">
        <is>
          <t/>
        </is>
      </c>
      <c r="AX247" s="62" t="inlineStr">
        <is>
          <t/>
        </is>
      </c>
      <c r="AY247" s="63" t="inlineStr">
        <is>
          <t>Americas</t>
        </is>
      </c>
      <c r="AZ247" s="64" t="inlineStr">
        <is>
          <t>North America</t>
        </is>
      </c>
      <c r="BA247" s="65" t="inlineStr">
        <is>
          <t>The company was acquired by Varsity Brands on July 31, 2011, for an undisclosed amount.</t>
        </is>
      </c>
      <c r="BB247" s="66" t="inlineStr">
        <is>
          <t/>
        </is>
      </c>
      <c r="BC247" s="67" t="inlineStr">
        <is>
          <t/>
        </is>
      </c>
      <c r="BD247" s="68" t="inlineStr">
        <is>
          <t>Varsity Brands</t>
        </is>
      </c>
      <c r="BE247" s="69" t="inlineStr">
        <is>
          <t>Bank of America, Leonard Green &amp; Partners, Ridgemont Equity Partners, The Northwestern Mutual Life Insurance Company, Wingate Partners</t>
        </is>
      </c>
      <c r="BF247" s="70" t="inlineStr">
        <is>
          <t/>
        </is>
      </c>
      <c r="BG247" s="71" t="inlineStr">
        <is>
          <t/>
        </is>
      </c>
      <c r="BH247" s="72" t="inlineStr">
        <is>
          <t>Bank of America(www.bankofamerica.com), Leonard Green &amp; Partners(www.leonardgreen.com), Ridgemont Equity Partners(www.ridgemontep.com), The Northwestern Mutual Life Insurance Company(www.northwesternmutual.com), Wingate Partners(www.wingatepartners.com)</t>
        </is>
      </c>
      <c r="BI247" s="73" t="inlineStr">
        <is>
          <t/>
        </is>
      </c>
      <c r="BJ247" s="74" t="inlineStr">
        <is>
          <t/>
        </is>
      </c>
      <c r="BK247" s="75" t="inlineStr">
        <is>
          <t>Bank of America(Debt Financing), Dewey &amp; LeBoeuf(Legal Advisor), Fox Rothschild(Legal Advisor), Grant Thornton(Auditor), Invesco(Debt Financing), Latham &amp; Watkins(Legal Advisor), Ridgemont Equity Partners(Debt Financing), The Northwestern Mutual Life Insurance Company(Debt Financing), Wells Fargo(Debt Financing), Zukerman Gore Brandeis &amp; Crossman(Legal Advisor)</t>
        </is>
      </c>
      <c r="BL247" s="76" t="n">
        <v>33239.0</v>
      </c>
      <c r="BM247" s="77" t="n">
        <v>14.9</v>
      </c>
      <c r="BN247" s="78" t="inlineStr">
        <is>
          <t>Actual</t>
        </is>
      </c>
      <c r="BO247" s="79" t="inlineStr">
        <is>
          <t/>
        </is>
      </c>
      <c r="BP247" s="80" t="inlineStr">
        <is>
          <t/>
        </is>
      </c>
      <c r="BQ247" s="81" t="inlineStr">
        <is>
          <t>IPO</t>
        </is>
      </c>
      <c r="BR247" s="82" t="inlineStr">
        <is>
          <t/>
        </is>
      </c>
      <c r="BS247" s="83" t="inlineStr">
        <is>
          <t/>
        </is>
      </c>
      <c r="BT247" s="84" t="inlineStr">
        <is>
          <t>Public Investment</t>
        </is>
      </c>
      <c r="BU247" s="85" t="inlineStr">
        <is>
          <t/>
        </is>
      </c>
      <c r="BV247" s="86" t="inlineStr">
        <is>
          <t/>
        </is>
      </c>
      <c r="BW247" s="87" t="inlineStr">
        <is>
          <t/>
        </is>
      </c>
      <c r="BX247" s="88" t="inlineStr">
        <is>
          <t>Completed</t>
        </is>
      </c>
      <c r="BY247" s="89" t="n">
        <v>40755.0</v>
      </c>
      <c r="BZ247" s="90" t="inlineStr">
        <is>
          <t/>
        </is>
      </c>
      <c r="CA247" s="91" t="inlineStr">
        <is>
          <t/>
        </is>
      </c>
      <c r="CB247" s="92" t="inlineStr">
        <is>
          <t/>
        </is>
      </c>
      <c r="CC247" s="93" t="inlineStr">
        <is>
          <t/>
        </is>
      </c>
      <c r="CD247" s="94" t="inlineStr">
        <is>
          <t>Merger/Acquisition</t>
        </is>
      </c>
      <c r="CE247" s="95" t="inlineStr">
        <is>
          <t/>
        </is>
      </c>
      <c r="CF247" s="96" t="inlineStr">
        <is>
          <t/>
        </is>
      </c>
      <c r="CG247" s="97" t="inlineStr">
        <is>
          <t>Corporate</t>
        </is>
      </c>
      <c r="CH247" s="98" t="inlineStr">
        <is>
          <t/>
        </is>
      </c>
      <c r="CI247" s="99" t="inlineStr">
        <is>
          <t/>
        </is>
      </c>
      <c r="CJ247" s="100" t="inlineStr">
        <is>
          <t/>
        </is>
      </c>
      <c r="CK247" s="101" t="inlineStr">
        <is>
          <t>Completed</t>
        </is>
      </c>
      <c r="CL247" s="102" t="n">
        <v>40390.0</v>
      </c>
      <c r="CM247" s="103" t="n">
        <v>2.84</v>
      </c>
      <c r="CN247" s="104" t="inlineStr">
        <is>
          <t/>
        </is>
      </c>
      <c r="CO247" s="105" t="inlineStr">
        <is>
          <t/>
        </is>
      </c>
      <c r="CP247" s="106" t="inlineStr">
        <is>
          <t/>
        </is>
      </c>
      <c r="CQ247" s="107" t="inlineStr">
        <is>
          <t/>
        </is>
      </c>
      <c r="CR247" s="108" t="inlineStr">
        <is>
          <t/>
        </is>
      </c>
      <c r="CS247" s="109" t="inlineStr">
        <is>
          <t/>
        </is>
      </c>
      <c r="CT247" s="110" t="inlineStr">
        <is>
          <t/>
        </is>
      </c>
      <c r="CU247" s="111" t="inlineStr">
        <is>
          <t/>
        </is>
      </c>
      <c r="CV247" s="112" t="inlineStr">
        <is>
          <t/>
        </is>
      </c>
      <c r="CW247" s="113" t="inlineStr">
        <is>
          <t/>
        </is>
      </c>
      <c r="CX247" s="114" t="inlineStr">
        <is>
          <t/>
        </is>
      </c>
      <c r="CY247" s="115" t="inlineStr">
        <is>
          <t/>
        </is>
      </c>
      <c r="CZ247" s="116" t="inlineStr">
        <is>
          <t/>
        </is>
      </c>
      <c r="DA247" s="117" t="inlineStr">
        <is>
          <t/>
        </is>
      </c>
      <c r="DB247" s="118" t="inlineStr">
        <is>
          <t/>
        </is>
      </c>
      <c r="DC247" s="119" t="inlineStr">
        <is>
          <t/>
        </is>
      </c>
      <c r="DD247" s="120" t="inlineStr">
        <is>
          <t/>
        </is>
      </c>
      <c r="DE247" s="121" t="inlineStr">
        <is>
          <t/>
        </is>
      </c>
      <c r="DF247" s="122" t="inlineStr">
        <is>
          <t/>
        </is>
      </c>
      <c r="DG247" s="123" t="inlineStr">
        <is>
          <t/>
        </is>
      </c>
      <c r="DH247" s="124" t="inlineStr">
        <is>
          <t/>
        </is>
      </c>
      <c r="DI247" s="125" t="inlineStr">
        <is>
          <t/>
        </is>
      </c>
      <c r="DJ247" s="126" t="inlineStr">
        <is>
          <t/>
        </is>
      </c>
      <c r="DK247" s="127" t="inlineStr">
        <is>
          <t/>
        </is>
      </c>
      <c r="DL247" s="128" t="inlineStr">
        <is>
          <t/>
        </is>
      </c>
      <c r="DM247" s="129" t="inlineStr">
        <is>
          <t/>
        </is>
      </c>
      <c r="DN247" s="130" t="inlineStr">
        <is>
          <t/>
        </is>
      </c>
      <c r="DO247" s="131" t="inlineStr">
        <is>
          <t/>
        </is>
      </c>
      <c r="DP247" s="132" t="inlineStr">
        <is>
          <t/>
        </is>
      </c>
      <c r="DQ247" s="133" t="inlineStr">
        <is>
          <t/>
        </is>
      </c>
      <c r="DR247" s="134" t="inlineStr">
        <is>
          <t/>
        </is>
      </c>
      <c r="DS247" s="135" t="inlineStr">
        <is>
          <t/>
        </is>
      </c>
      <c r="DT247" s="136" t="inlineStr">
        <is>
          <t/>
        </is>
      </c>
      <c r="DU247" s="137" t="inlineStr">
        <is>
          <t/>
        </is>
      </c>
      <c r="DV247" s="138" t="inlineStr">
        <is>
          <t/>
        </is>
      </c>
      <c r="DW247" s="139" t="inlineStr">
        <is>
          <t/>
        </is>
      </c>
      <c r="DX247" s="140" t="inlineStr">
        <is>
          <t/>
        </is>
      </c>
      <c r="DY247" s="141" t="inlineStr">
        <is>
          <t>PitchBook Research</t>
        </is>
      </c>
      <c r="DZ247" s="142" t="n">
        <v>43486.0</v>
      </c>
      <c r="EA247" s="143" t="n">
        <v>130.9</v>
      </c>
      <c r="EB247" s="144" t="n">
        <v>37734.0</v>
      </c>
      <c r="EC247" s="145" t="inlineStr">
        <is>
          <t>Buyout/LBO</t>
        </is>
      </c>
      <c r="ED247" s="547">
        <f>HYPERLINK("https://my.pitchbook.com?c=10313-65", "View company online")</f>
      </c>
    </row>
    <row r="248">
      <c r="A248" s="147" t="inlineStr">
        <is>
          <t>10429-66</t>
        </is>
      </c>
      <c r="B248" s="148" t="inlineStr">
        <is>
          <t>Premier Brands Group Holdings</t>
        </is>
      </c>
      <c r="C248" s="149" t="inlineStr">
        <is>
          <t>The Jones Group, Jones Apparel Group, Nine West Holdings</t>
        </is>
      </c>
      <c r="D248" s="150" t="inlineStr">
        <is>
          <t>PBG, Premier Brands Group, Premier Brands</t>
        </is>
      </c>
      <c r="E248" s="151" t="inlineStr">
        <is>
          <t>10429-66</t>
        </is>
      </c>
      <c r="F248" s="152" t="inlineStr">
        <is>
          <t>Designer and retailer of apparel, footwear and accessories. The company offers private label footwear, handbags, small leather goods and costumes, as well as semi-precious, sterling silver and marcasite jewelry.</t>
        </is>
      </c>
      <c r="G248" s="153" t="inlineStr">
        <is>
          <t>Consumer Products and Services (B2C)</t>
        </is>
      </c>
      <c r="H248" s="154" t="inlineStr">
        <is>
          <t>Apparel and Accessories</t>
        </is>
      </c>
      <c r="I248" s="155" t="inlineStr">
        <is>
          <t>Clothing</t>
        </is>
      </c>
      <c r="J248" s="156" t="inlineStr">
        <is>
          <t>Accessories, Clothing*, Footwear</t>
        </is>
      </c>
      <c r="K248" s="157" t="inlineStr">
        <is>
          <t>Manufacturing</t>
        </is>
      </c>
      <c r="L248" s="158" t="inlineStr">
        <is>
          <t>apparel and accessories, apparel branding, fashion accessories, footwear manufacturer</t>
        </is>
      </c>
      <c r="M248" s="159" t="inlineStr">
        <is>
          <t>Private Equity-Backed</t>
        </is>
      </c>
      <c r="N248" s="160" t="n">
        <v>322.0</v>
      </c>
      <c r="O248" s="161" t="inlineStr">
        <is>
          <t>Generating Revenue/Not Profitable</t>
        </is>
      </c>
      <c r="P248" s="162" t="inlineStr">
        <is>
          <t>Privately Held (backing)</t>
        </is>
      </c>
      <c r="Q248" s="163" t="inlineStr">
        <is>
          <t>Debt Financed, Private Equity, Publicly Listed</t>
        </is>
      </c>
      <c r="R248" s="164" t="inlineStr">
        <is>
          <t>www.ninewest.com</t>
        </is>
      </c>
      <c r="S248" s="165" t="n">
        <v>8380.0</v>
      </c>
      <c r="T248" s="166" t="inlineStr">
        <is>
          <t>1991: 180, 1992: 1160, 1993: 1475, 1994: 2325, 1995: 2325, 1996: 2945, 1997: 3135, 1998: 8685, 1999: 15980, 2000: 15980, 2001: 12175, 2002: 15950, 2003: 17095, 2004: 17260, 2005: 18430, 2006: 10880, 2007: 8450, 2008: 7925, 2009: 11535, 2010: 10940, 2011: 12060, 2012: 11790, 2013: 10790, 2014: 7925, 2016: 6000, 2018: 8380</t>
        </is>
      </c>
      <c r="U248" s="167" t="inlineStr">
        <is>
          <t/>
        </is>
      </c>
      <c r="V248" s="168" t="inlineStr">
        <is>
          <t/>
        </is>
      </c>
      <c r="W248" s="169" t="n">
        <v>1970.0</v>
      </c>
      <c r="X248" s="170" t="inlineStr">
        <is>
          <t/>
        </is>
      </c>
      <c r="Y248" s="171" t="inlineStr">
        <is>
          <t>News (New) </t>
        </is>
      </c>
      <c r="Z248" s="172" t="inlineStr">
        <is>
          <t>Deal (New) Buyout/LBO (Secondary), 2019|Completed, News (New) , Competitor (New) Flip Flop Shops, Competitor (New) Shoebuy.com</t>
        </is>
      </c>
      <c r="AA248" s="173" t="n">
        <v>1000.0</v>
      </c>
      <c r="AB248" s="174" t="inlineStr">
        <is>
          <t/>
        </is>
      </c>
      <c r="AC248" s="175" t="inlineStr">
        <is>
          <t/>
        </is>
      </c>
      <c r="AD248" s="176" t="inlineStr">
        <is>
          <t/>
        </is>
      </c>
      <c r="AE248" s="177" t="inlineStr">
        <is>
          <t/>
        </is>
      </c>
      <c r="AF248" s="178" t="inlineStr">
        <is>
          <t>FY 2019</t>
        </is>
      </c>
      <c r="AG248" s="179" t="inlineStr">
        <is>
          <t/>
        </is>
      </c>
      <c r="AH248" s="180" t="inlineStr">
        <is>
          <t/>
        </is>
      </c>
      <c r="AI248" s="181" t="inlineStr">
        <is>
          <t/>
        </is>
      </c>
      <c r="AJ248" s="182" t="inlineStr">
        <is>
          <t>138396-07P</t>
        </is>
      </c>
      <c r="AK248" s="183" t="inlineStr">
        <is>
          <t>Jim Capiola</t>
        </is>
      </c>
      <c r="AL248" s="184" t="inlineStr">
        <is>
          <t>Chief Financial Officer &amp; Executive Vice President</t>
        </is>
      </c>
      <c r="AM248" s="185" t="inlineStr">
        <is>
          <t>jim_capiola@ninewest.com</t>
        </is>
      </c>
      <c r="AN248" s="186" t="inlineStr">
        <is>
          <t>+1 (212) 247-7486</t>
        </is>
      </c>
      <c r="AO248" s="187" t="inlineStr">
        <is>
          <t>New York, NY</t>
        </is>
      </c>
      <c r="AP248" s="188" t="inlineStr">
        <is>
          <t>1258 6th Avenue</t>
        </is>
      </c>
      <c r="AQ248" s="189" t="inlineStr">
        <is>
          <t/>
        </is>
      </c>
      <c r="AR248" s="190" t="inlineStr">
        <is>
          <t>New York</t>
        </is>
      </c>
      <c r="AS248" s="191" t="inlineStr">
        <is>
          <t>New York</t>
        </is>
      </c>
      <c r="AT248" s="192" t="inlineStr">
        <is>
          <t>10020</t>
        </is>
      </c>
      <c r="AU248" s="193" t="inlineStr">
        <is>
          <t>United States</t>
        </is>
      </c>
      <c r="AV248" s="194" t="inlineStr">
        <is>
          <t>+1 (212) 247-7486</t>
        </is>
      </c>
      <c r="AW248" s="195" t="inlineStr">
        <is>
          <t/>
        </is>
      </c>
      <c r="AX248" s="196" t="inlineStr">
        <is>
          <t>info@ninewest.com</t>
        </is>
      </c>
      <c r="AY248" s="197" t="inlineStr">
        <is>
          <t>Americas</t>
        </is>
      </c>
      <c r="AZ248" s="198" t="inlineStr">
        <is>
          <t>North America</t>
        </is>
      </c>
      <c r="BA248" s="199" t="inlineStr">
        <is>
          <t>The company was acquired by CVC Capital Partners and Brigade Capital Management through an LBO on March 20, 2019 for an undisclosed sum. As a part of the transaction, Wells Fargo and The Goldman Sachs Group provided $100 million of loan financing to support the deal.</t>
        </is>
      </c>
      <c r="BB248" s="200" t="inlineStr">
        <is>
          <t>Brigade Capital Management, CVC Capital Partners, Sycamore Partners Management</t>
        </is>
      </c>
      <c r="BC248" s="201" t="n">
        <v>3.0</v>
      </c>
      <c r="BD248" s="202" t="inlineStr">
        <is>
          <t/>
        </is>
      </c>
      <c r="BE248" s="203" t="inlineStr">
        <is>
          <t>Jones New York</t>
        </is>
      </c>
      <c r="BF248" s="204" t="inlineStr">
        <is>
          <t>Caleres, Camuto Group, Golden Gate Capital, Kohlberg Kravis Roberts, Steve Madden, Sun Capital Partners</t>
        </is>
      </c>
      <c r="BG248" s="205" t="inlineStr">
        <is>
          <t>Brigade Capital Management(www.brigadecapital.com), CVC Capital Partners(www.cvc.com), Sycamore Partners Management(www.sycamorepartners.com)</t>
        </is>
      </c>
      <c r="BH248" s="206" t="inlineStr">
        <is>
          <t>Jones New York(www.jny.com)</t>
        </is>
      </c>
      <c r="BI248" s="207" t="inlineStr">
        <is>
          <t>Caleres(www.caleres.com), Camuto Group(www.camutogroup.com), Golden Gate Capital(www.goldengatecap.com), Kohlberg Kravis Roberts(www.kkr.com), Steve Madden(www.stevemadden.com), Sun Capital Partners(www.suncappart.com)</t>
        </is>
      </c>
      <c r="BJ248" s="208" t="inlineStr">
        <is>
          <t>DLA Piper(Legal Advisor), MerchCap Solutions(Consulting)</t>
        </is>
      </c>
      <c r="BK248" s="209" t="inlineStr">
        <is>
          <t>Akin Gump Strauss Hauer &amp; Feld(Legal Advisor), Alvarez &amp; Marsal(Advisor: General), Bank of America Merrill Lynch(Advisor: General), BDO(Auditor), Berkeley Research Group(Advisor: General), Citigroup(Advisor: General), Consensus Advisory Services(Advisor: General), Corporate Capital Trust(Debt Financing), Cravath, Swaine &amp; Moore(Legal Advisor), Deloitte(Advisor: General), FS Investment II(Debt Financing), Gordon Brothers(Debt Financing), Houlihan Lokey(Advisor: General), Invesco(Debt Financing), Jefferies Group(Debt Financing), Kasowitz Benson Torres &amp; Friedman(Legal Advisor), Kekst and Company(Advisor: Communications), Kirkland &amp; Ellis(Legal Advisor), Kohlberg Kravis Roberts(Debt Financing), Lazard(Advisor: General), MerchCap Solutions(Consulting), Morgan Stanley(Debt Financing), Munger, Tolles &amp; Olson(Legal Advisor), PJ SOLOMON(Advisor: General), Prime Clerk(Advisor: General), Protiviti(Advisor: General), Province(Advisor: General), Sierra Income(Debt Financing), Skadden, Arps, Slate, Meagher &amp; Flom(Legal Advisor), Sycamore Partners Management(Debt Financing), The Goldman Sachs Group(Debt Financing), Wells Fargo(Debt Financing), Wells Fargo Capital Finance(Debt Financing)</t>
        </is>
      </c>
      <c r="BL248" s="210" t="n">
        <v>34001.0</v>
      </c>
      <c r="BM248" s="211" t="inlineStr">
        <is>
          <t/>
        </is>
      </c>
      <c r="BN248" s="212" t="inlineStr">
        <is>
          <t/>
        </is>
      </c>
      <c r="BO248" s="213" t="inlineStr">
        <is>
          <t/>
        </is>
      </c>
      <c r="BP248" s="214" t="inlineStr">
        <is>
          <t/>
        </is>
      </c>
      <c r="BQ248" s="215" t="inlineStr">
        <is>
          <t>IPO</t>
        </is>
      </c>
      <c r="BR248" s="216" t="inlineStr">
        <is>
          <t/>
        </is>
      </c>
      <c r="BS248" s="217" t="inlineStr">
        <is>
          <t/>
        </is>
      </c>
      <c r="BT248" s="218" t="inlineStr">
        <is>
          <t>Public Investment</t>
        </is>
      </c>
      <c r="BU248" s="219" t="inlineStr">
        <is>
          <t/>
        </is>
      </c>
      <c r="BV248" s="220" t="inlineStr">
        <is>
          <t/>
        </is>
      </c>
      <c r="BW248" s="221" t="inlineStr">
        <is>
          <t/>
        </is>
      </c>
      <c r="BX248" s="222" t="inlineStr">
        <is>
          <t>Completed</t>
        </is>
      </c>
      <c r="BY248" s="223" t="n">
        <v>43544.0</v>
      </c>
      <c r="BZ248" s="224" t="inlineStr">
        <is>
          <t/>
        </is>
      </c>
      <c r="CA248" s="225" t="inlineStr">
        <is>
          <t/>
        </is>
      </c>
      <c r="CB248" s="226" t="inlineStr">
        <is>
          <t/>
        </is>
      </c>
      <c r="CC248" s="227" t="inlineStr">
        <is>
          <t/>
        </is>
      </c>
      <c r="CD248" s="228" t="inlineStr">
        <is>
          <t>Buyout/LBO</t>
        </is>
      </c>
      <c r="CE248" s="229" t="inlineStr">
        <is>
          <t>Secondary Buyout</t>
        </is>
      </c>
      <c r="CF248" s="230" t="inlineStr">
        <is>
          <t>Distressed Acquisition</t>
        </is>
      </c>
      <c r="CG248" s="231" t="inlineStr">
        <is>
          <t>Private Equity</t>
        </is>
      </c>
      <c r="CH248" s="232" t="inlineStr">
        <is>
          <t>Loan</t>
        </is>
      </c>
      <c r="CI248" s="233" t="inlineStr">
        <is>
          <t/>
        </is>
      </c>
      <c r="CJ248" s="234" t="inlineStr">
        <is>
          <t/>
        </is>
      </c>
      <c r="CK248" s="235" t="inlineStr">
        <is>
          <t>Completed</t>
        </is>
      </c>
      <c r="CL248" s="236" t="n">
        <v>43544.0</v>
      </c>
      <c r="CM248" s="237" t="n">
        <v>100.0</v>
      </c>
      <c r="CN248" s="238" t="n">
        <v>0.41</v>
      </c>
      <c r="CO248" s="239" t="n">
        <v>93.0</v>
      </c>
      <c r="CP248" s="240" t="n">
        <v>-0.01</v>
      </c>
      <c r="CQ248" s="241" t="n">
        <v>-1.52</v>
      </c>
      <c r="CR248" s="242" t="n">
        <v>0.88</v>
      </c>
      <c r="CS248" s="243" t="n">
        <v>96.0</v>
      </c>
      <c r="CT248" s="244" t="n">
        <v>-0.06</v>
      </c>
      <c r="CU248" s="245" t="n">
        <v>13.0</v>
      </c>
      <c r="CV248" s="246" t="n">
        <v>0.88</v>
      </c>
      <c r="CW248" s="247" t="n">
        <v>86.0</v>
      </c>
      <c r="CX248" s="248" t="inlineStr">
        <is>
          <t/>
        </is>
      </c>
      <c r="CY248" s="249" t="inlineStr">
        <is>
          <t/>
        </is>
      </c>
      <c r="CZ248" s="250" t="n">
        <v>-0.06</v>
      </c>
      <c r="DA248" s="251" t="n">
        <v>16.0</v>
      </c>
      <c r="DB248" s="252" t="n">
        <v>122.16</v>
      </c>
      <c r="DC248" s="253" t="n">
        <v>99.0</v>
      </c>
      <c r="DD248" s="254" t="n">
        <v>0.34</v>
      </c>
      <c r="DE248" s="255" t="n">
        <v>0.28</v>
      </c>
      <c r="DF248" s="256" t="n">
        <v>106.57</v>
      </c>
      <c r="DG248" s="257" t="n">
        <v>100.0</v>
      </c>
      <c r="DH248" s="258" t="n">
        <v>137.75</v>
      </c>
      <c r="DI248" s="259" t="n">
        <v>98.0</v>
      </c>
      <c r="DJ248" s="260" t="n">
        <v>106.57</v>
      </c>
      <c r="DK248" s="261" t="n">
        <v>97.0</v>
      </c>
      <c r="DL248" s="262" t="inlineStr">
        <is>
          <t/>
        </is>
      </c>
      <c r="DM248" s="263" t="inlineStr">
        <is>
          <t/>
        </is>
      </c>
      <c r="DN248" s="264" t="n">
        <v>137.75</v>
      </c>
      <c r="DO248" s="265" t="n">
        <v>99.0</v>
      </c>
      <c r="DP248" s="266" t="n">
        <v>76464.0</v>
      </c>
      <c r="DQ248" s="267" t="n">
        <v>-4333.0</v>
      </c>
      <c r="DR248" s="268" t="n">
        <v>-5.36</v>
      </c>
      <c r="DS248" s="269" t="inlineStr">
        <is>
          <t/>
        </is>
      </c>
      <c r="DT248" s="270" t="inlineStr">
        <is>
          <t/>
        </is>
      </c>
      <c r="DU248" s="271" t="inlineStr">
        <is>
          <t/>
        </is>
      </c>
      <c r="DV248" s="272" t="n">
        <v>49465.0</v>
      </c>
      <c r="DW248" s="273" t="n">
        <v>-44.0</v>
      </c>
      <c r="DX248" s="274" t="n">
        <v>-0.09</v>
      </c>
      <c r="DY248" s="275" t="inlineStr">
        <is>
          <t>PitchBook Research</t>
        </is>
      </c>
      <c r="DZ248" s="276" t="n">
        <v>43546.0</v>
      </c>
      <c r="EA248" s="277" t="inlineStr">
        <is>
          <t/>
        </is>
      </c>
      <c r="EB248" s="278" t="inlineStr">
        <is>
          <t/>
        </is>
      </c>
      <c r="EC248" s="279" t="inlineStr">
        <is>
          <t/>
        </is>
      </c>
      <c r="ED248" s="548">
        <f>HYPERLINK("https://my.pitchbook.com?c=10429-66", "View company online")</f>
      </c>
    </row>
    <row r="249">
      <c r="A249" s="13" t="inlineStr">
        <is>
          <t>14388-85</t>
        </is>
      </c>
      <c r="B249" s="14" t="inlineStr">
        <is>
          <t>Tory Burch</t>
        </is>
      </c>
      <c r="C249" s="15" t="inlineStr">
        <is>
          <t>TRB by Tory Burch</t>
        </is>
      </c>
      <c r="D249" s="16" t="inlineStr">
        <is>
          <t/>
        </is>
      </c>
      <c r="E249" s="17" t="inlineStr">
        <is>
          <t>14388-85</t>
        </is>
      </c>
      <c r="F249" s="18" t="inlineStr">
        <is>
          <t>Designer and manufacturer of sportswear and accessories for women. The company offers ready-to-wear shoes, handbags, accessories, watches, home and beauty products.</t>
        </is>
      </c>
      <c r="G249" s="19" t="inlineStr">
        <is>
          <t>Consumer Products and Services (B2C)</t>
        </is>
      </c>
      <c r="H249" s="20" t="inlineStr">
        <is>
          <t>Apparel and Accessories</t>
        </is>
      </c>
      <c r="I249" s="21" t="inlineStr">
        <is>
          <t>Clothing</t>
        </is>
      </c>
      <c r="J249" s="22" t="inlineStr">
        <is>
          <t>Accessories, Clothing*, Footwear</t>
        </is>
      </c>
      <c r="K249" s="23" t="inlineStr">
        <is>
          <t>Beauty, Manufacturing</t>
        </is>
      </c>
      <c r="L249" s="24" t="inlineStr">
        <is>
          <t>beauty vertical, women apparel, women jewelry, women sportswear</t>
        </is>
      </c>
      <c r="M249" s="25" t="inlineStr">
        <is>
          <t>Private Equity-Backed</t>
        </is>
      </c>
      <c r="N249" s="26" t="n">
        <v>1024.0</v>
      </c>
      <c r="O249" s="27" t="inlineStr">
        <is>
          <t>Profitable</t>
        </is>
      </c>
      <c r="P249" s="28" t="inlineStr">
        <is>
          <t>Privately Held (backing)</t>
        </is>
      </c>
      <c r="Q249" s="29" t="inlineStr">
        <is>
          <t>Private Equity, Venture Capital</t>
        </is>
      </c>
      <c r="R249" s="30" t="inlineStr">
        <is>
          <t>www.toryburch.com</t>
        </is>
      </c>
      <c r="S249" s="31" t="n">
        <v>1884.0</v>
      </c>
      <c r="T249" s="32" t="inlineStr">
        <is>
          <t>2008: 300, 2013: 2000, 2016: 1884</t>
        </is>
      </c>
      <c r="U249" s="33" t="inlineStr">
        <is>
          <t/>
        </is>
      </c>
      <c r="V249" s="34" t="inlineStr">
        <is>
          <t/>
        </is>
      </c>
      <c r="W249" s="35" t="n">
        <v>2004.0</v>
      </c>
      <c r="X249" s="36" t="inlineStr">
        <is>
          <t/>
        </is>
      </c>
      <c r="Y249" s="37" t="inlineStr">
        <is>
          <t/>
        </is>
      </c>
      <c r="Z249" s="38" t="inlineStr">
        <is>
          <t/>
        </is>
      </c>
      <c r="AA249" s="39" t="n">
        <v>1000.0</v>
      </c>
      <c r="AB249" s="40" t="inlineStr">
        <is>
          <t/>
        </is>
      </c>
      <c r="AC249" s="41" t="inlineStr">
        <is>
          <t/>
        </is>
      </c>
      <c r="AD249" s="42" t="inlineStr">
        <is>
          <t/>
        </is>
      </c>
      <c r="AE249" s="43" t="inlineStr">
        <is>
          <t/>
        </is>
      </c>
      <c r="AF249" s="44" t="inlineStr">
        <is>
          <t>FY 2016</t>
        </is>
      </c>
      <c r="AG249" s="45" t="inlineStr">
        <is>
          <t/>
        </is>
      </c>
      <c r="AH249" s="46" t="inlineStr">
        <is>
          <t/>
        </is>
      </c>
      <c r="AI249" s="47" t="inlineStr">
        <is>
          <t/>
        </is>
      </c>
      <c r="AJ249" s="48" t="inlineStr">
        <is>
          <t>18034-21P</t>
        </is>
      </c>
      <c r="AK249" s="49" t="inlineStr">
        <is>
          <t>Reepal Shah</t>
        </is>
      </c>
      <c r="AL249" s="50" t="inlineStr">
        <is>
          <t>Chief Treasury Officer &amp; Executive, Corporate Development</t>
        </is>
      </c>
      <c r="AM249" s="51" t="inlineStr">
        <is>
          <t>rshah@toryburch.com</t>
        </is>
      </c>
      <c r="AN249" s="52" t="inlineStr">
        <is>
          <t>+1 (212) 683-2323</t>
        </is>
      </c>
      <c r="AO249" s="53" t="inlineStr">
        <is>
          <t>New York, NY</t>
        </is>
      </c>
      <c r="AP249" s="54" t="inlineStr">
        <is>
          <t>11 West 19th Street</t>
        </is>
      </c>
      <c r="AQ249" s="55" t="inlineStr">
        <is>
          <t>7th Floor</t>
        </is>
      </c>
      <c r="AR249" s="56" t="inlineStr">
        <is>
          <t>New York</t>
        </is>
      </c>
      <c r="AS249" s="57" t="inlineStr">
        <is>
          <t>New York</t>
        </is>
      </c>
      <c r="AT249" s="58" t="inlineStr">
        <is>
          <t>10011</t>
        </is>
      </c>
      <c r="AU249" s="59" t="inlineStr">
        <is>
          <t>United States</t>
        </is>
      </c>
      <c r="AV249" s="60" t="inlineStr">
        <is>
          <t>+1 (212) 683-2323</t>
        </is>
      </c>
      <c r="AW249" s="61" t="inlineStr">
        <is>
          <t/>
        </is>
      </c>
      <c r="AX249" s="62" t="inlineStr">
        <is>
          <t>inquiries@toryburch.com</t>
        </is>
      </c>
      <c r="AY249" s="63" t="inlineStr">
        <is>
          <t>Americas</t>
        </is>
      </c>
      <c r="AZ249" s="64" t="inlineStr">
        <is>
          <t>North America</t>
        </is>
      </c>
      <c r="BA249" s="65" t="inlineStr">
        <is>
          <t>The company bought back 20% stake from Tresalia Capital on November 27, 2018.</t>
        </is>
      </c>
      <c r="BB249" s="66" t="inlineStr">
        <is>
          <t>Access Technology Ventures, BDT Capital Partners, Burch Creative Capital, Fidelity Investments, General Atlantic, Hartford Financial Services Group (Mutual Fund Business), Jorg Mohaupt, Three Ocean Partners</t>
        </is>
      </c>
      <c r="BC249" s="67" t="n">
        <v>8.0</v>
      </c>
      <c r="BD249" s="68" t="inlineStr">
        <is>
          <t/>
        </is>
      </c>
      <c r="BE249" s="69" t="inlineStr">
        <is>
          <t>Tresalia Capital</t>
        </is>
      </c>
      <c r="BF249" s="70" t="inlineStr">
        <is>
          <t>Irving Place Capital</t>
        </is>
      </c>
      <c r="BG249" s="71" t="inlineStr">
        <is>
          <t>Access Technology Ventures(www.accesstechnologyventures.com), Burch Creative Capital(www.burchcreativecapital.com), Fidelity Investments(www.fidelity.com), General Atlantic(www.generalatlantic.com), Hartford Financial Services Group (Mutual Fund Business)(www.hartfordfunds.com), Three Ocean Partners(www.threeoceanpartners.com)</t>
        </is>
      </c>
      <c r="BH249" s="72" t="inlineStr">
        <is>
          <t/>
        </is>
      </c>
      <c r="BI249" s="73" t="inlineStr">
        <is>
          <t>Irving Place Capital(www.irvingplacecapital.com)</t>
        </is>
      </c>
      <c r="BJ249" s="74" t="inlineStr">
        <is>
          <t>Boies, Schiller &amp; Flexner(Legal Advisor), Olshan Frome Wolosky(Legal Advisor), quinn emanuel urquhart &amp; sullivan(Legal Advisor)</t>
        </is>
      </c>
      <c r="BK249" s="75" t="inlineStr">
        <is>
          <t>Bank of America Merrill Lynch(Advisor: General), Barclays Investment Bank(Advisor: General), BDT Capital Partners(Advisor: General), Dechert(Legal Advisor), Deutsche Bank(Advisor: General), Global Leveraged Capital(Advisor: General), Lehman Brothers(Advisor: General), Wachtell, Lipton, Rosen &amp; Katz(Legal Advisor)</t>
        </is>
      </c>
      <c r="BL249" s="76" t="n">
        <v>39700.0</v>
      </c>
      <c r="BM249" s="77" t="n">
        <v>300.0</v>
      </c>
      <c r="BN249" s="78" t="inlineStr">
        <is>
          <t>Actual</t>
        </is>
      </c>
      <c r="BO249" s="79" t="n">
        <v>1000.0</v>
      </c>
      <c r="BP249" s="80" t="inlineStr">
        <is>
          <t/>
        </is>
      </c>
      <c r="BQ249" s="81" t="inlineStr">
        <is>
          <t>PE Growth/Expansion</t>
        </is>
      </c>
      <c r="BR249" s="82" t="inlineStr">
        <is>
          <t/>
        </is>
      </c>
      <c r="BS249" s="83" t="inlineStr">
        <is>
          <t/>
        </is>
      </c>
      <c r="BT249" s="84" t="inlineStr">
        <is>
          <t>Private Equity</t>
        </is>
      </c>
      <c r="BU249" s="85" t="inlineStr">
        <is>
          <t/>
        </is>
      </c>
      <c r="BV249" s="86" t="inlineStr">
        <is>
          <t/>
        </is>
      </c>
      <c r="BW249" s="87" t="inlineStr">
        <is>
          <t/>
        </is>
      </c>
      <c r="BX249" s="88" t="inlineStr">
        <is>
          <t>Failed/Cancelled</t>
        </is>
      </c>
      <c r="BY249" s="89" t="n">
        <v>43431.0</v>
      </c>
      <c r="BZ249" s="90" t="inlineStr">
        <is>
          <t/>
        </is>
      </c>
      <c r="CA249" s="91" t="inlineStr">
        <is>
          <t/>
        </is>
      </c>
      <c r="CB249" s="92" t="inlineStr">
        <is>
          <t/>
        </is>
      </c>
      <c r="CC249" s="93" t="inlineStr">
        <is>
          <t/>
        </is>
      </c>
      <c r="CD249" s="94" t="inlineStr">
        <is>
          <t>Share Repurchase</t>
        </is>
      </c>
      <c r="CE249" s="95" t="inlineStr">
        <is>
          <t/>
        </is>
      </c>
      <c r="CF249" s="96" t="inlineStr">
        <is>
          <t/>
        </is>
      </c>
      <c r="CG249" s="97" t="inlineStr">
        <is>
          <t>Other</t>
        </is>
      </c>
      <c r="CH249" s="98" t="inlineStr">
        <is>
          <t/>
        </is>
      </c>
      <c r="CI249" s="99" t="inlineStr">
        <is>
          <t/>
        </is>
      </c>
      <c r="CJ249" s="100" t="inlineStr">
        <is>
          <t/>
        </is>
      </c>
      <c r="CK249" s="101" t="inlineStr">
        <is>
          <t>Completed</t>
        </is>
      </c>
      <c r="CL249" s="102" t="inlineStr">
        <is>
          <t/>
        </is>
      </c>
      <c r="CM249" s="103" t="inlineStr">
        <is>
          <t/>
        </is>
      </c>
      <c r="CN249" s="104" t="n">
        <v>1.49</v>
      </c>
      <c r="CO249" s="105" t="n">
        <v>99.0</v>
      </c>
      <c r="CP249" s="106" t="n">
        <v>-0.01</v>
      </c>
      <c r="CQ249" s="107" t="n">
        <v>-0.84</v>
      </c>
      <c r="CR249" s="108" t="n">
        <v>1.59</v>
      </c>
      <c r="CS249" s="109" t="n">
        <v>98.0</v>
      </c>
      <c r="CT249" s="110" t="n">
        <v>-0.05</v>
      </c>
      <c r="CU249" s="111" t="n">
        <v>15.0</v>
      </c>
      <c r="CV249" s="112" t="n">
        <v>2.94</v>
      </c>
      <c r="CW249" s="113" t="n">
        <v>93.0</v>
      </c>
      <c r="CX249" s="114" t="n">
        <v>0.24</v>
      </c>
      <c r="CY249" s="115" t="n">
        <v>89.0</v>
      </c>
      <c r="CZ249" s="116" t="n">
        <v>-0.05</v>
      </c>
      <c r="DA249" s="117" t="n">
        <v>19.0</v>
      </c>
      <c r="DB249" s="118" t="n">
        <v>496.39</v>
      </c>
      <c r="DC249" s="119" t="n">
        <v>100.0</v>
      </c>
      <c r="DD249" s="120" t="n">
        <v>-209.73</v>
      </c>
      <c r="DE249" s="121" t="n">
        <v>-29.7</v>
      </c>
      <c r="DF249" s="122" t="n">
        <v>415.01</v>
      </c>
      <c r="DG249" s="123" t="n">
        <v>100.0</v>
      </c>
      <c r="DH249" s="124" t="n">
        <v>1063.5</v>
      </c>
      <c r="DI249" s="125" t="n">
        <v>100.0</v>
      </c>
      <c r="DJ249" s="126" t="n">
        <v>483.24</v>
      </c>
      <c r="DK249" s="127" t="n">
        <v>100.0</v>
      </c>
      <c r="DL249" s="128" t="n">
        <v>346.79</v>
      </c>
      <c r="DM249" s="129" t="n">
        <v>100.0</v>
      </c>
      <c r="DN249" s="130" t="n">
        <v>1063.5</v>
      </c>
      <c r="DO249" s="131" t="n">
        <v>100.0</v>
      </c>
      <c r="DP249" s="132" t="n">
        <v>346269.0</v>
      </c>
      <c r="DQ249" s="133" t="n">
        <v>-15501.0</v>
      </c>
      <c r="DR249" s="134" t="n">
        <v>-4.28</v>
      </c>
      <c r="DS249" s="135" t="n">
        <v>11755.0</v>
      </c>
      <c r="DT249" s="136" t="n">
        <v>74.0</v>
      </c>
      <c r="DU249" s="137" t="n">
        <v>0.63</v>
      </c>
      <c r="DV249" s="138" t="n">
        <v>382083.0</v>
      </c>
      <c r="DW249" s="139" t="n">
        <v>-598.0</v>
      </c>
      <c r="DX249" s="140" t="n">
        <v>-0.16</v>
      </c>
      <c r="DY249" s="141" t="inlineStr">
        <is>
          <t>PitchBook Research</t>
        </is>
      </c>
      <c r="DZ249" s="142" t="n">
        <v>43479.0</v>
      </c>
      <c r="EA249" s="143" t="n">
        <v>3300.0</v>
      </c>
      <c r="EB249" s="144" t="n">
        <v>41276.0</v>
      </c>
      <c r="EC249" s="145" t="inlineStr">
        <is>
          <t>PE Growth/Expansion</t>
        </is>
      </c>
      <c r="ED249" s="547">
        <f>HYPERLINK("https://my.pitchbook.com?c=14388-85", "View company online")</f>
      </c>
    </row>
    <row r="250">
      <c r="A250" s="147" t="inlineStr">
        <is>
          <t>50752-72</t>
        </is>
      </c>
      <c r="B250" s="148" t="inlineStr">
        <is>
          <t>Pet Supplies Plus</t>
        </is>
      </c>
      <c r="C250" s="149" t="inlineStr">
        <is>
          <t/>
        </is>
      </c>
      <c r="D250" s="150" t="inlineStr">
        <is>
          <t>PSP</t>
        </is>
      </c>
      <c r="E250" s="151" t="inlineStr">
        <is>
          <t>50752-72</t>
        </is>
      </c>
      <c r="F250" s="152" t="inlineStr">
        <is>
          <t>Retailer of pet products. The company operates as a privately held pet supply retailing corporation offering foods products, clothing and accessories for dogs, cats, birds, fish, reptiles and other small pets throughout the United States. Its stores also have limited livestock departments, and some have also recently added grooming services and self-serve dog washes.</t>
        </is>
      </c>
      <c r="G250" s="153" t="inlineStr">
        <is>
          <t>Consumer Products and Services (B2C)</t>
        </is>
      </c>
      <c r="H250" s="154" t="inlineStr">
        <is>
          <t>Retail</t>
        </is>
      </c>
      <c r="I250" s="155" t="inlineStr">
        <is>
          <t>Specialty Retail</t>
        </is>
      </c>
      <c r="J250" s="156" t="inlineStr">
        <is>
          <t>Accessories, Food Products, Specialty Retail*</t>
        </is>
      </c>
      <c r="K250" s="157" t="inlineStr">
        <is>
          <t/>
        </is>
      </c>
      <c r="L250" s="158" t="inlineStr">
        <is>
          <t>drying pet food, pet bedding, pet food and accessories, pet retailer, wet pet food</t>
        </is>
      </c>
      <c r="M250" s="159" t="inlineStr">
        <is>
          <t>Private Equity-Backed</t>
        </is>
      </c>
      <c r="N250" s="160" t="n">
        <v>15.0</v>
      </c>
      <c r="O250" s="161" t="inlineStr">
        <is>
          <t>Profitable</t>
        </is>
      </c>
      <c r="P250" s="162" t="inlineStr">
        <is>
          <t>Privately Held (backing)</t>
        </is>
      </c>
      <c r="Q250" s="163" t="inlineStr">
        <is>
          <t>Debt Financed, Private Equity</t>
        </is>
      </c>
      <c r="R250" s="164" t="inlineStr">
        <is>
          <t>www.petsuppliesplus.com</t>
        </is>
      </c>
      <c r="S250" s="165" t="inlineStr">
        <is>
          <t/>
        </is>
      </c>
      <c r="T250" s="166" t="inlineStr">
        <is>
          <t/>
        </is>
      </c>
      <c r="U250" s="167" t="inlineStr">
        <is>
          <t/>
        </is>
      </c>
      <c r="V250" s="168" t="inlineStr">
        <is>
          <t/>
        </is>
      </c>
      <c r="W250" s="169" t="n">
        <v>1988.0</v>
      </c>
      <c r="X250" s="170" t="inlineStr">
        <is>
          <t/>
        </is>
      </c>
      <c r="Y250" s="171" t="inlineStr">
        <is>
          <t/>
        </is>
      </c>
      <c r="Z250" s="172" t="inlineStr">
        <is>
          <t>Competitor (New) NomNomNow</t>
        </is>
      </c>
      <c r="AA250" s="173" t="n">
        <v>1000.0</v>
      </c>
      <c r="AB250" s="174" t="inlineStr">
        <is>
          <t/>
        </is>
      </c>
      <c r="AC250" s="175" t="inlineStr">
        <is>
          <t/>
        </is>
      </c>
      <c r="AD250" s="176" t="inlineStr">
        <is>
          <t/>
        </is>
      </c>
      <c r="AE250" s="177" t="inlineStr">
        <is>
          <t/>
        </is>
      </c>
      <c r="AF250" s="178" t="inlineStr">
        <is>
          <t>FY 2016</t>
        </is>
      </c>
      <c r="AG250" s="179" t="inlineStr">
        <is>
          <t/>
        </is>
      </c>
      <c r="AH250" s="180" t="inlineStr">
        <is>
          <t/>
        </is>
      </c>
      <c r="AI250" s="181" t="inlineStr">
        <is>
          <t/>
        </is>
      </c>
      <c r="AJ250" s="182" t="inlineStr">
        <is>
          <t>35112-70P</t>
        </is>
      </c>
      <c r="AK250" s="183" t="inlineStr">
        <is>
          <t>Dominic Buccellato</t>
        </is>
      </c>
      <c r="AL250" s="184" t="inlineStr">
        <is>
          <t>Chief Operating Officer, Vice Chairman &amp; Executive Vice President</t>
        </is>
      </c>
      <c r="AM250" s="185" t="inlineStr">
        <is>
          <t/>
        </is>
      </c>
      <c r="AN250" s="186" t="inlineStr">
        <is>
          <t>+1 (866) 477-7748</t>
        </is>
      </c>
      <c r="AO250" s="187" t="inlineStr">
        <is>
          <t>Livonia, MI</t>
        </is>
      </c>
      <c r="AP250" s="188" t="inlineStr">
        <is>
          <t>17197 North Laurel Park Drive</t>
        </is>
      </c>
      <c r="AQ250" s="189" t="inlineStr">
        <is>
          <t>Suite 402</t>
        </is>
      </c>
      <c r="AR250" s="190" t="inlineStr">
        <is>
          <t>Livonia</t>
        </is>
      </c>
      <c r="AS250" s="191" t="inlineStr">
        <is>
          <t>Michigan</t>
        </is>
      </c>
      <c r="AT250" s="192" t="inlineStr">
        <is>
          <t>48152</t>
        </is>
      </c>
      <c r="AU250" s="193" t="inlineStr">
        <is>
          <t>United States</t>
        </is>
      </c>
      <c r="AV250" s="194" t="inlineStr">
        <is>
          <t>+1 (866) 477-7748</t>
        </is>
      </c>
      <c r="AW250" s="195" t="inlineStr">
        <is>
          <t/>
        </is>
      </c>
      <c r="AX250" s="196" t="inlineStr">
        <is>
          <t/>
        </is>
      </c>
      <c r="AY250" s="197" t="inlineStr">
        <is>
          <t>Americas</t>
        </is>
      </c>
      <c r="AZ250" s="198" t="inlineStr">
        <is>
          <t>North America</t>
        </is>
      </c>
      <c r="BA250" s="199" t="inlineStr">
        <is>
          <t>The company was acquired by Sentinel Capital Partners and Norwest Mezzanine Partners through an LBO on December 13, 2018 for an undisclosed sum. The company also received an undisclosed amount of debt financing from Churchill Asset Management and Golub Capital as part of the transaction. Pet Supplies Plus will use the Golub financing to invest in new store development and franchising initiatives.</t>
        </is>
      </c>
      <c r="BB250" s="200" t="inlineStr">
        <is>
          <t>Franchise AmericaFinance, Norwest Mezzanine Partners, Sentinel Capital Partners</t>
        </is>
      </c>
      <c r="BC250" s="201" t="n">
        <v>3.0</v>
      </c>
      <c r="BD250" s="202" t="inlineStr">
        <is>
          <t/>
        </is>
      </c>
      <c r="BE250" s="203" t="inlineStr">
        <is>
          <t>Irving Place Capital</t>
        </is>
      </c>
      <c r="BF250" s="204" t="inlineStr">
        <is>
          <t/>
        </is>
      </c>
      <c r="BG250" s="205" t="inlineStr">
        <is>
          <t>Franchise AmericaFinance(www.franchiseamericafinance.com), Norwest Mezzanine Partners(www.nmp.com), Sentinel Capital Partners(www.sentinelpartners.com)</t>
        </is>
      </c>
      <c r="BH250" s="206" t="inlineStr">
        <is>
          <t>Irving Place Capital(www.irvingplacecapital.com)</t>
        </is>
      </c>
      <c r="BI250" s="207" t="inlineStr">
        <is>
          <t/>
        </is>
      </c>
      <c r="BJ250" s="208" t="inlineStr">
        <is>
          <t/>
        </is>
      </c>
      <c r="BK250" s="209" t="inlineStr">
        <is>
          <t>BMO Harris Bank(Debt Financing), BNP Paribas(Debt Financing), Churchill Asset Management(Debt Financing), Golub Capital(Debt Financing), KeyBank(Debt Financing), Norwest Mezzanine Partners(Debt Financing), P&amp;M Corporate Finance(Accounting), Robert W. Baird &amp; Co.(Advisor: General), Societe Generale Corporate &amp; Investment Banking(Debt Financing), Solar Senior Capital(Debt Financing), Weil, Gotshal &amp; Manges(Legal Advisor)</t>
        </is>
      </c>
      <c r="BL250" s="210" t="n">
        <v>40422.0</v>
      </c>
      <c r="BM250" s="211" t="n">
        <v>120.0</v>
      </c>
      <c r="BN250" s="212" t="inlineStr">
        <is>
          <t>Actual</t>
        </is>
      </c>
      <c r="BO250" s="213" t="n">
        <v>222.22</v>
      </c>
      <c r="BP250" s="214" t="inlineStr">
        <is>
          <t>Estimated</t>
        </is>
      </c>
      <c r="BQ250" s="215" t="inlineStr">
        <is>
          <t>Buyout/LBO</t>
        </is>
      </c>
      <c r="BR250" s="216" t="inlineStr">
        <is>
          <t/>
        </is>
      </c>
      <c r="BS250" s="217" t="inlineStr">
        <is>
          <t/>
        </is>
      </c>
      <c r="BT250" s="218" t="inlineStr">
        <is>
          <t>Private Equity</t>
        </is>
      </c>
      <c r="BU250" s="219" t="inlineStr">
        <is>
          <t>Revolving Credit Line</t>
        </is>
      </c>
      <c r="BV250" s="220" t="inlineStr">
        <is>
          <t>Term Loan</t>
        </is>
      </c>
      <c r="BW250" s="221" t="inlineStr">
        <is>
          <t/>
        </is>
      </c>
      <c r="BX250" s="222" t="inlineStr">
        <is>
          <t>Completed</t>
        </is>
      </c>
      <c r="BY250" s="223" t="n">
        <v>43447.0</v>
      </c>
      <c r="BZ250" s="224" t="inlineStr">
        <is>
          <t/>
        </is>
      </c>
      <c r="CA250" s="225" t="inlineStr">
        <is>
          <t/>
        </is>
      </c>
      <c r="CB250" s="226" t="inlineStr">
        <is>
          <t/>
        </is>
      </c>
      <c r="CC250" s="227" t="inlineStr">
        <is>
          <t/>
        </is>
      </c>
      <c r="CD250" s="228" t="inlineStr">
        <is>
          <t>Buyout/LBO</t>
        </is>
      </c>
      <c r="CE250" s="229" t="inlineStr">
        <is>
          <t>Secondary Buyout</t>
        </is>
      </c>
      <c r="CF250" s="230" t="inlineStr">
        <is>
          <t/>
        </is>
      </c>
      <c r="CG250" s="231" t="inlineStr">
        <is>
          <t>Private Equity</t>
        </is>
      </c>
      <c r="CH250" s="232" t="inlineStr">
        <is>
          <t>Subordinated Debt</t>
        </is>
      </c>
      <c r="CI250" s="233" t="inlineStr">
        <is>
          <t>Loan</t>
        </is>
      </c>
      <c r="CJ250" s="234" t="inlineStr">
        <is>
          <t/>
        </is>
      </c>
      <c r="CK250" s="235" t="inlineStr">
        <is>
          <t>Completed</t>
        </is>
      </c>
      <c r="CL250" s="236" t="n">
        <v>43447.0</v>
      </c>
      <c r="CM250" s="237" t="inlineStr">
        <is>
          <t/>
        </is>
      </c>
      <c r="CN250" s="238" t="n">
        <v>0.61</v>
      </c>
      <c r="CO250" s="239" t="n">
        <v>95.0</v>
      </c>
      <c r="CP250" s="240" t="n">
        <v>0.02</v>
      </c>
      <c r="CQ250" s="241" t="n">
        <v>2.62</v>
      </c>
      <c r="CR250" s="242" t="n">
        <v>1.25</v>
      </c>
      <c r="CS250" s="243" t="n">
        <v>98.0</v>
      </c>
      <c r="CT250" s="244" t="n">
        <v>-0.02</v>
      </c>
      <c r="CU250" s="245" t="n">
        <v>22.0</v>
      </c>
      <c r="CV250" s="246" t="n">
        <v>2.0</v>
      </c>
      <c r="CW250" s="247" t="n">
        <v>91.0</v>
      </c>
      <c r="CX250" s="248" t="n">
        <v>0.5</v>
      </c>
      <c r="CY250" s="249" t="n">
        <v>94.0</v>
      </c>
      <c r="CZ250" s="250" t="n">
        <v>-0.02</v>
      </c>
      <c r="DA250" s="251" t="n">
        <v>25.0</v>
      </c>
      <c r="DB250" s="252" t="n">
        <v>113.02</v>
      </c>
      <c r="DC250" s="253" t="n">
        <v>99.0</v>
      </c>
      <c r="DD250" s="254" t="n">
        <v>5.38</v>
      </c>
      <c r="DE250" s="255" t="n">
        <v>5.0</v>
      </c>
      <c r="DF250" s="256" t="n">
        <v>124.52</v>
      </c>
      <c r="DG250" s="257" t="n">
        <v>100.0</v>
      </c>
      <c r="DH250" s="258" t="n">
        <v>101.52</v>
      </c>
      <c r="DI250" s="259" t="n">
        <v>97.0</v>
      </c>
      <c r="DJ250" s="260" t="n">
        <v>167.54</v>
      </c>
      <c r="DK250" s="261" t="n">
        <v>98.0</v>
      </c>
      <c r="DL250" s="262" t="n">
        <v>81.5</v>
      </c>
      <c r="DM250" s="263" t="n">
        <v>99.0</v>
      </c>
      <c r="DN250" s="264" t="n">
        <v>101.52</v>
      </c>
      <c r="DO250" s="265" t="n">
        <v>98.0</v>
      </c>
      <c r="DP250" s="266" t="n">
        <v>119385.0</v>
      </c>
      <c r="DQ250" s="267" t="n">
        <v>618.0</v>
      </c>
      <c r="DR250" s="268" t="n">
        <v>0.52</v>
      </c>
      <c r="DS250" s="269" t="n">
        <v>2759.0</v>
      </c>
      <c r="DT250" s="270" t="n">
        <v>25.0</v>
      </c>
      <c r="DU250" s="271" t="n">
        <v>0.91</v>
      </c>
      <c r="DV250" s="272" t="n">
        <v>36456.0</v>
      </c>
      <c r="DW250" s="273" t="n">
        <v>-32.0</v>
      </c>
      <c r="DX250" s="274" t="n">
        <v>-0.09</v>
      </c>
      <c r="DY250" s="275" t="inlineStr">
        <is>
          <t>PitchBook Research</t>
        </is>
      </c>
      <c r="DZ250" s="276" t="n">
        <v>43546.0</v>
      </c>
      <c r="EA250" s="277" t="n">
        <v>222.22</v>
      </c>
      <c r="EB250" s="278" t="n">
        <v>40422.0</v>
      </c>
      <c r="EC250" s="279" t="inlineStr">
        <is>
          <t>Buyout/LBO</t>
        </is>
      </c>
      <c r="ED250" s="548">
        <f>HYPERLINK("https://my.pitchbook.com?c=50752-72", "View company online")</f>
      </c>
    </row>
    <row r="251">
      <c r="A251" s="13" t="inlineStr">
        <is>
          <t>52938-28</t>
        </is>
      </c>
      <c r="B251" s="14" t="inlineStr">
        <is>
          <t>Rue La La</t>
        </is>
      </c>
      <c r="C251" s="15" t="inlineStr">
        <is>
          <t/>
        </is>
      </c>
      <c r="D251" s="16" t="inlineStr">
        <is>
          <t>Rue</t>
        </is>
      </c>
      <c r="E251" s="17" t="inlineStr">
        <is>
          <t>52938-28</t>
        </is>
      </c>
      <c r="F251" s="18" t="inlineStr">
        <is>
          <t>Retailer of discounted apparel and lifestyle products. The company sources surplus goods and sells them at a discount through its website, daily e-mail and mobile applications.</t>
        </is>
      </c>
      <c r="G251" s="19" t="inlineStr">
        <is>
          <t>Consumer Products and Services (B2C)</t>
        </is>
      </c>
      <c r="H251" s="20" t="inlineStr">
        <is>
          <t>Apparel and Accessories</t>
        </is>
      </c>
      <c r="I251" s="21" t="inlineStr">
        <is>
          <t>Clothing</t>
        </is>
      </c>
      <c r="J251" s="22" t="inlineStr">
        <is>
          <t>Clothing*, Internet Retail, Social/Platform Software</t>
        </is>
      </c>
      <c r="K251" s="23" t="inlineStr">
        <is>
          <t>TMT</t>
        </is>
      </c>
      <c r="L251" s="24" t="inlineStr">
        <is>
          <t>fashion accessories, fashion retail, lifestyle product</t>
        </is>
      </c>
      <c r="M251" s="25" t="inlineStr">
        <is>
          <t>Corporate Backed or Acquired</t>
        </is>
      </c>
      <c r="N251" s="26" t="n">
        <v>25.0</v>
      </c>
      <c r="O251" s="27" t="inlineStr">
        <is>
          <t>Generating Revenue</t>
        </is>
      </c>
      <c r="P251" s="28" t="inlineStr">
        <is>
          <t>Acquired/Merged (Operating Subsidiary)</t>
        </is>
      </c>
      <c r="Q251" s="29" t="inlineStr">
        <is>
          <t>M&amp;A, Venture Capital</t>
        </is>
      </c>
      <c r="R251" s="30" t="inlineStr">
        <is>
          <t>www.ruelala.com</t>
        </is>
      </c>
      <c r="S251" s="31" t="inlineStr">
        <is>
          <t/>
        </is>
      </c>
      <c r="T251" s="32" t="inlineStr">
        <is>
          <t/>
        </is>
      </c>
      <c r="U251" s="33" t="inlineStr">
        <is>
          <t/>
        </is>
      </c>
      <c r="V251" s="34" t="inlineStr">
        <is>
          <t/>
        </is>
      </c>
      <c r="W251" s="35" t="n">
        <v>2008.0</v>
      </c>
      <c r="X251" s="36" t="inlineStr">
        <is>
          <t>Kynetic</t>
        </is>
      </c>
      <c r="Y251" s="37" t="inlineStr">
        <is>
          <t/>
        </is>
      </c>
      <c r="Z251" s="38" t="inlineStr">
        <is>
          <t/>
        </is>
      </c>
      <c r="AA251" s="39" t="n">
        <v>1000.0</v>
      </c>
      <c r="AB251" s="40" t="inlineStr">
        <is>
          <t/>
        </is>
      </c>
      <c r="AC251" s="41" t="inlineStr">
        <is>
          <t/>
        </is>
      </c>
      <c r="AD251" s="42" t="inlineStr">
        <is>
          <t/>
        </is>
      </c>
      <c r="AE251" s="43" t="inlineStr">
        <is>
          <t/>
        </is>
      </c>
      <c r="AF251" s="44" t="inlineStr">
        <is>
          <t>FY 2018</t>
        </is>
      </c>
      <c r="AG251" s="45" t="inlineStr">
        <is>
          <t/>
        </is>
      </c>
      <c r="AH251" s="46" t="inlineStr">
        <is>
          <t/>
        </is>
      </c>
      <c r="AI251" s="47" t="inlineStr">
        <is>
          <t/>
        </is>
      </c>
      <c r="AJ251" s="48" t="inlineStr">
        <is>
          <t>135731-53P</t>
        </is>
      </c>
      <c r="AK251" s="49" t="inlineStr">
        <is>
          <t>Mark McWeeny</t>
        </is>
      </c>
      <c r="AL251" s="50" t="inlineStr">
        <is>
          <t>Co Founder &amp; Chief Executive Officer</t>
        </is>
      </c>
      <c r="AM251" s="51" t="inlineStr">
        <is>
          <t>mark.mcweeny@ruelala.com</t>
        </is>
      </c>
      <c r="AN251" s="52" t="inlineStr">
        <is>
          <t>+1 (617) 695-7300</t>
        </is>
      </c>
      <c r="AO251" s="53" t="inlineStr">
        <is>
          <t>Boston, MA</t>
        </is>
      </c>
      <c r="AP251" s="54" t="inlineStr">
        <is>
          <t>20 Channel Center</t>
        </is>
      </c>
      <c r="AQ251" s="55" t="inlineStr">
        <is>
          <t>Suite 800</t>
        </is>
      </c>
      <c r="AR251" s="56" t="inlineStr">
        <is>
          <t>Boston</t>
        </is>
      </c>
      <c r="AS251" s="57" t="inlineStr">
        <is>
          <t>Massachusetts</t>
        </is>
      </c>
      <c r="AT251" s="58" t="inlineStr">
        <is>
          <t>02210</t>
        </is>
      </c>
      <c r="AU251" s="59" t="inlineStr">
        <is>
          <t>United States</t>
        </is>
      </c>
      <c r="AV251" s="60" t="inlineStr">
        <is>
          <t>+1 (617) 695-7300</t>
        </is>
      </c>
      <c r="AW251" s="61" t="inlineStr">
        <is>
          <t>+1 (617) 695-7391</t>
        </is>
      </c>
      <c r="AX251" s="62" t="inlineStr">
        <is>
          <t>pr@ruelala.com</t>
        </is>
      </c>
      <c r="AY251" s="63" t="inlineStr">
        <is>
          <t>Americas</t>
        </is>
      </c>
      <c r="AZ251" s="64" t="inlineStr">
        <is>
          <t>North America</t>
        </is>
      </c>
      <c r="BA251" s="65" t="inlineStr">
        <is>
          <t>The company was acquired by Kynetic for an undisclosed amount on December 22, 2011.</t>
        </is>
      </c>
      <c r="BB251" s="66" t="inlineStr">
        <is>
          <t>eBay</t>
        </is>
      </c>
      <c r="BC251" s="67" t="n">
        <v>1.0</v>
      </c>
      <c r="BD251" s="68" t="inlineStr">
        <is>
          <t>Kynetic</t>
        </is>
      </c>
      <c r="BE251" s="69" t="inlineStr">
        <is>
          <t>Breakaway Innovation Group, General Catalyst, Mugar Enterprises, New England Development, Radial (acquired 2015), Retail Convergence</t>
        </is>
      </c>
      <c r="BF251" s="70" t="inlineStr">
        <is>
          <t/>
        </is>
      </c>
      <c r="BG251" s="71" t="inlineStr">
        <is>
          <t>eBay(www.ebay.com)</t>
        </is>
      </c>
      <c r="BH251" s="72" t="inlineStr">
        <is>
          <t>Breakaway Innovation Group(www.breakaway.com), General Catalyst(www.generalcatalyst.com), Mugar Enterprises(www.mugar.com), New England Development(www.nedevelopment.com), Retail Convergence(www.retail-convergence.com)</t>
        </is>
      </c>
      <c r="BI251" s="73" t="inlineStr">
        <is>
          <t/>
        </is>
      </c>
      <c r="BJ251" s="74" t="inlineStr">
        <is>
          <t/>
        </is>
      </c>
      <c r="BK251" s="75" t="inlineStr">
        <is>
          <t>Bank of America Merrill Lynch(Underwriter), Cowen and Company(Legal Advisor), Goulston &amp; Storrs(Legal Advisor)</t>
        </is>
      </c>
      <c r="BL251" s="76" t="n">
        <v>39539.0</v>
      </c>
      <c r="BM251" s="77" t="n">
        <v>25.0</v>
      </c>
      <c r="BN251" s="78" t="inlineStr">
        <is>
          <t>Actual</t>
        </is>
      </c>
      <c r="BO251" s="79" t="inlineStr">
        <is>
          <t/>
        </is>
      </c>
      <c r="BP251" s="80" t="inlineStr">
        <is>
          <t/>
        </is>
      </c>
      <c r="BQ251" s="81" t="inlineStr">
        <is>
          <t>Early Stage VC</t>
        </is>
      </c>
      <c r="BR251" s="82" t="inlineStr">
        <is>
          <t>Series A</t>
        </is>
      </c>
      <c r="BS251" s="83" t="inlineStr">
        <is>
          <t/>
        </is>
      </c>
      <c r="BT251" s="84" t="inlineStr">
        <is>
          <t>Venture Capital</t>
        </is>
      </c>
      <c r="BU251" s="85" t="inlineStr">
        <is>
          <t/>
        </is>
      </c>
      <c r="BV251" s="86" t="inlineStr">
        <is>
          <t/>
        </is>
      </c>
      <c r="BW251" s="87" t="inlineStr">
        <is>
          <t/>
        </is>
      </c>
      <c r="BX251" s="88" t="inlineStr">
        <is>
          <t>Completed</t>
        </is>
      </c>
      <c r="BY251" s="89" t="n">
        <v>40899.0</v>
      </c>
      <c r="BZ251" s="90" t="inlineStr">
        <is>
          <t/>
        </is>
      </c>
      <c r="CA251" s="91" t="inlineStr">
        <is>
          <t/>
        </is>
      </c>
      <c r="CB251" s="92" t="inlineStr">
        <is>
          <t/>
        </is>
      </c>
      <c r="CC251" s="93" t="inlineStr">
        <is>
          <t/>
        </is>
      </c>
      <c r="CD251" s="94" t="inlineStr">
        <is>
          <t>Merger/Acquisition</t>
        </is>
      </c>
      <c r="CE251" s="95" t="inlineStr">
        <is>
          <t>Corporate Divestiture</t>
        </is>
      </c>
      <c r="CF251" s="96" t="inlineStr">
        <is>
          <t/>
        </is>
      </c>
      <c r="CG251" s="97" t="inlineStr">
        <is>
          <t>Corporate</t>
        </is>
      </c>
      <c r="CH251" s="98" t="inlineStr">
        <is>
          <t/>
        </is>
      </c>
      <c r="CI251" s="99" t="inlineStr">
        <is>
          <t/>
        </is>
      </c>
      <c r="CJ251" s="100" t="inlineStr">
        <is>
          <t/>
        </is>
      </c>
      <c r="CK251" s="101" t="inlineStr">
        <is>
          <t>Completed</t>
        </is>
      </c>
      <c r="CL251" s="102" t="inlineStr">
        <is>
          <t/>
        </is>
      </c>
      <c r="CM251" s="103" t="inlineStr">
        <is>
          <t/>
        </is>
      </c>
      <c r="CN251" s="104" t="n">
        <v>-0.25</v>
      </c>
      <c r="CO251" s="105" t="n">
        <v>9.0</v>
      </c>
      <c r="CP251" s="106" t="n">
        <v>-0.01</v>
      </c>
      <c r="CQ251" s="107" t="n">
        <v>-5.12</v>
      </c>
      <c r="CR251" s="108" t="n">
        <v>-1.37</v>
      </c>
      <c r="CS251" s="109" t="n">
        <v>5.0</v>
      </c>
      <c r="CT251" s="110" t="n">
        <v>-0.07</v>
      </c>
      <c r="CU251" s="111" t="n">
        <v>11.0</v>
      </c>
      <c r="CV251" s="112" t="n">
        <v>-2.69</v>
      </c>
      <c r="CW251" s="113" t="n">
        <v>17.0</v>
      </c>
      <c r="CX251" s="114" t="n">
        <v>-0.05</v>
      </c>
      <c r="CY251" s="115" t="n">
        <v>11.0</v>
      </c>
      <c r="CZ251" s="116" t="n">
        <v>-0.07</v>
      </c>
      <c r="DA251" s="117" t="n">
        <v>14.0</v>
      </c>
      <c r="DB251" s="118" t="n">
        <v>432.24</v>
      </c>
      <c r="DC251" s="119" t="n">
        <v>100.0</v>
      </c>
      <c r="DD251" s="120" t="n">
        <v>-168.77</v>
      </c>
      <c r="DE251" s="121" t="n">
        <v>-28.08</v>
      </c>
      <c r="DF251" s="122" t="n">
        <v>252.42</v>
      </c>
      <c r="DG251" s="123" t="n">
        <v>100.0</v>
      </c>
      <c r="DH251" s="124" t="n">
        <v>121.94</v>
      </c>
      <c r="DI251" s="125" t="n">
        <v>98.0</v>
      </c>
      <c r="DJ251" s="126" t="n">
        <v>341.66</v>
      </c>
      <c r="DK251" s="127" t="n">
        <v>99.0</v>
      </c>
      <c r="DL251" s="128" t="n">
        <v>163.18</v>
      </c>
      <c r="DM251" s="129" t="n">
        <v>100.0</v>
      </c>
      <c r="DN251" s="130" t="n">
        <v>121.94</v>
      </c>
      <c r="DO251" s="131" t="n">
        <v>98.0</v>
      </c>
      <c r="DP251" s="132" t="n">
        <v>245067.0</v>
      </c>
      <c r="DQ251" s="133" t="n">
        <v>-13150.0</v>
      </c>
      <c r="DR251" s="134" t="n">
        <v>-5.09</v>
      </c>
      <c r="DS251" s="135" t="n">
        <v>5540.0</v>
      </c>
      <c r="DT251" s="136" t="n">
        <v>10.0</v>
      </c>
      <c r="DU251" s="137" t="n">
        <v>0.18</v>
      </c>
      <c r="DV251" s="138" t="n">
        <v>43804.0</v>
      </c>
      <c r="DW251" s="139" t="n">
        <v>-69.0</v>
      </c>
      <c r="DX251" s="140" t="n">
        <v>-0.16</v>
      </c>
      <c r="DY251" s="141" t="inlineStr">
        <is>
          <t>PitchBook Research</t>
        </is>
      </c>
      <c r="DZ251" s="142" t="n">
        <v>43351.0</v>
      </c>
      <c r="EA251" s="143" t="n">
        <v>180.0</v>
      </c>
      <c r="EB251" s="144" t="n">
        <v>40113.0</v>
      </c>
      <c r="EC251" s="145" t="inlineStr">
        <is>
          <t>Merger/Acquisition</t>
        </is>
      </c>
      <c r="ED251" s="547">
        <f>HYPERLINK("https://my.pitchbook.com?c=52938-28", "View company online")</f>
      </c>
    </row>
    <row r="252">
      <c r="A252" s="147" t="inlineStr">
        <is>
          <t>56504-89</t>
        </is>
      </c>
      <c r="B252" s="148" t="inlineStr">
        <is>
          <t>Athleta</t>
        </is>
      </c>
      <c r="C252" s="149" t="inlineStr">
        <is>
          <t/>
        </is>
      </c>
      <c r="D252" s="150" t="inlineStr">
        <is>
          <t/>
        </is>
      </c>
      <c r="E252" s="151" t="inlineStr">
        <is>
          <t>56504-89</t>
        </is>
      </c>
      <c r="F252" s="152" t="inlineStr">
        <is>
          <t>Manufacturer and retailer of women's sports clothing. The company offers functional apparel, footwear and accessories for sports and fitness activities. It sells its products through catalogs and its website.</t>
        </is>
      </c>
      <c r="G252" s="153" t="inlineStr">
        <is>
          <t>Consumer Products and Services (B2C)</t>
        </is>
      </c>
      <c r="H252" s="154" t="inlineStr">
        <is>
          <t>Apparel and Accessories</t>
        </is>
      </c>
      <c r="I252" s="155" t="inlineStr">
        <is>
          <t>Clothing</t>
        </is>
      </c>
      <c r="J252" s="156" t="inlineStr">
        <is>
          <t>Catalog Retail, Clothing*, Specialty Retail</t>
        </is>
      </c>
      <c r="K252" s="157" t="inlineStr">
        <is>
          <t>Manufacturing</t>
        </is>
      </c>
      <c r="L252" s="158" t="inlineStr">
        <is>
          <t>fitness activities, sports clothing, women's sports</t>
        </is>
      </c>
      <c r="M252" s="159" t="inlineStr">
        <is>
          <t>Formerly VC-backed</t>
        </is>
      </c>
      <c r="N252" s="160" t="n">
        <v>6.0</v>
      </c>
      <c r="O252" s="161" t="inlineStr">
        <is>
          <t>Generating Revenue</t>
        </is>
      </c>
      <c r="P252" s="162" t="inlineStr">
        <is>
          <t>Acquired/Merged</t>
        </is>
      </c>
      <c r="Q252" s="163" t="inlineStr">
        <is>
          <t>Venture Capital</t>
        </is>
      </c>
      <c r="R252" s="164" t="inlineStr">
        <is>
          <t>www.athleta.gap.com</t>
        </is>
      </c>
      <c r="S252" s="165" t="inlineStr">
        <is>
          <t/>
        </is>
      </c>
      <c r="T252" s="166" t="inlineStr">
        <is>
          <t/>
        </is>
      </c>
      <c r="U252" s="167" t="inlineStr">
        <is>
          <t/>
        </is>
      </c>
      <c r="V252" s="168" t="inlineStr">
        <is>
          <t/>
        </is>
      </c>
      <c r="W252" s="169" t="n">
        <v>1997.0</v>
      </c>
      <c r="X252" s="170" t="inlineStr">
        <is>
          <t/>
        </is>
      </c>
      <c r="Y252" s="171" t="inlineStr">
        <is>
          <t>News (New) </t>
        </is>
      </c>
      <c r="Z252" s="172" t="inlineStr">
        <is>
          <t>News (New) </t>
        </is>
      </c>
      <c r="AA252" s="173" t="n">
        <v>1000.0</v>
      </c>
      <c r="AB252" s="174" t="inlineStr">
        <is>
          <t/>
        </is>
      </c>
      <c r="AC252" s="175" t="inlineStr">
        <is>
          <t/>
        </is>
      </c>
      <c r="AD252" s="176" t="inlineStr">
        <is>
          <t/>
        </is>
      </c>
      <c r="AE252" s="177" t="inlineStr">
        <is>
          <t/>
        </is>
      </c>
      <c r="AF252" s="178" t="inlineStr">
        <is>
          <t>FY 2017</t>
        </is>
      </c>
      <c r="AG252" s="179" t="inlineStr">
        <is>
          <t/>
        </is>
      </c>
      <c r="AH252" s="180" t="inlineStr">
        <is>
          <t/>
        </is>
      </c>
      <c r="AI252" s="181" t="inlineStr">
        <is>
          <t/>
        </is>
      </c>
      <c r="AJ252" s="182" t="inlineStr">
        <is>
          <t>84033-10P</t>
        </is>
      </c>
      <c r="AK252" s="183" t="inlineStr">
        <is>
          <t>Nancy Green</t>
        </is>
      </c>
      <c r="AL252" s="184" t="inlineStr">
        <is>
          <t>President &amp; Chief Executive Officer</t>
        </is>
      </c>
      <c r="AM252" s="185" t="inlineStr">
        <is>
          <t/>
        </is>
      </c>
      <c r="AN252" s="186" t="inlineStr">
        <is>
          <t>+1 (707) 769-2600</t>
        </is>
      </c>
      <c r="AO252" s="187" t="inlineStr">
        <is>
          <t>Petaluma, CA</t>
        </is>
      </c>
      <c r="AP252" s="188" t="inlineStr">
        <is>
          <t>1450 Technology Lane</t>
        </is>
      </c>
      <c r="AQ252" s="189" t="inlineStr">
        <is>
          <t>Suite 150</t>
        </is>
      </c>
      <c r="AR252" s="190" t="inlineStr">
        <is>
          <t>Petaluma</t>
        </is>
      </c>
      <c r="AS252" s="191" t="inlineStr">
        <is>
          <t>California</t>
        </is>
      </c>
      <c r="AT252" s="192" t="inlineStr">
        <is>
          <t>94954</t>
        </is>
      </c>
      <c r="AU252" s="193" t="inlineStr">
        <is>
          <t>United States</t>
        </is>
      </c>
      <c r="AV252" s="194" t="inlineStr">
        <is>
          <t>+1 (707) 769-2600</t>
        </is>
      </c>
      <c r="AW252" s="195" t="inlineStr">
        <is>
          <t>+1 (707) 769-2610</t>
        </is>
      </c>
      <c r="AX252" s="196" t="inlineStr">
        <is>
          <t/>
        </is>
      </c>
      <c r="AY252" s="197" t="inlineStr">
        <is>
          <t>Americas</t>
        </is>
      </c>
      <c r="AZ252" s="198" t="inlineStr">
        <is>
          <t>North America</t>
        </is>
      </c>
      <c r="BA252" s="199" t="inlineStr">
        <is>
          <t>The company was acquired by Gap for $150 million on September 22, 2008. The company is no longer actively tracked by PitchBook.</t>
        </is>
      </c>
      <c r="BB252" s="200" t="inlineStr">
        <is>
          <t/>
        </is>
      </c>
      <c r="BC252" s="201" t="inlineStr">
        <is>
          <t/>
        </is>
      </c>
      <c r="BD252" s="202" t="inlineStr">
        <is>
          <t>Gap</t>
        </is>
      </c>
      <c r="BE252" s="203" t="inlineStr">
        <is>
          <t>Individual Investor, Peter Kellner, Simon Equity Partners</t>
        </is>
      </c>
      <c r="BF252" s="204" t="inlineStr">
        <is>
          <t/>
        </is>
      </c>
      <c r="BG252" s="205" t="inlineStr">
        <is>
          <t/>
        </is>
      </c>
      <c r="BH252" s="206" t="inlineStr">
        <is>
          <t>Simon Equity Partners(www.simonequity.com)</t>
        </is>
      </c>
      <c r="BI252" s="207" t="inlineStr">
        <is>
          <t/>
        </is>
      </c>
      <c r="BJ252" s="208" t="inlineStr">
        <is>
          <t>Robert K. Futterman &amp; Associates(Consulting)</t>
        </is>
      </c>
      <c r="BK252" s="209" t="inlineStr">
        <is>
          <t>PJ SOLOMON(Advisor: General)</t>
        </is>
      </c>
      <c r="BL252" s="210" t="n">
        <v>37578.0</v>
      </c>
      <c r="BM252" s="211" t="n">
        <v>6.0</v>
      </c>
      <c r="BN252" s="212" t="inlineStr">
        <is>
          <t>Actual</t>
        </is>
      </c>
      <c r="BO252" s="213" t="inlineStr">
        <is>
          <t/>
        </is>
      </c>
      <c r="BP252" s="214" t="inlineStr">
        <is>
          <t/>
        </is>
      </c>
      <c r="BQ252" s="215" t="inlineStr">
        <is>
          <t>Early Stage VC</t>
        </is>
      </c>
      <c r="BR252" s="216" t="inlineStr">
        <is>
          <t>Series B</t>
        </is>
      </c>
      <c r="BS252" s="217" t="inlineStr">
        <is>
          <t/>
        </is>
      </c>
      <c r="BT252" s="218" t="inlineStr">
        <is>
          <t>Venture Capital</t>
        </is>
      </c>
      <c r="BU252" s="219" t="inlineStr">
        <is>
          <t/>
        </is>
      </c>
      <c r="BV252" s="220" t="inlineStr">
        <is>
          <t/>
        </is>
      </c>
      <c r="BW252" s="221" t="inlineStr">
        <is>
          <t/>
        </is>
      </c>
      <c r="BX252" s="222" t="inlineStr">
        <is>
          <t>Completed</t>
        </is>
      </c>
      <c r="BY252" s="223" t="n">
        <v>39713.0</v>
      </c>
      <c r="BZ252" s="224" t="n">
        <v>150.0</v>
      </c>
      <c r="CA252" s="225" t="inlineStr">
        <is>
          <t>Actual</t>
        </is>
      </c>
      <c r="CB252" s="226" t="n">
        <v>150.0</v>
      </c>
      <c r="CC252" s="227" t="inlineStr">
        <is>
          <t>Actual</t>
        </is>
      </c>
      <c r="CD252" s="228" t="inlineStr">
        <is>
          <t>Merger/Acquisition</t>
        </is>
      </c>
      <c r="CE252" s="229" t="inlineStr">
        <is>
          <t/>
        </is>
      </c>
      <c r="CF252" s="230" t="inlineStr">
        <is>
          <t/>
        </is>
      </c>
      <c r="CG252" s="231" t="inlineStr">
        <is>
          <t>Corporate</t>
        </is>
      </c>
      <c r="CH252" s="232" t="inlineStr">
        <is>
          <t/>
        </is>
      </c>
      <c r="CI252" s="233" t="inlineStr">
        <is>
          <t/>
        </is>
      </c>
      <c r="CJ252" s="234" t="inlineStr">
        <is>
          <t/>
        </is>
      </c>
      <c r="CK252" s="235" t="inlineStr">
        <is>
          <t>Completed</t>
        </is>
      </c>
      <c r="CL252" s="236" t="inlineStr">
        <is>
          <t/>
        </is>
      </c>
      <c r="CM252" s="237" t="inlineStr">
        <is>
          <t/>
        </is>
      </c>
      <c r="CN252" s="238" t="inlineStr">
        <is>
          <t/>
        </is>
      </c>
      <c r="CO252" s="239" t="inlineStr">
        <is>
          <t/>
        </is>
      </c>
      <c r="CP252" s="240" t="inlineStr">
        <is>
          <t/>
        </is>
      </c>
      <c r="CQ252" s="241" t="inlineStr">
        <is>
          <t/>
        </is>
      </c>
      <c r="CR252" s="242" t="inlineStr">
        <is>
          <t/>
        </is>
      </c>
      <c r="CS252" s="243" t="inlineStr">
        <is>
          <t/>
        </is>
      </c>
      <c r="CT252" s="244" t="inlineStr">
        <is>
          <t/>
        </is>
      </c>
      <c r="CU252" s="245" t="inlineStr">
        <is>
          <t/>
        </is>
      </c>
      <c r="CV252" s="246" t="inlineStr">
        <is>
          <t/>
        </is>
      </c>
      <c r="CW252" s="247" t="inlineStr">
        <is>
          <t/>
        </is>
      </c>
      <c r="CX252" s="248" t="inlineStr">
        <is>
          <t/>
        </is>
      </c>
      <c r="CY252" s="249" t="inlineStr">
        <is>
          <t/>
        </is>
      </c>
      <c r="CZ252" s="250" t="inlineStr">
        <is>
          <t/>
        </is>
      </c>
      <c r="DA252" s="251" t="inlineStr">
        <is>
          <t/>
        </is>
      </c>
      <c r="DB252" s="252" t="inlineStr">
        <is>
          <t/>
        </is>
      </c>
      <c r="DC252" s="253" t="inlineStr">
        <is>
          <t/>
        </is>
      </c>
      <c r="DD252" s="254" t="inlineStr">
        <is>
          <t/>
        </is>
      </c>
      <c r="DE252" s="255" t="inlineStr">
        <is>
          <t/>
        </is>
      </c>
      <c r="DF252" s="256" t="inlineStr">
        <is>
          <t/>
        </is>
      </c>
      <c r="DG252" s="257" t="inlineStr">
        <is>
          <t/>
        </is>
      </c>
      <c r="DH252" s="258" t="inlineStr">
        <is>
          <t/>
        </is>
      </c>
      <c r="DI252" s="259" t="inlineStr">
        <is>
          <t/>
        </is>
      </c>
      <c r="DJ252" s="260" t="inlineStr">
        <is>
          <t/>
        </is>
      </c>
      <c r="DK252" s="261" t="inlineStr">
        <is>
          <t/>
        </is>
      </c>
      <c r="DL252" s="262" t="inlineStr">
        <is>
          <t/>
        </is>
      </c>
      <c r="DM252" s="263" t="inlineStr">
        <is>
          <t/>
        </is>
      </c>
      <c r="DN252" s="264" t="inlineStr">
        <is>
          <t/>
        </is>
      </c>
      <c r="DO252" s="265" t="inlineStr">
        <is>
          <t/>
        </is>
      </c>
      <c r="DP252" s="266" t="inlineStr">
        <is>
          <t/>
        </is>
      </c>
      <c r="DQ252" s="267" t="inlineStr">
        <is>
          <t/>
        </is>
      </c>
      <c r="DR252" s="268" t="inlineStr">
        <is>
          <t/>
        </is>
      </c>
      <c r="DS252" s="269" t="inlineStr">
        <is>
          <t/>
        </is>
      </c>
      <c r="DT252" s="270" t="inlineStr">
        <is>
          <t/>
        </is>
      </c>
      <c r="DU252" s="271" t="inlineStr">
        <is>
          <t/>
        </is>
      </c>
      <c r="DV252" s="272" t="inlineStr">
        <is>
          <t/>
        </is>
      </c>
      <c r="DW252" s="273" t="inlineStr">
        <is>
          <t/>
        </is>
      </c>
      <c r="DX252" s="274" t="inlineStr">
        <is>
          <t/>
        </is>
      </c>
      <c r="DY252" s="275" t="inlineStr">
        <is>
          <t>PitchBook Research</t>
        </is>
      </c>
      <c r="DZ252" s="276" t="n">
        <v>43525.0</v>
      </c>
      <c r="EA252" s="277" t="n">
        <v>150.0</v>
      </c>
      <c r="EB252" s="278" t="n">
        <v>39713.0</v>
      </c>
      <c r="EC252" s="279" t="inlineStr">
        <is>
          <t>Merger/Acquisition</t>
        </is>
      </c>
      <c r="ED252" s="548">
        <f>HYPERLINK("https://my.pitchbook.com?c=56504-89", "View company online")</f>
      </c>
    </row>
    <row r="253">
      <c r="A253" s="13" t="inlineStr">
        <is>
          <t>65586-16</t>
        </is>
      </c>
      <c r="B253" s="14" t="inlineStr">
        <is>
          <t>Bluebell (Asia)</t>
        </is>
      </c>
      <c r="C253" s="15" t="inlineStr">
        <is>
          <t/>
        </is>
      </c>
      <c r="D253" s="16" t="inlineStr">
        <is>
          <t>BlueBell Group, BlueBell</t>
        </is>
      </c>
      <c r="E253" s="17" t="inlineStr">
        <is>
          <t>65586-16</t>
        </is>
      </c>
      <c r="F253" s="18" t="inlineStr">
        <is>
          <t>Distributor of luxury fashion accessories, jewelry and related products in Asia. The company's luxury products are sold through its comprehensive distribution platform that manages extensive retail and wholesale distribution networks as well as through its outlets located all across Asia.</t>
        </is>
      </c>
      <c r="G253" s="19" t="inlineStr">
        <is>
          <t>Consumer Products and Services (B2C)</t>
        </is>
      </c>
      <c r="H253" s="20" t="inlineStr">
        <is>
          <t>Retail</t>
        </is>
      </c>
      <c r="I253" s="21" t="inlineStr">
        <is>
          <t>Distributors/Wholesale (B2C)</t>
        </is>
      </c>
      <c r="J253" s="22" t="inlineStr">
        <is>
          <t>Accessories, Distributors/Wholesale (B2C)*, Luxury Goods, Specialty Retail</t>
        </is>
      </c>
      <c r="K253" s="23" t="inlineStr">
        <is>
          <t/>
        </is>
      </c>
      <c r="L253" s="24" t="inlineStr">
        <is>
          <t>luxury accessories, luxury apparel, luxury bags, luxury eyewear, luxury footwear, luxury goods, luxury objects, luxury rugs</t>
        </is>
      </c>
      <c r="M253" s="25" t="inlineStr">
        <is>
          <t>Formerly PE-Backed</t>
        </is>
      </c>
      <c r="N253" s="26" t="inlineStr">
        <is>
          <t/>
        </is>
      </c>
      <c r="O253" s="27" t="inlineStr">
        <is>
          <t>Generating Revenue</t>
        </is>
      </c>
      <c r="P253" s="28" t="inlineStr">
        <is>
          <t>Privately Held (backing)</t>
        </is>
      </c>
      <c r="Q253" s="29" t="inlineStr">
        <is>
          <t>Private Equity</t>
        </is>
      </c>
      <c r="R253" s="30" t="inlineStr">
        <is>
          <t>www.bluebellgroup.com</t>
        </is>
      </c>
      <c r="S253" s="31" t="n">
        <v>3500.0</v>
      </c>
      <c r="T253" s="32" t="inlineStr">
        <is>
          <t>2017: 2500, 2018: 3500</t>
        </is>
      </c>
      <c r="U253" s="33" t="inlineStr">
        <is>
          <t/>
        </is>
      </c>
      <c r="V253" s="34" t="inlineStr">
        <is>
          <t/>
        </is>
      </c>
      <c r="W253" s="35" t="n">
        <v>1954.0</v>
      </c>
      <c r="X253" s="36" t="inlineStr">
        <is>
          <t/>
        </is>
      </c>
      <c r="Y253" s="37" t="inlineStr">
        <is>
          <t/>
        </is>
      </c>
      <c r="Z253" s="38" t="inlineStr">
        <is>
          <t/>
        </is>
      </c>
      <c r="AA253" s="39" t="n">
        <v>1000.0</v>
      </c>
      <c r="AB253" s="40" t="inlineStr">
        <is>
          <t/>
        </is>
      </c>
      <c r="AC253" s="41" t="inlineStr">
        <is>
          <t/>
        </is>
      </c>
      <c r="AD253" s="42" t="inlineStr">
        <is>
          <t/>
        </is>
      </c>
      <c r="AE253" s="43" t="inlineStr">
        <is>
          <t/>
        </is>
      </c>
      <c r="AF253" s="44" t="inlineStr">
        <is>
          <t>FY 2014</t>
        </is>
      </c>
      <c r="AG253" s="45" t="inlineStr">
        <is>
          <t/>
        </is>
      </c>
      <c r="AH253" s="46" t="inlineStr">
        <is>
          <t/>
        </is>
      </c>
      <c r="AI253" s="47" t="inlineStr">
        <is>
          <t/>
        </is>
      </c>
      <c r="AJ253" s="48" t="inlineStr">
        <is>
          <t>136688-50P</t>
        </is>
      </c>
      <c r="AK253" s="49" t="inlineStr">
        <is>
          <t>Sophie de Rougemont</t>
        </is>
      </c>
      <c r="AL253" s="50" t="inlineStr">
        <is>
          <t>Senior Director</t>
        </is>
      </c>
      <c r="AM253" s="51" t="inlineStr">
        <is>
          <t>sophie.rougemont@us.carven.com</t>
        </is>
      </c>
      <c r="AN253" s="52" t="inlineStr">
        <is>
          <t>+33 (0)1 49 95 93 57</t>
        </is>
      </c>
      <c r="AO253" s="53" t="inlineStr">
        <is>
          <t>Hong Kong, China</t>
        </is>
      </c>
      <c r="AP253" s="54" t="inlineStr">
        <is>
          <t>21/F, Dorset House, Taikoo Place</t>
        </is>
      </c>
      <c r="AQ253" s="55" t="inlineStr">
        <is>
          <t>979 King's Road, Quarry Bay</t>
        </is>
      </c>
      <c r="AR253" s="56" t="inlineStr">
        <is>
          <t>Hong Kong</t>
        </is>
      </c>
      <c r="AS253" s="57" t="inlineStr">
        <is>
          <t/>
        </is>
      </c>
      <c r="AT253" s="58" t="inlineStr">
        <is>
          <t/>
        </is>
      </c>
      <c r="AU253" s="59" t="inlineStr">
        <is>
          <t>China</t>
        </is>
      </c>
      <c r="AV253" s="60" t="inlineStr">
        <is>
          <t>+86 (0)852 2968 1188</t>
        </is>
      </c>
      <c r="AW253" s="61" t="inlineStr">
        <is>
          <t>+86 (0)852 2968 1246</t>
        </is>
      </c>
      <c r="AX253" s="62" t="inlineStr">
        <is>
          <t>info@bluebellgroup.com</t>
        </is>
      </c>
      <c r="AY253" s="63" t="inlineStr">
        <is>
          <t>Asia</t>
        </is>
      </c>
      <c r="AZ253" s="64" t="inlineStr">
        <is>
          <t>East Asia</t>
        </is>
      </c>
      <c r="BA253" s="65" t="inlineStr">
        <is>
          <t>Kelso Private Equity sold its stake in the company on an undisclosed date.</t>
        </is>
      </c>
      <c r="BB253" s="66" t="inlineStr">
        <is>
          <t/>
        </is>
      </c>
      <c r="BC253" s="67" t="inlineStr">
        <is>
          <t/>
        </is>
      </c>
      <c r="BD253" s="68" t="inlineStr">
        <is>
          <t/>
        </is>
      </c>
      <c r="BE253" s="69" t="inlineStr">
        <is>
          <t>Kelso Private Equity</t>
        </is>
      </c>
      <c r="BF253" s="70" t="inlineStr">
        <is>
          <t/>
        </is>
      </c>
      <c r="BG253" s="71" t="inlineStr">
        <is>
          <t/>
        </is>
      </c>
      <c r="BH253" s="72" t="inlineStr">
        <is>
          <t>Kelso Private Equity(www.kelso.com)</t>
        </is>
      </c>
      <c r="BI253" s="73" t="inlineStr">
        <is>
          <t/>
        </is>
      </c>
      <c r="BJ253" s="74" t="inlineStr">
        <is>
          <t>AHV Associates(Advisor: General)</t>
        </is>
      </c>
      <c r="BK253" s="75" t="inlineStr">
        <is>
          <t/>
        </is>
      </c>
      <c r="BL253" s="76" t="n">
        <v>30682.0</v>
      </c>
      <c r="BM253" s="77" t="inlineStr">
        <is>
          <t/>
        </is>
      </c>
      <c r="BN253" s="78" t="inlineStr">
        <is>
          <t/>
        </is>
      </c>
      <c r="BO253" s="79" t="inlineStr">
        <is>
          <t/>
        </is>
      </c>
      <c r="BP253" s="80" t="inlineStr">
        <is>
          <t/>
        </is>
      </c>
      <c r="BQ253" s="81" t="inlineStr">
        <is>
          <t>PE Growth/Expansion</t>
        </is>
      </c>
      <c r="BR253" s="82" t="inlineStr">
        <is>
          <t/>
        </is>
      </c>
      <c r="BS253" s="83" t="inlineStr">
        <is>
          <t/>
        </is>
      </c>
      <c r="BT253" s="84" t="inlineStr">
        <is>
          <t>Private Equity</t>
        </is>
      </c>
      <c r="BU253" s="85" t="inlineStr">
        <is>
          <t/>
        </is>
      </c>
      <c r="BV253" s="86" t="inlineStr">
        <is>
          <t/>
        </is>
      </c>
      <c r="BW253" s="87" t="inlineStr">
        <is>
          <t/>
        </is>
      </c>
      <c r="BX253" s="88" t="inlineStr">
        <is>
          <t>Completed</t>
        </is>
      </c>
      <c r="BY253" s="89" t="inlineStr">
        <is>
          <t/>
        </is>
      </c>
      <c r="BZ253" s="90" t="inlineStr">
        <is>
          <t/>
        </is>
      </c>
      <c r="CA253" s="91" t="inlineStr">
        <is>
          <t/>
        </is>
      </c>
      <c r="CB253" s="92" t="inlineStr">
        <is>
          <t/>
        </is>
      </c>
      <c r="CC253" s="93" t="inlineStr">
        <is>
          <t/>
        </is>
      </c>
      <c r="CD253" s="94" t="inlineStr">
        <is>
          <t>Undetermined</t>
        </is>
      </c>
      <c r="CE253" s="95" t="inlineStr">
        <is>
          <t/>
        </is>
      </c>
      <c r="CF253" s="96" t="inlineStr">
        <is>
          <t/>
        </is>
      </c>
      <c r="CG253" s="97" t="inlineStr">
        <is>
          <t>Other</t>
        </is>
      </c>
      <c r="CH253" s="98" t="inlineStr">
        <is>
          <t/>
        </is>
      </c>
      <c r="CI253" s="99" t="inlineStr">
        <is>
          <t/>
        </is>
      </c>
      <c r="CJ253" s="100" t="inlineStr">
        <is>
          <t/>
        </is>
      </c>
      <c r="CK253" s="101" t="inlineStr">
        <is>
          <t>Completed</t>
        </is>
      </c>
      <c r="CL253" s="102" t="inlineStr">
        <is>
          <t/>
        </is>
      </c>
      <c r="CM253" s="103" t="inlineStr">
        <is>
          <t/>
        </is>
      </c>
      <c r="CN253" s="104" t="inlineStr">
        <is>
          <t/>
        </is>
      </c>
      <c r="CO253" s="105" t="inlineStr">
        <is>
          <t/>
        </is>
      </c>
      <c r="CP253" s="106" t="inlineStr">
        <is>
          <t/>
        </is>
      </c>
      <c r="CQ253" s="107" t="inlineStr">
        <is>
          <t/>
        </is>
      </c>
      <c r="CR253" s="108" t="inlineStr">
        <is>
          <t/>
        </is>
      </c>
      <c r="CS253" s="109" t="inlineStr">
        <is>
          <t/>
        </is>
      </c>
      <c r="CT253" s="110" t="inlineStr">
        <is>
          <t/>
        </is>
      </c>
      <c r="CU253" s="111" t="inlineStr">
        <is>
          <t/>
        </is>
      </c>
      <c r="CV253" s="112" t="inlineStr">
        <is>
          <t/>
        </is>
      </c>
      <c r="CW253" s="113" t="inlineStr">
        <is>
          <t/>
        </is>
      </c>
      <c r="CX253" s="114" t="inlineStr">
        <is>
          <t/>
        </is>
      </c>
      <c r="CY253" s="115" t="inlineStr">
        <is>
          <t/>
        </is>
      </c>
      <c r="CZ253" s="116" t="inlineStr">
        <is>
          <t/>
        </is>
      </c>
      <c r="DA253" s="117" t="inlineStr">
        <is>
          <t/>
        </is>
      </c>
      <c r="DB253" s="118" t="inlineStr">
        <is>
          <t/>
        </is>
      </c>
      <c r="DC253" s="119" t="inlineStr">
        <is>
          <t/>
        </is>
      </c>
      <c r="DD253" s="120" t="inlineStr">
        <is>
          <t/>
        </is>
      </c>
      <c r="DE253" s="121" t="inlineStr">
        <is>
          <t/>
        </is>
      </c>
      <c r="DF253" s="122" t="inlineStr">
        <is>
          <t/>
        </is>
      </c>
      <c r="DG253" s="123" t="inlineStr">
        <is>
          <t/>
        </is>
      </c>
      <c r="DH253" s="124" t="inlineStr">
        <is>
          <t/>
        </is>
      </c>
      <c r="DI253" s="125" t="inlineStr">
        <is>
          <t/>
        </is>
      </c>
      <c r="DJ253" s="126" t="inlineStr">
        <is>
          <t/>
        </is>
      </c>
      <c r="DK253" s="127" t="inlineStr">
        <is>
          <t/>
        </is>
      </c>
      <c r="DL253" s="128" t="inlineStr">
        <is>
          <t/>
        </is>
      </c>
      <c r="DM253" s="129" t="inlineStr">
        <is>
          <t/>
        </is>
      </c>
      <c r="DN253" s="130" t="inlineStr">
        <is>
          <t/>
        </is>
      </c>
      <c r="DO253" s="131" t="inlineStr">
        <is>
          <t/>
        </is>
      </c>
      <c r="DP253" s="132" t="inlineStr">
        <is>
          <t/>
        </is>
      </c>
      <c r="DQ253" s="133" t="inlineStr">
        <is>
          <t/>
        </is>
      </c>
      <c r="DR253" s="134" t="inlineStr">
        <is>
          <t/>
        </is>
      </c>
      <c r="DS253" s="135" t="inlineStr">
        <is>
          <t/>
        </is>
      </c>
      <c r="DT253" s="136" t="inlineStr">
        <is>
          <t/>
        </is>
      </c>
      <c r="DU253" s="137" t="inlineStr">
        <is>
          <t/>
        </is>
      </c>
      <c r="DV253" s="138" t="inlineStr">
        <is>
          <t/>
        </is>
      </c>
      <c r="DW253" s="139" t="inlineStr">
        <is>
          <t/>
        </is>
      </c>
      <c r="DX253" s="140" t="inlineStr">
        <is>
          <t/>
        </is>
      </c>
      <c r="DY253" s="141" t="inlineStr">
        <is>
          <t>PitchBook Research</t>
        </is>
      </c>
      <c r="DZ253" s="142" t="n">
        <v>43351.0</v>
      </c>
      <c r="EA253" s="143" t="inlineStr">
        <is>
          <t/>
        </is>
      </c>
      <c r="EB253" s="144" t="inlineStr">
        <is>
          <t/>
        </is>
      </c>
      <c r="EC253" s="145" t="inlineStr">
        <is>
          <t/>
        </is>
      </c>
      <c r="ED253" s="547">
        <f>HYPERLINK("https://my.pitchbook.com?c=65586-16", "View company online")</f>
      </c>
    </row>
    <row r="254">
      <c r="A254" s="147" t="inlineStr">
        <is>
          <t>97841-17</t>
        </is>
      </c>
      <c r="B254" s="148" t="inlineStr">
        <is>
          <t>Jones New York</t>
        </is>
      </c>
      <c r="C254" s="149" t="inlineStr">
        <is>
          <t/>
        </is>
      </c>
      <c r="D254" s="150" t="inlineStr">
        <is>
          <t>JNY</t>
        </is>
      </c>
      <c r="E254" s="151" t="inlineStr">
        <is>
          <t>97841-17</t>
        </is>
      </c>
      <c r="F254" s="152" t="inlineStr">
        <is>
          <t>Retailer of clothing apparel designed for modern day woman. The company's women apparel delivers timeless versatility and complements her individual expression assisting women to look confident and expressive that is always polished yet casually elegant.</t>
        </is>
      </c>
      <c r="G254" s="153" t="inlineStr">
        <is>
          <t>Consumer Products and Services (B2C)</t>
        </is>
      </c>
      <c r="H254" s="154" t="inlineStr">
        <is>
          <t>Apparel and Accessories</t>
        </is>
      </c>
      <c r="I254" s="155" t="inlineStr">
        <is>
          <t>Clothing</t>
        </is>
      </c>
      <c r="J254" s="156" t="inlineStr">
        <is>
          <t>Accessories, Clothing*, Internet Retail</t>
        </is>
      </c>
      <c r="K254" s="157" t="inlineStr">
        <is>
          <t/>
        </is>
      </c>
      <c r="L254" s="158" t="inlineStr">
        <is>
          <t>retail stores</t>
        </is>
      </c>
      <c r="M254" s="159" t="inlineStr">
        <is>
          <t>Private Equity-Backed</t>
        </is>
      </c>
      <c r="N254" s="160" t="inlineStr">
        <is>
          <t/>
        </is>
      </c>
      <c r="O254" s="161" t="inlineStr">
        <is>
          <t>Profitable</t>
        </is>
      </c>
      <c r="P254" s="162" t="inlineStr">
        <is>
          <t>Acquired/Merged (Operating Subsidiary)</t>
        </is>
      </c>
      <c r="Q254" s="163" t="inlineStr">
        <is>
          <t>Debt Financed, Private Equity</t>
        </is>
      </c>
      <c r="R254" s="164" t="inlineStr">
        <is>
          <t>www.jny.com</t>
        </is>
      </c>
      <c r="S254" s="165" t="n">
        <v>2069.0</v>
      </c>
      <c r="T254" s="166" t="inlineStr">
        <is>
          <t>2015: 2069</t>
        </is>
      </c>
      <c r="U254" s="167" t="inlineStr">
        <is>
          <t/>
        </is>
      </c>
      <c r="V254" s="168" t="inlineStr">
        <is>
          <t/>
        </is>
      </c>
      <c r="W254" s="169" t="n">
        <v>1966.0</v>
      </c>
      <c r="X254" s="170" t="inlineStr">
        <is>
          <t>Authentic Brands Group</t>
        </is>
      </c>
      <c r="Y254" s="171" t="inlineStr">
        <is>
          <t/>
        </is>
      </c>
      <c r="Z254" s="172" t="inlineStr">
        <is>
          <t/>
        </is>
      </c>
      <c r="AA254" s="173" t="n">
        <v>1000.0</v>
      </c>
      <c r="AB254" s="174" t="inlineStr">
        <is>
          <t/>
        </is>
      </c>
      <c r="AC254" s="175" t="inlineStr">
        <is>
          <t/>
        </is>
      </c>
      <c r="AD254" s="176" t="inlineStr">
        <is>
          <t/>
        </is>
      </c>
      <c r="AE254" s="177" t="inlineStr">
        <is>
          <t/>
        </is>
      </c>
      <c r="AF254" s="178" t="inlineStr">
        <is>
          <t>FY 2014</t>
        </is>
      </c>
      <c r="AG254" s="179" t="inlineStr">
        <is>
          <t/>
        </is>
      </c>
      <c r="AH254" s="180" t="inlineStr">
        <is>
          <t/>
        </is>
      </c>
      <c r="AI254" s="181" t="inlineStr">
        <is>
          <t/>
        </is>
      </c>
      <c r="AJ254" s="182" t="inlineStr">
        <is>
          <t>97412-59P</t>
        </is>
      </c>
      <c r="AK254" s="183" t="inlineStr">
        <is>
          <t>Sidney Kimmel</t>
        </is>
      </c>
      <c r="AL254" s="184" t="inlineStr">
        <is>
          <t>Founder</t>
        </is>
      </c>
      <c r="AM254" s="185" t="inlineStr">
        <is>
          <t>sidney_kimmel@ninewest.com</t>
        </is>
      </c>
      <c r="AN254" s="186" t="inlineStr">
        <is>
          <t>+1 (888) 880-8730</t>
        </is>
      </c>
      <c r="AO254" s="187" t="inlineStr">
        <is>
          <t>Compton, CA</t>
        </is>
      </c>
      <c r="AP254" s="188" t="inlineStr">
        <is>
          <t>3040 East Ana Street</t>
        </is>
      </c>
      <c r="AQ254" s="189" t="inlineStr">
        <is>
          <t/>
        </is>
      </c>
      <c r="AR254" s="190" t="inlineStr">
        <is>
          <t>Compton</t>
        </is>
      </c>
      <c r="AS254" s="191" t="inlineStr">
        <is>
          <t>California</t>
        </is>
      </c>
      <c r="AT254" s="192" t="inlineStr">
        <is>
          <t>90221</t>
        </is>
      </c>
      <c r="AU254" s="193" t="inlineStr">
        <is>
          <t>United States</t>
        </is>
      </c>
      <c r="AV254" s="194" t="inlineStr">
        <is>
          <t>+1 (888) 880-8730</t>
        </is>
      </c>
      <c r="AW254" s="195" t="inlineStr">
        <is>
          <t/>
        </is>
      </c>
      <c r="AX254" s="196" t="inlineStr">
        <is>
          <t/>
        </is>
      </c>
      <c r="AY254" s="197" t="inlineStr">
        <is>
          <t>Americas</t>
        </is>
      </c>
      <c r="AZ254" s="198" t="inlineStr">
        <is>
          <t>North America</t>
        </is>
      </c>
      <c r="BA254" s="199" t="inlineStr">
        <is>
          <t>The company was acquired by Authentic Brands Group, via its financial sponsors Leonard Green &amp; Partners and Knight's Bridge Capital Partners, through an LBO on April 23, 2015, for an undisclosed sum. The acquisition marks a new milestone in the company's growth, propelling the Authentic Brands Group portfolio to more than 4.5 billion dollar in retail sales</t>
        </is>
      </c>
      <c r="BB254" s="200" t="inlineStr">
        <is>
          <t/>
        </is>
      </c>
      <c r="BC254" s="201" t="inlineStr">
        <is>
          <t/>
        </is>
      </c>
      <c r="BD254" s="202" t="inlineStr">
        <is>
          <t>Authentic Brands Group</t>
        </is>
      </c>
      <c r="BE254" s="203" t="inlineStr">
        <is>
          <t>Premier Brands Group Holdings, Sycamore Partners Management</t>
        </is>
      </c>
      <c r="BF254" s="204" t="inlineStr">
        <is>
          <t>Knight's Bridge Capital Partners, Leonard Green &amp; Partners</t>
        </is>
      </c>
      <c r="BG254" s="205" t="inlineStr">
        <is>
          <t/>
        </is>
      </c>
      <c r="BH254" s="206" t="inlineStr">
        <is>
          <t>Premier Brands Group Holdings(www.ninewest.com), Sycamore Partners Management(www.sycamorepartners.com)</t>
        </is>
      </c>
      <c r="BI254" s="207" t="inlineStr">
        <is>
          <t>Knight's Bridge Capital Partners(www.kbcpartners.com), Leonard Green &amp; Partners(www.leonardgreen.com)</t>
        </is>
      </c>
      <c r="BJ254" s="208" t="inlineStr">
        <is>
          <t>Hilco Real Estate(Advisor: General), The Hilltop Alliance(Consulting)</t>
        </is>
      </c>
      <c r="BK254" s="209" t="inlineStr">
        <is>
          <t>BlackRock TCP Capital(Debt Financing), Chase Bank(Debt Financing), GE Capital(Debt Financing), JPMorgan Chase(Debt Financing), Tennenbaum Capital Partners(Debt Financing)</t>
        </is>
      </c>
      <c r="BL254" s="210" t="n">
        <v>39904.0</v>
      </c>
      <c r="BM254" s="211" t="inlineStr">
        <is>
          <t/>
        </is>
      </c>
      <c r="BN254" s="212" t="inlineStr">
        <is>
          <t/>
        </is>
      </c>
      <c r="BO254" s="213" t="inlineStr">
        <is>
          <t/>
        </is>
      </c>
      <c r="BP254" s="214" t="inlineStr">
        <is>
          <t/>
        </is>
      </c>
      <c r="BQ254" s="215" t="inlineStr">
        <is>
          <t>Debt - General</t>
        </is>
      </c>
      <c r="BR254" s="216" t="inlineStr">
        <is>
          <t/>
        </is>
      </c>
      <c r="BS254" s="217" t="inlineStr">
        <is>
          <t/>
        </is>
      </c>
      <c r="BT254" s="218" t="inlineStr">
        <is>
          <t>Debt</t>
        </is>
      </c>
      <c r="BU254" s="219" t="inlineStr">
        <is>
          <t>Revolving Credit Line</t>
        </is>
      </c>
      <c r="BV254" s="220" t="inlineStr">
        <is>
          <t/>
        </is>
      </c>
      <c r="BW254" s="221" t="inlineStr">
        <is>
          <t/>
        </is>
      </c>
      <c r="BX254" s="222" t="inlineStr">
        <is>
          <t>Completed</t>
        </is>
      </c>
      <c r="BY254" s="223" t="n">
        <v>42117.0</v>
      </c>
      <c r="BZ254" s="224" t="inlineStr">
        <is>
          <t/>
        </is>
      </c>
      <c r="CA254" s="225" t="inlineStr">
        <is>
          <t/>
        </is>
      </c>
      <c r="CB254" s="226" t="inlineStr">
        <is>
          <t/>
        </is>
      </c>
      <c r="CC254" s="227" t="inlineStr">
        <is>
          <t/>
        </is>
      </c>
      <c r="CD254" s="228" t="inlineStr">
        <is>
          <t>Buyout/LBO</t>
        </is>
      </c>
      <c r="CE254" s="229" t="inlineStr">
        <is>
          <t>Add-on</t>
        </is>
      </c>
      <c r="CF254" s="230" t="inlineStr">
        <is>
          <t>Corporate Divestiture</t>
        </is>
      </c>
      <c r="CG254" s="231" t="inlineStr">
        <is>
          <t>Private Equity</t>
        </is>
      </c>
      <c r="CH254" s="232" t="inlineStr">
        <is>
          <t/>
        </is>
      </c>
      <c r="CI254" s="233" t="inlineStr">
        <is>
          <t/>
        </is>
      </c>
      <c r="CJ254" s="234" t="inlineStr">
        <is>
          <t/>
        </is>
      </c>
      <c r="CK254" s="235" t="inlineStr">
        <is>
          <t>Completed</t>
        </is>
      </c>
      <c r="CL254" s="236" t="n">
        <v>42117.0</v>
      </c>
      <c r="CM254" s="237" t="n">
        <v>14.09</v>
      </c>
      <c r="CN254" s="238" t="n">
        <v>1.85</v>
      </c>
      <c r="CO254" s="239" t="n">
        <v>99.0</v>
      </c>
      <c r="CP254" s="240" t="n">
        <v>-0.02</v>
      </c>
      <c r="CQ254" s="241" t="n">
        <v>-1.07</v>
      </c>
      <c r="CR254" s="242" t="n">
        <v>3.77</v>
      </c>
      <c r="CS254" s="243" t="n">
        <v>100.0</v>
      </c>
      <c r="CT254" s="244" t="n">
        <v>-0.07</v>
      </c>
      <c r="CU254" s="245" t="n">
        <v>11.0</v>
      </c>
      <c r="CV254" s="246" t="n">
        <v>7.26</v>
      </c>
      <c r="CW254" s="247" t="n">
        <v>99.0</v>
      </c>
      <c r="CX254" s="248" t="n">
        <v>0.28</v>
      </c>
      <c r="CY254" s="249" t="n">
        <v>90.0</v>
      </c>
      <c r="CZ254" s="250" t="n">
        <v>-0.07</v>
      </c>
      <c r="DA254" s="251" t="n">
        <v>14.0</v>
      </c>
      <c r="DB254" s="252" t="n">
        <v>20.38</v>
      </c>
      <c r="DC254" s="253" t="n">
        <v>95.0</v>
      </c>
      <c r="DD254" s="254" t="n">
        <v>3.1</v>
      </c>
      <c r="DE254" s="255" t="n">
        <v>17.9</v>
      </c>
      <c r="DF254" s="256" t="n">
        <v>32.37</v>
      </c>
      <c r="DG254" s="257" t="n">
        <v>97.0</v>
      </c>
      <c r="DH254" s="258" t="n">
        <v>8.4</v>
      </c>
      <c r="DI254" s="259" t="n">
        <v>84.0</v>
      </c>
      <c r="DJ254" s="260" t="n">
        <v>11.27</v>
      </c>
      <c r="DK254" s="261" t="n">
        <v>87.0</v>
      </c>
      <c r="DL254" s="262" t="n">
        <v>53.47</v>
      </c>
      <c r="DM254" s="263" t="n">
        <v>98.0</v>
      </c>
      <c r="DN254" s="264" t="n">
        <v>8.4</v>
      </c>
      <c r="DO254" s="265" t="n">
        <v>85.0</v>
      </c>
      <c r="DP254" s="266" t="n">
        <v>7978.0</v>
      </c>
      <c r="DQ254" s="267" t="n">
        <v>522.0</v>
      </c>
      <c r="DR254" s="268" t="n">
        <v>7.0</v>
      </c>
      <c r="DS254" s="269" t="n">
        <v>1832.0</v>
      </c>
      <c r="DT254" s="270" t="n">
        <v>-6.0</v>
      </c>
      <c r="DU254" s="271" t="n">
        <v>-0.33</v>
      </c>
      <c r="DV254" s="272" t="n">
        <v>3017.0</v>
      </c>
      <c r="DW254" s="273" t="n">
        <v>-6.0</v>
      </c>
      <c r="DX254" s="274" t="n">
        <v>-0.2</v>
      </c>
      <c r="DY254" s="275" t="inlineStr">
        <is>
          <t>PitchBook Research</t>
        </is>
      </c>
      <c r="DZ254" s="276" t="n">
        <v>43410.0</v>
      </c>
      <c r="EA254" s="277" t="inlineStr">
        <is>
          <t/>
        </is>
      </c>
      <c r="EB254" s="278" t="inlineStr">
        <is>
          <t/>
        </is>
      </c>
      <c r="EC254" s="279" t="inlineStr">
        <is>
          <t/>
        </is>
      </c>
      <c r="ED254" s="548">
        <f>HYPERLINK("https://my.pitchbook.com?c=97841-17", "View company online")</f>
      </c>
    </row>
    <row r="255">
      <c r="A255" s="13" t="inlineStr">
        <is>
          <t>110971-09</t>
        </is>
      </c>
      <c r="B255" s="14" t="inlineStr">
        <is>
          <t>Simpson Digital</t>
        </is>
      </c>
      <c r="C255" s="15" t="inlineStr">
        <is>
          <t/>
        </is>
      </c>
      <c r="D255" s="16" t="inlineStr">
        <is>
          <t>With You, Corny Dog, Jessica Simpson brand</t>
        </is>
      </c>
      <c r="E255" s="17" t="inlineStr">
        <is>
          <t>110971-09</t>
        </is>
      </c>
      <c r="F255" s="18" t="inlineStr">
        <is>
          <t>Operator of a clothing brand. The company offers a line of fashion clothing and other items for women and juniors, such as handbags, shoes, accessories and perfumes.</t>
        </is>
      </c>
      <c r="G255" s="19" t="inlineStr">
        <is>
          <t>Consumer Products and Services (B2C)</t>
        </is>
      </c>
      <c r="H255" s="20" t="inlineStr">
        <is>
          <t>Apparel and Accessories</t>
        </is>
      </c>
      <c r="I255" s="21" t="inlineStr">
        <is>
          <t>Clothing</t>
        </is>
      </c>
      <c r="J255" s="22" t="inlineStr">
        <is>
          <t>Accessories, Clothing*, Footwear</t>
        </is>
      </c>
      <c r="K255" s="23" t="inlineStr">
        <is>
          <t/>
        </is>
      </c>
      <c r="L255" s="24" t="inlineStr">
        <is>
          <t>fashion line, fragrances, women clothing</t>
        </is>
      </c>
      <c r="M255" s="25" t="inlineStr">
        <is>
          <t>Corporate Backed or Acquired</t>
        </is>
      </c>
      <c r="N255" s="26" t="inlineStr">
        <is>
          <t/>
        </is>
      </c>
      <c r="O255" s="27" t="inlineStr">
        <is>
          <t>Profitable</t>
        </is>
      </c>
      <c r="P255" s="28" t="inlineStr">
        <is>
          <t>Acquired/Merged (Operating Subsidiary)</t>
        </is>
      </c>
      <c r="Q255" s="29" t="inlineStr">
        <is>
          <t>M&amp;A</t>
        </is>
      </c>
      <c r="R255" s="30" t="inlineStr">
        <is>
          <t>www.jessicasimpson.com</t>
        </is>
      </c>
      <c r="S255" s="31" t="inlineStr">
        <is>
          <t/>
        </is>
      </c>
      <c r="T255" s="32" t="inlineStr">
        <is>
          <t/>
        </is>
      </c>
      <c r="U255" s="33" t="inlineStr">
        <is>
          <t/>
        </is>
      </c>
      <c r="V255" s="34" t="inlineStr">
        <is>
          <t/>
        </is>
      </c>
      <c r="W255" s="35" t="n">
        <v>2005.0</v>
      </c>
      <c r="X255" s="36" t="inlineStr">
        <is>
          <t>Sequential Brands Group</t>
        </is>
      </c>
      <c r="Y255" s="37" t="inlineStr">
        <is>
          <t/>
        </is>
      </c>
      <c r="Z255" s="38" t="inlineStr">
        <is>
          <t/>
        </is>
      </c>
      <c r="AA255" s="39" t="n">
        <v>1000.0</v>
      </c>
      <c r="AB255" s="40" t="inlineStr">
        <is>
          <t/>
        </is>
      </c>
      <c r="AC255" s="41" t="inlineStr">
        <is>
          <t/>
        </is>
      </c>
      <c r="AD255" s="42" t="inlineStr">
        <is>
          <t/>
        </is>
      </c>
      <c r="AE255" s="43" t="inlineStr">
        <is>
          <t/>
        </is>
      </c>
      <c r="AF255" s="44" t="inlineStr">
        <is>
          <t>FY 2014</t>
        </is>
      </c>
      <c r="AG255" s="45" t="inlineStr">
        <is>
          <t/>
        </is>
      </c>
      <c r="AH255" s="46" t="inlineStr">
        <is>
          <t/>
        </is>
      </c>
      <c r="AI255" s="47" t="inlineStr">
        <is>
          <t/>
        </is>
      </c>
      <c r="AJ255" s="48" t="inlineStr">
        <is>
          <t>97056-91P</t>
        </is>
      </c>
      <c r="AK255" s="49" t="inlineStr">
        <is>
          <t>Jessica Simpson</t>
        </is>
      </c>
      <c r="AL255" s="50" t="inlineStr">
        <is>
          <t>Founder</t>
        </is>
      </c>
      <c r="AM255" s="51" t="inlineStr">
        <is>
          <t/>
        </is>
      </c>
      <c r="AN255" s="52" t="inlineStr">
        <is>
          <t>+1 (888) 609-8100</t>
        </is>
      </c>
      <c r="AO255" s="53" t="inlineStr">
        <is>
          <t>Santa Monica, CA</t>
        </is>
      </c>
      <c r="AP255" s="54" t="inlineStr">
        <is>
          <t>1453 3rd Street</t>
        </is>
      </c>
      <c r="AQ255" s="55" t="inlineStr">
        <is>
          <t>Suite 320</t>
        </is>
      </c>
      <c r="AR255" s="56" t="inlineStr">
        <is>
          <t>Santa Monica</t>
        </is>
      </c>
      <c r="AS255" s="57" t="inlineStr">
        <is>
          <t>California</t>
        </is>
      </c>
      <c r="AT255" s="58" t="inlineStr">
        <is>
          <t>90401</t>
        </is>
      </c>
      <c r="AU255" s="59" t="inlineStr">
        <is>
          <t>United States</t>
        </is>
      </c>
      <c r="AV255" s="60" t="inlineStr">
        <is>
          <t>+1 (888) 609-8100</t>
        </is>
      </c>
      <c r="AW255" s="61" t="inlineStr">
        <is>
          <t/>
        </is>
      </c>
      <c r="AX255" s="62" t="inlineStr">
        <is>
          <t>customerservice@jessicasimpson.com</t>
        </is>
      </c>
      <c r="AY255" s="63" t="inlineStr">
        <is>
          <t>Americas</t>
        </is>
      </c>
      <c r="AZ255" s="64" t="inlineStr">
        <is>
          <t>North America</t>
        </is>
      </c>
      <c r="BA255" s="65" t="inlineStr">
        <is>
          <t>The company was acquired by Sequential Brands Group (NASDAQ: SQBG) for $119.3 million on April 1, 2015. The company is no longer actively tracked by PitchBook.</t>
        </is>
      </c>
      <c r="BB255" s="66" t="inlineStr">
        <is>
          <t/>
        </is>
      </c>
      <c r="BC255" s="67" t="inlineStr">
        <is>
          <t/>
        </is>
      </c>
      <c r="BD255" s="68" t="inlineStr">
        <is>
          <t>Sequential Brands Group</t>
        </is>
      </c>
      <c r="BE255" s="69" t="inlineStr">
        <is>
          <t>Camuto Group</t>
        </is>
      </c>
      <c r="BF255" s="70" t="inlineStr">
        <is>
          <t/>
        </is>
      </c>
      <c r="BG255" s="71" t="inlineStr">
        <is>
          <t/>
        </is>
      </c>
      <c r="BH255" s="72" t="inlineStr">
        <is>
          <t>Camuto Group(www.camutogroup.com)</t>
        </is>
      </c>
      <c r="BI255" s="73" t="inlineStr">
        <is>
          <t/>
        </is>
      </c>
      <c r="BJ255" s="74" t="inlineStr">
        <is>
          <t>Gibson, Dunn &amp; Crutcher(Legal Advisor), Houlihan Capital(Advisor: General), Marvin Traub Associates(Consulting)</t>
        </is>
      </c>
      <c r="BK255" s="75" t="inlineStr">
        <is>
          <t>Littman Krooks(Legal Advisor)</t>
        </is>
      </c>
      <c r="BL255" s="76" t="n">
        <v>42095.0</v>
      </c>
      <c r="BM255" s="77" t="n">
        <v>119.3</v>
      </c>
      <c r="BN255" s="78" t="inlineStr">
        <is>
          <t>Actual</t>
        </is>
      </c>
      <c r="BO255" s="79" t="n">
        <v>119.3</v>
      </c>
      <c r="BP255" s="80" t="inlineStr">
        <is>
          <t>Actual</t>
        </is>
      </c>
      <c r="BQ255" s="81" t="inlineStr">
        <is>
          <t>Merger/Acquisition</t>
        </is>
      </c>
      <c r="BR255" s="82" t="inlineStr">
        <is>
          <t>Corporate Divestiture</t>
        </is>
      </c>
      <c r="BS255" s="83" t="inlineStr">
        <is>
          <t/>
        </is>
      </c>
      <c r="BT255" s="84" t="inlineStr">
        <is>
          <t>Corporate</t>
        </is>
      </c>
      <c r="BU255" s="85" t="inlineStr">
        <is>
          <t/>
        </is>
      </c>
      <c r="BV255" s="86" t="inlineStr">
        <is>
          <t/>
        </is>
      </c>
      <c r="BW255" s="87" t="inlineStr">
        <is>
          <t/>
        </is>
      </c>
      <c r="BX255" s="88" t="inlineStr">
        <is>
          <t>Completed</t>
        </is>
      </c>
      <c r="BY255" s="89" t="n">
        <v>42095.0</v>
      </c>
      <c r="BZ255" s="90" t="n">
        <v>119.3</v>
      </c>
      <c r="CA255" s="91" t="inlineStr">
        <is>
          <t>Actual</t>
        </is>
      </c>
      <c r="CB255" s="92" t="n">
        <v>119.3</v>
      </c>
      <c r="CC255" s="93" t="inlineStr">
        <is>
          <t>Actual</t>
        </is>
      </c>
      <c r="CD255" s="94" t="inlineStr">
        <is>
          <t>Merger/Acquisition</t>
        </is>
      </c>
      <c r="CE255" s="95" t="inlineStr">
        <is>
          <t>Corporate Divestiture</t>
        </is>
      </c>
      <c r="CF255" s="96" t="inlineStr">
        <is>
          <t/>
        </is>
      </c>
      <c r="CG255" s="97" t="inlineStr">
        <is>
          <t>Corporate</t>
        </is>
      </c>
      <c r="CH255" s="98" t="inlineStr">
        <is>
          <t/>
        </is>
      </c>
      <c r="CI255" s="99" t="inlineStr">
        <is>
          <t/>
        </is>
      </c>
      <c r="CJ255" s="100" t="inlineStr">
        <is>
          <t/>
        </is>
      </c>
      <c r="CK255" s="101" t="inlineStr">
        <is>
          <t>Completed</t>
        </is>
      </c>
      <c r="CL255" s="102" t="inlineStr">
        <is>
          <t/>
        </is>
      </c>
      <c r="CM255" s="103" t="inlineStr">
        <is>
          <t/>
        </is>
      </c>
      <c r="CN255" s="104" t="n">
        <v>-0.27</v>
      </c>
      <c r="CO255" s="105" t="n">
        <v>9.0</v>
      </c>
      <c r="CP255" s="106" t="n">
        <v>0.01</v>
      </c>
      <c r="CQ255" s="107" t="n">
        <v>2.83</v>
      </c>
      <c r="CR255" s="108" t="n">
        <v>-0.51</v>
      </c>
      <c r="CS255" s="109" t="n">
        <v>8.0</v>
      </c>
      <c r="CT255" s="110" t="n">
        <v>-0.04</v>
      </c>
      <c r="CU255" s="111" t="n">
        <v>17.0</v>
      </c>
      <c r="CV255" s="112" t="n">
        <v>-1.12</v>
      </c>
      <c r="CW255" s="113" t="n">
        <v>26.0</v>
      </c>
      <c r="CX255" s="114" t="n">
        <v>0.11</v>
      </c>
      <c r="CY255" s="115" t="n">
        <v>86.0</v>
      </c>
      <c r="CZ255" s="116" t="n">
        <v>-0.05</v>
      </c>
      <c r="DA255" s="117" t="n">
        <v>19.0</v>
      </c>
      <c r="DB255" s="118" t="n">
        <v>5459.23</v>
      </c>
      <c r="DC255" s="119" t="n">
        <v>100.0</v>
      </c>
      <c r="DD255" s="120" t="n">
        <v>26.16</v>
      </c>
      <c r="DE255" s="121" t="n">
        <v>0.48</v>
      </c>
      <c r="DF255" s="122" t="n">
        <v>41.71</v>
      </c>
      <c r="DG255" s="123" t="n">
        <v>98.0</v>
      </c>
      <c r="DH255" s="124" t="n">
        <v>10876.76</v>
      </c>
      <c r="DI255" s="125" t="n">
        <v>100.0</v>
      </c>
      <c r="DJ255" s="126" t="n">
        <v>2.42</v>
      </c>
      <c r="DK255" s="127" t="n">
        <v>68.0</v>
      </c>
      <c r="DL255" s="128" t="n">
        <v>81.0</v>
      </c>
      <c r="DM255" s="129" t="n">
        <v>99.0</v>
      </c>
      <c r="DN255" s="130" t="n">
        <v>18608.53</v>
      </c>
      <c r="DO255" s="131" t="n">
        <v>100.0</v>
      </c>
      <c r="DP255" s="132" t="n">
        <v>1732.0</v>
      </c>
      <c r="DQ255" s="133" t="n">
        <v>-72.0</v>
      </c>
      <c r="DR255" s="134" t="n">
        <v>-3.99</v>
      </c>
      <c r="DS255" s="135" t="n">
        <v>2749.0</v>
      </c>
      <c r="DT255" s="136" t="n">
        <v>13.0</v>
      </c>
      <c r="DU255" s="137" t="n">
        <v>0.48</v>
      </c>
      <c r="DV255" s="138" t="n">
        <v>6684835.0</v>
      </c>
      <c r="DW255" s="139" t="n">
        <v>-10097.0</v>
      </c>
      <c r="DX255" s="140" t="n">
        <v>-0.15</v>
      </c>
      <c r="DY255" s="141" t="inlineStr">
        <is>
          <t>PitchBook Research</t>
        </is>
      </c>
      <c r="DZ255" s="142" t="n">
        <v>43351.0</v>
      </c>
      <c r="EA255" s="143" t="n">
        <v>119.3</v>
      </c>
      <c r="EB255" s="144" t="n">
        <v>42095.0</v>
      </c>
      <c r="EC255" s="145" t="inlineStr">
        <is>
          <t>Merger/Acquisition</t>
        </is>
      </c>
      <c r="ED255" s="547">
        <f>HYPERLINK("https://my.pitchbook.com?c=110971-09", "View company online")</f>
      </c>
    </row>
    <row r="256">
      <c r="A256" s="147" t="inlineStr">
        <is>
          <t>111029-14</t>
        </is>
      </c>
      <c r="B256" s="148" t="inlineStr">
        <is>
          <t>Patagonia</t>
        </is>
      </c>
      <c r="C256" s="149" t="inlineStr">
        <is>
          <t/>
        </is>
      </c>
      <c r="D256" s="150" t="inlineStr">
        <is>
          <t/>
        </is>
      </c>
      <c r="E256" s="151" t="inlineStr">
        <is>
          <t>111029-14</t>
        </is>
      </c>
      <c r="F256" s="152" t="inlineStr">
        <is>
          <t>Operator of outdoors and gear stores across the US. The company's products are made of sustainable materials to avoid creating pollution, enabling customers to buy environmentally conscious products that are also durable.</t>
        </is>
      </c>
      <c r="G256" s="153" t="inlineStr">
        <is>
          <t>Consumer Products and Services (B2C)</t>
        </is>
      </c>
      <c r="H256" s="154" t="inlineStr">
        <is>
          <t>Apparel and Accessories</t>
        </is>
      </c>
      <c r="I256" s="155" t="inlineStr">
        <is>
          <t>Clothing</t>
        </is>
      </c>
      <c r="J256" s="156" t="inlineStr">
        <is>
          <t>Clothing*, Internet Retail, Other Apparel</t>
        </is>
      </c>
      <c r="K256" s="157" t="inlineStr">
        <is>
          <t>E-Commerce, TMT</t>
        </is>
      </c>
      <c r="L256" s="158" t="inlineStr">
        <is>
          <t>environmental activism, outdoor apparel, outdoor clothing, sporting goods, sports gear</t>
        </is>
      </c>
      <c r="M256" s="159" t="inlineStr">
        <is>
          <t>Corporation</t>
        </is>
      </c>
      <c r="N256" s="160" t="inlineStr">
        <is>
          <t/>
        </is>
      </c>
      <c r="O256" s="161" t="inlineStr">
        <is>
          <t>Generating Revenue</t>
        </is>
      </c>
      <c r="P256" s="162" t="inlineStr">
        <is>
          <t>Privately Held (no backing)</t>
        </is>
      </c>
      <c r="Q256" s="163" t="inlineStr">
        <is>
          <t>Other Private Companies</t>
        </is>
      </c>
      <c r="R256" s="164" t="inlineStr">
        <is>
          <t>www.patagonia.com</t>
        </is>
      </c>
      <c r="S256" s="165" t="n">
        <v>2200.0</v>
      </c>
      <c r="T256" s="166" t="inlineStr">
        <is>
          <t>2015: 1137, 2017: 2200</t>
        </is>
      </c>
      <c r="U256" s="167" t="inlineStr">
        <is>
          <t/>
        </is>
      </c>
      <c r="V256" s="168" t="inlineStr">
        <is>
          <t/>
        </is>
      </c>
      <c r="W256" s="169" t="n">
        <v>1973.0</v>
      </c>
      <c r="X256" s="170" t="inlineStr">
        <is>
          <t/>
        </is>
      </c>
      <c r="Y256" s="171" t="inlineStr">
        <is>
          <t/>
        </is>
      </c>
      <c r="Z256" s="172" t="inlineStr">
        <is>
          <t/>
        </is>
      </c>
      <c r="AA256" s="173" t="n">
        <v>1000.0</v>
      </c>
      <c r="AB256" s="174" t="inlineStr">
        <is>
          <t/>
        </is>
      </c>
      <c r="AC256" s="175" t="inlineStr">
        <is>
          <t/>
        </is>
      </c>
      <c r="AD256" s="176" t="inlineStr">
        <is>
          <t/>
        </is>
      </c>
      <c r="AE256" s="177" t="inlineStr">
        <is>
          <t/>
        </is>
      </c>
      <c r="AF256" s="178" t="inlineStr">
        <is>
          <t>FY 2017</t>
        </is>
      </c>
      <c r="AG256" s="179" t="inlineStr">
        <is>
          <t/>
        </is>
      </c>
      <c r="AH256" s="180" t="inlineStr">
        <is>
          <t/>
        </is>
      </c>
      <c r="AI256" s="181" t="inlineStr">
        <is>
          <t/>
        </is>
      </c>
      <c r="AJ256" s="182" t="inlineStr">
        <is>
          <t>97326-19P</t>
        </is>
      </c>
      <c r="AK256" s="183" t="inlineStr">
        <is>
          <t>Rose Marcario</t>
        </is>
      </c>
      <c r="AL256" s="184" t="inlineStr">
        <is>
          <t>Chief Executive Officer, President and Board Member</t>
        </is>
      </c>
      <c r="AM256" s="185" t="inlineStr">
        <is>
          <t>rose.marcario@patagonia.com</t>
        </is>
      </c>
      <c r="AN256" s="186" t="inlineStr">
        <is>
          <t>+1 (805) 643-8616</t>
        </is>
      </c>
      <c r="AO256" s="187" t="inlineStr">
        <is>
          <t>Ventura, CA</t>
        </is>
      </c>
      <c r="AP256" s="188" t="inlineStr">
        <is>
          <t>259 West Santa Clara Street</t>
        </is>
      </c>
      <c r="AQ256" s="189" t="inlineStr">
        <is>
          <t/>
        </is>
      </c>
      <c r="AR256" s="190" t="inlineStr">
        <is>
          <t>Ventura</t>
        </is>
      </c>
      <c r="AS256" s="191" t="inlineStr">
        <is>
          <t>California</t>
        </is>
      </c>
      <c r="AT256" s="192" t="inlineStr">
        <is>
          <t>93001</t>
        </is>
      </c>
      <c r="AU256" s="193" t="inlineStr">
        <is>
          <t>United States</t>
        </is>
      </c>
      <c r="AV256" s="194" t="inlineStr">
        <is>
          <t>+1 (805) 643-8616</t>
        </is>
      </c>
      <c r="AW256" s="195" t="inlineStr">
        <is>
          <t>+1 (805) 648-8020</t>
        </is>
      </c>
      <c r="AX256" s="196" t="inlineStr">
        <is>
          <t>info@patagoniaworks.com</t>
        </is>
      </c>
      <c r="AY256" s="197" t="inlineStr">
        <is>
          <t>Americas</t>
        </is>
      </c>
      <c r="AZ256" s="198" t="inlineStr">
        <is>
          <t>North America</t>
        </is>
      </c>
      <c r="BA256" s="199" t="inlineStr">
        <is>
          <t/>
        </is>
      </c>
      <c r="BB256" s="200" t="inlineStr">
        <is>
          <t/>
        </is>
      </c>
      <c r="BC256" s="201" t="inlineStr">
        <is>
          <t/>
        </is>
      </c>
      <c r="BD256" s="202" t="inlineStr">
        <is>
          <t/>
        </is>
      </c>
      <c r="BE256" s="203" t="inlineStr">
        <is>
          <t/>
        </is>
      </c>
      <c r="BF256" s="204" t="inlineStr">
        <is>
          <t/>
        </is>
      </c>
      <c r="BG256" s="205" t="inlineStr">
        <is>
          <t/>
        </is>
      </c>
      <c r="BH256" s="206" t="inlineStr">
        <is>
          <t/>
        </is>
      </c>
      <c r="BI256" s="207" t="inlineStr">
        <is>
          <t/>
        </is>
      </c>
      <c r="BJ256" s="208" t="inlineStr">
        <is>
          <t>Axiom Consulting Partners(Consulting)</t>
        </is>
      </c>
      <c r="BK256" s="209" t="inlineStr">
        <is>
          <t/>
        </is>
      </c>
      <c r="BL256" s="210" t="inlineStr">
        <is>
          <t/>
        </is>
      </c>
      <c r="BM256" s="211" t="inlineStr">
        <is>
          <t/>
        </is>
      </c>
      <c r="BN256" s="212" t="inlineStr">
        <is>
          <t/>
        </is>
      </c>
      <c r="BO256" s="213" t="inlineStr">
        <is>
          <t/>
        </is>
      </c>
      <c r="BP256" s="214" t="inlineStr">
        <is>
          <t/>
        </is>
      </c>
      <c r="BQ256" s="215" t="inlineStr">
        <is>
          <t/>
        </is>
      </c>
      <c r="BR256" s="216" t="inlineStr">
        <is>
          <t/>
        </is>
      </c>
      <c r="BS256" s="217" t="inlineStr">
        <is>
          <t/>
        </is>
      </c>
      <c r="BT256" s="218" t="inlineStr">
        <is>
          <t/>
        </is>
      </c>
      <c r="BU256" s="219" t="inlineStr">
        <is>
          <t/>
        </is>
      </c>
      <c r="BV256" s="220" t="inlineStr">
        <is>
          <t/>
        </is>
      </c>
      <c r="BW256" s="221" t="inlineStr">
        <is>
          <t/>
        </is>
      </c>
      <c r="BX256" s="222" t="inlineStr">
        <is>
          <t/>
        </is>
      </c>
      <c r="BY256" s="223" t="inlineStr">
        <is>
          <t/>
        </is>
      </c>
      <c r="BZ256" s="224" t="inlineStr">
        <is>
          <t/>
        </is>
      </c>
      <c r="CA256" s="225" t="inlineStr">
        <is>
          <t/>
        </is>
      </c>
      <c r="CB256" s="226" t="inlineStr">
        <is>
          <t/>
        </is>
      </c>
      <c r="CC256" s="227" t="inlineStr">
        <is>
          <t/>
        </is>
      </c>
      <c r="CD256" s="228" t="inlineStr">
        <is>
          <t/>
        </is>
      </c>
      <c r="CE256" s="229" t="inlineStr">
        <is>
          <t/>
        </is>
      </c>
      <c r="CF256" s="230" t="inlineStr">
        <is>
          <t/>
        </is>
      </c>
      <c r="CG256" s="231" t="inlineStr">
        <is>
          <t/>
        </is>
      </c>
      <c r="CH256" s="232" t="inlineStr">
        <is>
          <t/>
        </is>
      </c>
      <c r="CI256" s="233" t="inlineStr">
        <is>
          <t/>
        </is>
      </c>
      <c r="CJ256" s="234" t="inlineStr">
        <is>
          <t/>
        </is>
      </c>
      <c r="CK256" s="235" t="inlineStr">
        <is>
          <t/>
        </is>
      </c>
      <c r="CL256" s="236" t="inlineStr">
        <is>
          <t/>
        </is>
      </c>
      <c r="CM256" s="237" t="inlineStr">
        <is>
          <t/>
        </is>
      </c>
      <c r="CN256" s="238" t="n">
        <v>1.49</v>
      </c>
      <c r="CO256" s="239" t="n">
        <v>99.0</v>
      </c>
      <c r="CP256" s="240" t="n">
        <v>0.01</v>
      </c>
      <c r="CQ256" s="241" t="n">
        <v>0.52</v>
      </c>
      <c r="CR256" s="242" t="n">
        <v>1.04</v>
      </c>
      <c r="CS256" s="243" t="n">
        <v>97.0</v>
      </c>
      <c r="CT256" s="244" t="n">
        <v>1.94</v>
      </c>
      <c r="CU256" s="245" t="n">
        <v>100.0</v>
      </c>
      <c r="CV256" s="246" t="n">
        <v>1.92</v>
      </c>
      <c r="CW256" s="247" t="n">
        <v>90.0</v>
      </c>
      <c r="CX256" s="248" t="n">
        <v>0.16</v>
      </c>
      <c r="CY256" s="249" t="n">
        <v>88.0</v>
      </c>
      <c r="CZ256" s="250" t="n">
        <v>0.15</v>
      </c>
      <c r="DA256" s="251" t="n">
        <v>82.0</v>
      </c>
      <c r="DB256" s="252" t="n">
        <v>1479.87</v>
      </c>
      <c r="DC256" s="253" t="n">
        <v>100.0</v>
      </c>
      <c r="DD256" s="254" t="n">
        <v>54.51</v>
      </c>
      <c r="DE256" s="255" t="n">
        <v>3.82</v>
      </c>
      <c r="DF256" s="256" t="n">
        <v>1539.76</v>
      </c>
      <c r="DG256" s="257" t="n">
        <v>100.0</v>
      </c>
      <c r="DH256" s="258" t="n">
        <v>1419.99</v>
      </c>
      <c r="DI256" s="259" t="n">
        <v>100.0</v>
      </c>
      <c r="DJ256" s="260" t="n">
        <v>2248.28</v>
      </c>
      <c r="DK256" s="261" t="n">
        <v>100.0</v>
      </c>
      <c r="DL256" s="262" t="n">
        <v>831.24</v>
      </c>
      <c r="DM256" s="263" t="n">
        <v>100.0</v>
      </c>
      <c r="DN256" s="264" t="n">
        <v>1194.77</v>
      </c>
      <c r="DO256" s="265" t="n">
        <v>100.0</v>
      </c>
      <c r="DP256" s="266" t="n">
        <v>1612206.0</v>
      </c>
      <c r="DQ256" s="267" t="n">
        <v>-82629.0</v>
      </c>
      <c r="DR256" s="268" t="n">
        <v>-4.88</v>
      </c>
      <c r="DS256" s="269" t="n">
        <v>28182.0</v>
      </c>
      <c r="DT256" s="270" t="n">
        <v>181.0</v>
      </c>
      <c r="DU256" s="271" t="n">
        <v>0.65</v>
      </c>
      <c r="DV256" s="272" t="n">
        <v>428877.0</v>
      </c>
      <c r="DW256" s="273" t="n">
        <v>192.0</v>
      </c>
      <c r="DX256" s="274" t="n">
        <v>0.04</v>
      </c>
      <c r="DY256" s="275" t="inlineStr">
        <is>
          <t>PitchBook Research</t>
        </is>
      </c>
      <c r="DZ256" s="276" t="n">
        <v>43444.0</v>
      </c>
      <c r="EA256" s="277" t="inlineStr">
        <is>
          <t/>
        </is>
      </c>
      <c r="EB256" s="278" t="inlineStr">
        <is>
          <t/>
        </is>
      </c>
      <c r="EC256" s="279" t="inlineStr">
        <is>
          <t/>
        </is>
      </c>
      <c r="ED256" s="548">
        <f>HYPERLINK("https://my.pitchbook.com?c=111029-14", "View company online")</f>
      </c>
    </row>
    <row r="257">
      <c r="A257" s="13" t="inlineStr">
        <is>
          <t>115207-57</t>
        </is>
      </c>
      <c r="B257" s="14" t="inlineStr">
        <is>
          <t>Torrid</t>
        </is>
      </c>
      <c r="C257" s="15" t="inlineStr">
        <is>
          <t/>
        </is>
      </c>
      <c r="D257" s="16" t="inlineStr">
        <is>
          <t>Torrid Fashion</t>
        </is>
      </c>
      <c r="E257" s="17" t="inlineStr">
        <is>
          <t>115207-57</t>
        </is>
      </c>
      <c r="F257" s="18" t="inlineStr">
        <is>
          <t>Operator of a leading mall and web-based specialty fashion retailing company. The company's product line offers on-trend fashion apparel, lingerie, and accessories for the young, voluptuous woman who wears size 12 and up and operates over 400 stores in across 36 states in the United States.</t>
        </is>
      </c>
      <c r="G257" s="19" t="inlineStr">
        <is>
          <t>Consumer Products and Services (B2C)</t>
        </is>
      </c>
      <c r="H257" s="20" t="inlineStr">
        <is>
          <t>Apparel and Accessories</t>
        </is>
      </c>
      <c r="I257" s="21" t="inlineStr">
        <is>
          <t>Accessories</t>
        </is>
      </c>
      <c r="J257" s="22" t="inlineStr">
        <is>
          <t>Accessories*, Clothing, Specialty Retail</t>
        </is>
      </c>
      <c r="K257" s="23" t="inlineStr">
        <is>
          <t/>
        </is>
      </c>
      <c r="L257" s="24" t="inlineStr">
        <is>
          <t>fashion apparel, fashion apparel retailer, lingerie, specialty fashion, specialty retailer</t>
        </is>
      </c>
      <c r="M257" s="25" t="inlineStr">
        <is>
          <t>Private Equity-Backed</t>
        </is>
      </c>
      <c r="N257" s="26" t="inlineStr">
        <is>
          <t/>
        </is>
      </c>
      <c r="O257" s="27" t="inlineStr">
        <is>
          <t>Profitable</t>
        </is>
      </c>
      <c r="P257" s="28" t="inlineStr">
        <is>
          <t>In IPO Registration</t>
        </is>
      </c>
      <c r="Q257" s="29" t="inlineStr">
        <is>
          <t>Private Equity</t>
        </is>
      </c>
      <c r="R257" s="30" t="inlineStr">
        <is>
          <t>www.torrid.com</t>
        </is>
      </c>
      <c r="S257" s="31" t="n">
        <v>6531.0</v>
      </c>
      <c r="T257" s="32" t="inlineStr">
        <is>
          <t>2015: 5001, 2017: 6531</t>
        </is>
      </c>
      <c r="U257" s="33" t="inlineStr">
        <is>
          <t/>
        </is>
      </c>
      <c r="V257" s="34" t="inlineStr">
        <is>
          <t/>
        </is>
      </c>
      <c r="W257" s="35" t="n">
        <v>2001.0</v>
      </c>
      <c r="X257" s="36" t="inlineStr">
        <is>
          <t/>
        </is>
      </c>
      <c r="Y257" s="37" t="inlineStr">
        <is>
          <t/>
        </is>
      </c>
      <c r="Z257" s="38" t="inlineStr">
        <is>
          <t/>
        </is>
      </c>
      <c r="AA257" s="39" t="n">
        <v>1000.0</v>
      </c>
      <c r="AB257" s="40" t="inlineStr">
        <is>
          <t/>
        </is>
      </c>
      <c r="AC257" s="41" t="inlineStr">
        <is>
          <t/>
        </is>
      </c>
      <c r="AD257" s="42" t="inlineStr">
        <is>
          <t/>
        </is>
      </c>
      <c r="AE257" s="43" t="inlineStr">
        <is>
          <t/>
        </is>
      </c>
      <c r="AF257" s="44" t="inlineStr">
        <is>
          <t>FY 2018</t>
        </is>
      </c>
      <c r="AG257" s="45" t="inlineStr">
        <is>
          <t/>
        </is>
      </c>
      <c r="AH257" s="46" t="inlineStr">
        <is>
          <t/>
        </is>
      </c>
      <c r="AI257" s="47" t="inlineStr">
        <is>
          <t/>
        </is>
      </c>
      <c r="AJ257" s="48" t="inlineStr">
        <is>
          <t>111492-19P</t>
        </is>
      </c>
      <c r="AK257" s="49" t="inlineStr">
        <is>
          <t>Lisa Harper</t>
        </is>
      </c>
      <c r="AL257" s="50" t="inlineStr">
        <is>
          <t>Chief Executive Officer</t>
        </is>
      </c>
      <c r="AM257" s="51" t="inlineStr">
        <is>
          <t>lmharper@torrid.com</t>
        </is>
      </c>
      <c r="AN257" s="52" t="inlineStr">
        <is>
          <t>+1 (866) 867-7431</t>
        </is>
      </c>
      <c r="AO257" s="53" t="inlineStr">
        <is>
          <t>Industry, CA</t>
        </is>
      </c>
      <c r="AP257" s="54" t="inlineStr">
        <is>
          <t>18501 East San Jose Avenue</t>
        </is>
      </c>
      <c r="AQ257" s="55" t="inlineStr">
        <is>
          <t/>
        </is>
      </c>
      <c r="AR257" s="56" t="inlineStr">
        <is>
          <t>Industry</t>
        </is>
      </c>
      <c r="AS257" s="57" t="inlineStr">
        <is>
          <t>California</t>
        </is>
      </c>
      <c r="AT257" s="58" t="inlineStr">
        <is>
          <t>91748</t>
        </is>
      </c>
      <c r="AU257" s="59" t="inlineStr">
        <is>
          <t>United States</t>
        </is>
      </c>
      <c r="AV257" s="60" t="inlineStr">
        <is>
          <t>+1 (866) 867-7431</t>
        </is>
      </c>
      <c r="AW257" s="61" t="inlineStr">
        <is>
          <t>+1 (626) 709-1194</t>
        </is>
      </c>
      <c r="AX257" s="62" t="inlineStr">
        <is>
          <t>info@torrid.com</t>
        </is>
      </c>
      <c r="AY257" s="63" t="inlineStr">
        <is>
          <t>Americas</t>
        </is>
      </c>
      <c r="AZ257" s="64" t="inlineStr">
        <is>
          <t>North America</t>
        </is>
      </c>
      <c r="BA257" s="65" t="inlineStr">
        <is>
          <t>The company filed to go public on the NYSE stock exchange under the ticker symbol of CURV on July 10, 2017. The expected offering amount is $100 million. Previously, the company completed a leveraged recapitalization on an undisclosed date. The company subsequently provided a dividend to its shareholders. The company is being actively tracked by PitchBook.</t>
        </is>
      </c>
      <c r="BB257" s="66" t="inlineStr">
        <is>
          <t>Sycamore Partners Management</t>
        </is>
      </c>
      <c r="BC257" s="67" t="n">
        <v>1.0</v>
      </c>
      <c r="BD257" s="68" t="inlineStr">
        <is>
          <t/>
        </is>
      </c>
      <c r="BE257" s="69" t="inlineStr">
        <is>
          <t>Hot Topic</t>
        </is>
      </c>
      <c r="BF257" s="70" t="inlineStr">
        <is>
          <t/>
        </is>
      </c>
      <c r="BG257" s="71" t="inlineStr">
        <is>
          <t>Sycamore Partners Management(www.sycamorepartners.com)</t>
        </is>
      </c>
      <c r="BH257" s="72" t="inlineStr">
        <is>
          <t>Hot Topic(www.hottopic.com)</t>
        </is>
      </c>
      <c r="BI257" s="73" t="inlineStr">
        <is>
          <t/>
        </is>
      </c>
      <c r="BJ257" s="74" t="inlineStr">
        <is>
          <t>Opus Law Group(Legal Advisor), Robert W. Baird &amp; Co.(Advisor: General)</t>
        </is>
      </c>
      <c r="BK257" s="75" t="inlineStr">
        <is>
          <t>Bank of America Merrill Lynch(Underwriter), Duff &amp; Phelps(Advisor: General), EY(Accounting), J.P. Morgan(Underwriter), Jefferies Group(Underwriter), Kirkland &amp; Ellis(Legal Advisor), Morgan Stanley(Underwriter), PwC(Accounting), Renaissance Financial Holdings(Advisor: General), Robert W. Baird &amp; Co.(Advisor: General), Telsey Advisory Group(Underwriter), The Goldman Sachs Group(Underwriter), William Blair &amp; Company(Underwriter)</t>
        </is>
      </c>
      <c r="BL257" s="76" t="n">
        <v>42121.0</v>
      </c>
      <c r="BM257" s="77" t="inlineStr">
        <is>
          <t/>
        </is>
      </c>
      <c r="BN257" s="78" t="inlineStr">
        <is>
          <t/>
        </is>
      </c>
      <c r="BO257" s="79" t="inlineStr">
        <is>
          <t/>
        </is>
      </c>
      <c r="BP257" s="80" t="inlineStr">
        <is>
          <t/>
        </is>
      </c>
      <c r="BQ257" s="81" t="inlineStr">
        <is>
          <t>Buyout/LBO</t>
        </is>
      </c>
      <c r="BR257" s="82" t="inlineStr">
        <is>
          <t>Corporate Divestiture</t>
        </is>
      </c>
      <c r="BS257" s="83" t="inlineStr">
        <is>
          <t/>
        </is>
      </c>
      <c r="BT257" s="84" t="inlineStr">
        <is>
          <t>Private Equity</t>
        </is>
      </c>
      <c r="BU257" s="85" t="inlineStr">
        <is>
          <t/>
        </is>
      </c>
      <c r="BV257" s="86" t="inlineStr">
        <is>
          <t/>
        </is>
      </c>
      <c r="BW257" s="87" t="inlineStr">
        <is>
          <t/>
        </is>
      </c>
      <c r="BX257" s="88" t="inlineStr">
        <is>
          <t>Completed</t>
        </is>
      </c>
      <c r="BY257" s="89" t="n">
        <v>42926.0</v>
      </c>
      <c r="BZ257" s="90" t="n">
        <v>100.0</v>
      </c>
      <c r="CA257" s="91" t="inlineStr">
        <is>
          <t>Estimated</t>
        </is>
      </c>
      <c r="CB257" s="92" t="inlineStr">
        <is>
          <t/>
        </is>
      </c>
      <c r="CC257" s="93" t="inlineStr">
        <is>
          <t/>
        </is>
      </c>
      <c r="CD257" s="94" t="inlineStr">
        <is>
          <t>IPO</t>
        </is>
      </c>
      <c r="CE257" s="95" t="inlineStr">
        <is>
          <t/>
        </is>
      </c>
      <c r="CF257" s="96" t="inlineStr">
        <is>
          <t/>
        </is>
      </c>
      <c r="CG257" s="97" t="inlineStr">
        <is>
          <t>Public Investment</t>
        </is>
      </c>
      <c r="CH257" s="98" t="inlineStr">
        <is>
          <t/>
        </is>
      </c>
      <c r="CI257" s="99" t="inlineStr">
        <is>
          <t/>
        </is>
      </c>
      <c r="CJ257" s="100" t="inlineStr">
        <is>
          <t/>
        </is>
      </c>
      <c r="CK257" s="101" t="inlineStr">
        <is>
          <t>Announced/In Progress</t>
        </is>
      </c>
      <c r="CL257" s="102" t="inlineStr">
        <is>
          <t/>
        </is>
      </c>
      <c r="CM257" s="103" t="inlineStr">
        <is>
          <t/>
        </is>
      </c>
      <c r="CN257" s="104" t="n">
        <v>-0.18</v>
      </c>
      <c r="CO257" s="105" t="n">
        <v>10.0</v>
      </c>
      <c r="CP257" s="106" t="n">
        <v>0.0</v>
      </c>
      <c r="CQ257" s="107" t="n">
        <v>2.63</v>
      </c>
      <c r="CR257" s="108" t="n">
        <v>-0.4</v>
      </c>
      <c r="CS257" s="109" t="n">
        <v>9.0</v>
      </c>
      <c r="CT257" s="110" t="n">
        <v>0.04</v>
      </c>
      <c r="CU257" s="111" t="n">
        <v>62.0</v>
      </c>
      <c r="CV257" s="112" t="n">
        <v>-1.11</v>
      </c>
      <c r="CW257" s="113" t="n">
        <v>26.0</v>
      </c>
      <c r="CX257" s="114" t="n">
        <v>0.32</v>
      </c>
      <c r="CY257" s="115" t="n">
        <v>91.0</v>
      </c>
      <c r="CZ257" s="116" t="n">
        <v>0.04</v>
      </c>
      <c r="DA257" s="117" t="n">
        <v>67.0</v>
      </c>
      <c r="DB257" s="118" t="n">
        <v>295.35</v>
      </c>
      <c r="DC257" s="119" t="n">
        <v>100.0</v>
      </c>
      <c r="DD257" s="120" t="n">
        <v>10.28</v>
      </c>
      <c r="DE257" s="121" t="n">
        <v>3.61</v>
      </c>
      <c r="DF257" s="122" t="n">
        <v>405.32</v>
      </c>
      <c r="DG257" s="123" t="n">
        <v>100.0</v>
      </c>
      <c r="DH257" s="124" t="n">
        <v>185.38</v>
      </c>
      <c r="DI257" s="125" t="n">
        <v>99.0</v>
      </c>
      <c r="DJ257" s="126" t="n">
        <v>654.76</v>
      </c>
      <c r="DK257" s="127" t="n">
        <v>100.0</v>
      </c>
      <c r="DL257" s="128" t="n">
        <v>155.88</v>
      </c>
      <c r="DM257" s="129" t="n">
        <v>100.0</v>
      </c>
      <c r="DN257" s="130" t="n">
        <v>185.38</v>
      </c>
      <c r="DO257" s="131" t="n">
        <v>99.0</v>
      </c>
      <c r="DP257" s="132" t="n">
        <v>468382.0</v>
      </c>
      <c r="DQ257" s="133" t="n">
        <v>-13816.0</v>
      </c>
      <c r="DR257" s="134" t="n">
        <v>-2.87</v>
      </c>
      <c r="DS257" s="135" t="n">
        <v>5281.0</v>
      </c>
      <c r="DT257" s="136" t="n">
        <v>35.0</v>
      </c>
      <c r="DU257" s="137" t="n">
        <v>0.67</v>
      </c>
      <c r="DV257" s="138" t="n">
        <v>66552.0</v>
      </c>
      <c r="DW257" s="139" t="n">
        <v>-34.0</v>
      </c>
      <c r="DX257" s="140" t="n">
        <v>-0.05</v>
      </c>
      <c r="DY257" s="141" t="inlineStr">
        <is>
          <t>PitchBook Research</t>
        </is>
      </c>
      <c r="DZ257" s="142" t="n">
        <v>43521.0</v>
      </c>
      <c r="EA257" s="143" t="inlineStr">
        <is>
          <t/>
        </is>
      </c>
      <c r="EB257" s="144" t="inlineStr">
        <is>
          <t/>
        </is>
      </c>
      <c r="EC257" s="145" t="inlineStr">
        <is>
          <t/>
        </is>
      </c>
      <c r="ED257" s="547">
        <f>HYPERLINK("https://my.pitchbook.com?c=115207-57", "View company online")</f>
      </c>
    </row>
    <row r="258">
      <c r="A258" s="147" t="inlineStr">
        <is>
          <t>159018-40</t>
        </is>
      </c>
      <c r="B258" s="148" t="inlineStr">
        <is>
          <t>Blue Bell</t>
        </is>
      </c>
      <c r="C258" s="149" t="inlineStr">
        <is>
          <t/>
        </is>
      </c>
      <c r="D258" s="150" t="inlineStr">
        <is>
          <t/>
        </is>
      </c>
      <c r="E258" s="151" t="inlineStr">
        <is>
          <t>159018-40</t>
        </is>
      </c>
      <c r="F258" s="152" t="inlineStr">
        <is>
          <t>Operator of a holding company. The company's services include manufacturing of jeans and casual wears, enabling the individuals and cloth traders to access a wide range of products for their operation.</t>
        </is>
      </c>
      <c r="G258" s="153" t="inlineStr">
        <is>
          <t>Financial Services</t>
        </is>
      </c>
      <c r="H258" s="154" t="inlineStr">
        <is>
          <t>Other Financial Services</t>
        </is>
      </c>
      <c r="I258" s="155" t="inlineStr">
        <is>
          <t>Holding Companies</t>
        </is>
      </c>
      <c r="J258" s="156" t="inlineStr">
        <is>
          <t>Clothing, Holding Companies*, Other Apparel</t>
        </is>
      </c>
      <c r="K258" s="157" t="inlineStr">
        <is>
          <t>Manufacturing</t>
        </is>
      </c>
      <c r="L258" s="158" t="inlineStr">
        <is>
          <t>holding company, holding company operator</t>
        </is>
      </c>
      <c r="M258" s="159" t="inlineStr">
        <is>
          <t>Corporate Backed or Acquired</t>
        </is>
      </c>
      <c r="N258" s="160" t="inlineStr">
        <is>
          <t/>
        </is>
      </c>
      <c r="O258" s="161" t="inlineStr">
        <is>
          <t>Profitable</t>
        </is>
      </c>
      <c r="P258" s="162" t="inlineStr">
        <is>
          <t>Acquired/Merged</t>
        </is>
      </c>
      <c r="Q258" s="163" t="inlineStr">
        <is>
          <t>M&amp;A</t>
        </is>
      </c>
      <c r="R258" s="164" t="inlineStr">
        <is>
          <t/>
        </is>
      </c>
      <c r="S258" s="165" t="inlineStr">
        <is>
          <t/>
        </is>
      </c>
      <c r="T258" s="166" t="inlineStr">
        <is>
          <t/>
        </is>
      </c>
      <c r="U258" s="167" t="inlineStr">
        <is>
          <t/>
        </is>
      </c>
      <c r="V258" s="168" t="inlineStr">
        <is>
          <t/>
        </is>
      </c>
      <c r="W258" s="169" t="inlineStr">
        <is>
          <t/>
        </is>
      </c>
      <c r="X258" s="170" t="inlineStr">
        <is>
          <t/>
        </is>
      </c>
      <c r="Y258" s="171" t="inlineStr">
        <is>
          <t/>
        </is>
      </c>
      <c r="Z258" s="172" t="inlineStr">
        <is>
          <t/>
        </is>
      </c>
      <c r="AA258" s="173" t="n">
        <v>1000.0</v>
      </c>
      <c r="AB258" s="174" t="inlineStr">
        <is>
          <t/>
        </is>
      </c>
      <c r="AC258" s="175" t="inlineStr">
        <is>
          <t/>
        </is>
      </c>
      <c r="AD258" s="176" t="inlineStr">
        <is>
          <t/>
        </is>
      </c>
      <c r="AE258" s="177" t="inlineStr">
        <is>
          <t/>
        </is>
      </c>
      <c r="AF258" s="178" t="inlineStr">
        <is>
          <t>FY 1986</t>
        </is>
      </c>
      <c r="AG258" s="179" t="inlineStr">
        <is>
          <t/>
        </is>
      </c>
      <c r="AH258" s="180" t="inlineStr">
        <is>
          <t/>
        </is>
      </c>
      <c r="AI258" s="181" t="inlineStr">
        <is>
          <t/>
        </is>
      </c>
      <c r="AJ258" s="182" t="inlineStr">
        <is>
          <t>174742-75P</t>
        </is>
      </c>
      <c r="AK258" s="183" t="inlineStr">
        <is>
          <t>Edward Bauman</t>
        </is>
      </c>
      <c r="AL258" s="184" t="inlineStr">
        <is>
          <t>Chairman &amp; Chief Executive Officer</t>
        </is>
      </c>
      <c r="AM258" s="185" t="inlineStr">
        <is>
          <t/>
        </is>
      </c>
      <c r="AN258" s="186" t="inlineStr">
        <is>
          <t/>
        </is>
      </c>
      <c r="AO258" s="187" t="inlineStr">
        <is>
          <t>Greensboro, NC</t>
        </is>
      </c>
      <c r="AP258" s="188" t="inlineStr">
        <is>
          <t>One Southern Center</t>
        </is>
      </c>
      <c r="AQ258" s="189" t="inlineStr">
        <is>
          <t>301 North ELM Street</t>
        </is>
      </c>
      <c r="AR258" s="190" t="inlineStr">
        <is>
          <t>Greensboro</t>
        </is>
      </c>
      <c r="AS258" s="191" t="inlineStr">
        <is>
          <t>North Carolina</t>
        </is>
      </c>
      <c r="AT258" s="192" t="inlineStr">
        <is>
          <t>27401</t>
        </is>
      </c>
      <c r="AU258" s="193" t="inlineStr">
        <is>
          <t>United States</t>
        </is>
      </c>
      <c r="AV258" s="194" t="inlineStr">
        <is>
          <t/>
        </is>
      </c>
      <c r="AW258" s="195" t="inlineStr">
        <is>
          <t/>
        </is>
      </c>
      <c r="AX258" s="196" t="inlineStr">
        <is>
          <t/>
        </is>
      </c>
      <c r="AY258" s="197" t="inlineStr">
        <is>
          <t>Americas</t>
        </is>
      </c>
      <c r="AZ258" s="198" t="inlineStr">
        <is>
          <t>North America</t>
        </is>
      </c>
      <c r="BA258" s="199" t="inlineStr">
        <is>
          <t>The company was acquired by VF Corporation (NYS: VFC) for $762 million on July 28, 1986. The acquisition enables VF Corporation to double its size and makes it the largest publicly held clothing company. The company is no longer actively tracked by PitchBook.</t>
        </is>
      </c>
      <c r="BB258" s="200" t="inlineStr">
        <is>
          <t/>
        </is>
      </c>
      <c r="BC258" s="201" t="inlineStr">
        <is>
          <t/>
        </is>
      </c>
      <c r="BD258" s="202" t="inlineStr">
        <is>
          <t>VF Corporation</t>
        </is>
      </c>
      <c r="BE258" s="203" t="inlineStr">
        <is>
          <t/>
        </is>
      </c>
      <c r="BF258" s="204" t="inlineStr">
        <is>
          <t/>
        </is>
      </c>
      <c r="BG258" s="205" t="inlineStr">
        <is>
          <t/>
        </is>
      </c>
      <c r="BH258" s="206" t="inlineStr">
        <is>
          <t/>
        </is>
      </c>
      <c r="BI258" s="207" t="inlineStr">
        <is>
          <t/>
        </is>
      </c>
      <c r="BJ258" s="208" t="inlineStr">
        <is>
          <t/>
        </is>
      </c>
      <c r="BK258" s="209" t="inlineStr">
        <is>
          <t/>
        </is>
      </c>
      <c r="BL258" s="210" t="n">
        <v>31621.0</v>
      </c>
      <c r="BM258" s="211" t="n">
        <v>762.0</v>
      </c>
      <c r="BN258" s="212" t="inlineStr">
        <is>
          <t>Actual</t>
        </is>
      </c>
      <c r="BO258" s="213" t="n">
        <v>762.0</v>
      </c>
      <c r="BP258" s="214" t="inlineStr">
        <is>
          <t>Actual</t>
        </is>
      </c>
      <c r="BQ258" s="215" t="inlineStr">
        <is>
          <t>Merger/Acquisition</t>
        </is>
      </c>
      <c r="BR258" s="216" t="inlineStr">
        <is>
          <t/>
        </is>
      </c>
      <c r="BS258" s="217" t="inlineStr">
        <is>
          <t/>
        </is>
      </c>
      <c r="BT258" s="218" t="inlineStr">
        <is>
          <t>Corporate</t>
        </is>
      </c>
      <c r="BU258" s="219" t="inlineStr">
        <is>
          <t/>
        </is>
      </c>
      <c r="BV258" s="220" t="inlineStr">
        <is>
          <t/>
        </is>
      </c>
      <c r="BW258" s="221" t="inlineStr">
        <is>
          <t/>
        </is>
      </c>
      <c r="BX258" s="222" t="inlineStr">
        <is>
          <t>Completed</t>
        </is>
      </c>
      <c r="BY258" s="223" t="n">
        <v>31621.0</v>
      </c>
      <c r="BZ258" s="224" t="n">
        <v>762.0</v>
      </c>
      <c r="CA258" s="225" t="inlineStr">
        <is>
          <t>Actual</t>
        </is>
      </c>
      <c r="CB258" s="226" t="n">
        <v>762.0</v>
      </c>
      <c r="CC258" s="227" t="inlineStr">
        <is>
          <t>Actual</t>
        </is>
      </c>
      <c r="CD258" s="228" t="inlineStr">
        <is>
          <t>Merger/Acquisition</t>
        </is>
      </c>
      <c r="CE258" s="229" t="inlineStr">
        <is>
          <t/>
        </is>
      </c>
      <c r="CF258" s="230" t="inlineStr">
        <is>
          <t/>
        </is>
      </c>
      <c r="CG258" s="231" t="inlineStr">
        <is>
          <t>Corporate</t>
        </is>
      </c>
      <c r="CH258" s="232" t="inlineStr">
        <is>
          <t/>
        </is>
      </c>
      <c r="CI258" s="233" t="inlineStr">
        <is>
          <t/>
        </is>
      </c>
      <c r="CJ258" s="234" t="inlineStr">
        <is>
          <t/>
        </is>
      </c>
      <c r="CK258" s="235" t="inlineStr">
        <is>
          <t>Completed</t>
        </is>
      </c>
      <c r="CL258" s="236" t="inlineStr">
        <is>
          <t/>
        </is>
      </c>
      <c r="CM258" s="237" t="inlineStr">
        <is>
          <t/>
        </is>
      </c>
      <c r="CN258" s="238" t="inlineStr">
        <is>
          <t/>
        </is>
      </c>
      <c r="CO258" s="239" t="inlineStr">
        <is>
          <t/>
        </is>
      </c>
      <c r="CP258" s="240" t="inlineStr">
        <is>
          <t/>
        </is>
      </c>
      <c r="CQ258" s="241" t="inlineStr">
        <is>
          <t/>
        </is>
      </c>
      <c r="CR258" s="242" t="inlineStr">
        <is>
          <t/>
        </is>
      </c>
      <c r="CS258" s="243" t="inlineStr">
        <is>
          <t/>
        </is>
      </c>
      <c r="CT258" s="244" t="inlineStr">
        <is>
          <t/>
        </is>
      </c>
      <c r="CU258" s="245" t="inlineStr">
        <is>
          <t/>
        </is>
      </c>
      <c r="CV258" s="246" t="inlineStr">
        <is>
          <t/>
        </is>
      </c>
      <c r="CW258" s="247" t="inlineStr">
        <is>
          <t/>
        </is>
      </c>
      <c r="CX258" s="248" t="inlineStr">
        <is>
          <t/>
        </is>
      </c>
      <c r="CY258" s="249" t="inlineStr">
        <is>
          <t/>
        </is>
      </c>
      <c r="CZ258" s="250" t="inlineStr">
        <is>
          <t/>
        </is>
      </c>
      <c r="DA258" s="251" t="inlineStr">
        <is>
          <t/>
        </is>
      </c>
      <c r="DB258" s="252" t="inlineStr">
        <is>
          <t/>
        </is>
      </c>
      <c r="DC258" s="253" t="inlineStr">
        <is>
          <t/>
        </is>
      </c>
      <c r="DD258" s="254" t="inlineStr">
        <is>
          <t/>
        </is>
      </c>
      <c r="DE258" s="255" t="inlineStr">
        <is>
          <t/>
        </is>
      </c>
      <c r="DF258" s="256" t="inlineStr">
        <is>
          <t/>
        </is>
      </c>
      <c r="DG258" s="257" t="inlineStr">
        <is>
          <t/>
        </is>
      </c>
      <c r="DH258" s="258" t="inlineStr">
        <is>
          <t/>
        </is>
      </c>
      <c r="DI258" s="259" t="inlineStr">
        <is>
          <t/>
        </is>
      </c>
      <c r="DJ258" s="260" t="inlineStr">
        <is>
          <t/>
        </is>
      </c>
      <c r="DK258" s="261" t="inlineStr">
        <is>
          <t/>
        </is>
      </c>
      <c r="DL258" s="262" t="inlineStr">
        <is>
          <t/>
        </is>
      </c>
      <c r="DM258" s="263" t="inlineStr">
        <is>
          <t/>
        </is>
      </c>
      <c r="DN258" s="264" t="inlineStr">
        <is>
          <t/>
        </is>
      </c>
      <c r="DO258" s="265" t="inlineStr">
        <is>
          <t/>
        </is>
      </c>
      <c r="DP258" s="266" t="inlineStr">
        <is>
          <t/>
        </is>
      </c>
      <c r="DQ258" s="267" t="inlineStr">
        <is>
          <t/>
        </is>
      </c>
      <c r="DR258" s="268" t="inlineStr">
        <is>
          <t/>
        </is>
      </c>
      <c r="DS258" s="269" t="inlineStr">
        <is>
          <t/>
        </is>
      </c>
      <c r="DT258" s="270" t="inlineStr">
        <is>
          <t/>
        </is>
      </c>
      <c r="DU258" s="271" t="inlineStr">
        <is>
          <t/>
        </is>
      </c>
      <c r="DV258" s="272" t="inlineStr">
        <is>
          <t/>
        </is>
      </c>
      <c r="DW258" s="273" t="inlineStr">
        <is>
          <t/>
        </is>
      </c>
      <c r="DX258" s="274" t="inlineStr">
        <is>
          <t/>
        </is>
      </c>
      <c r="DY258" s="275" t="inlineStr">
        <is>
          <t>PitchBook Research</t>
        </is>
      </c>
      <c r="DZ258" s="276" t="n">
        <v>43351.0</v>
      </c>
      <c r="EA258" s="277" t="n">
        <v>762.0</v>
      </c>
      <c r="EB258" s="278" t="n">
        <v>31621.0</v>
      </c>
      <c r="EC258" s="279" t="inlineStr">
        <is>
          <t>Merger/Acquisition</t>
        </is>
      </c>
      <c r="ED258" s="548">
        <f>HYPERLINK("https://my.pitchbook.com?c=159018-40", "View company online")</f>
      </c>
    </row>
    <row r="261">
      <c r="A261" s="12" t="inlineStr">
        <is>
          <t>© PitchBook Data, Inc. 2019</t>
        </is>
      </c>
    </row>
  </sheetData>
  <mergeCells count="2">
    <mergeCell ref="B4:D6"/>
    <mergeCell ref="B3:C3"/>
  </mergeCells>
  <hyperlinks>
    <hyperlink ref="B3" r:id="rId3"/>
  </hyperlinks>
  <pageMargins left="0.7" right="0.7" top="0.75" bottom="0.75" header="0.3" footer="0.3"/>
  <pageSetup paperSize="9" orientation="portrait" r:id="rId1"/>
  <drawing r:id="rId2"/>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549">
        <v>144</v>
      </c>
    </row>
    <row r="3">
      <c r="A3" t="s" s="550">
        <v>145</v>
      </c>
    </row>
    <row r="4">
      <c r="A4" t="s" s="558">
        <f>HYPERLINK("mailto:clientservices@pitchbook.com ", "clientservices@pitchbook.com ")</f>
      </c>
    </row>
    <row r="6">
      <c r="A6" t="s" s="552">
        <v>147</v>
      </c>
      <c r="B6" t="s" s="557">
        <f>HYPERLINK("http://www.pitchbook.com/agreement", "PitchBook User Agreement")</f>
      </c>
      <c r="C6" t="s" s="554">
        <v>149</v>
      </c>
    </row>
    <row r="8">
      <c r="A8" t="s" s="555">
        <v>150</v>
      </c>
      <c r="I8" t="s" s="559">
        <f>HYPERLINK("mailto:clientservices@pitchbook.com", "clientservices@pitchbook.com.")</f>
      </c>
    </row>
    <row r="10">
      <c r="A10" t="s" s="560">
        <v>152</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Data</vt:lpstr>
      <vt:lpstr>CreatedFor</vt:lpstr>
      <vt:lpstr>CreatedForTitle</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2018-07-26T12:21:18Z</dcterms:modified>
</coreProperties>
</file>