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/GitHub/SN_minitrials/data/clean/"/>
    </mc:Choice>
  </mc:AlternateContent>
  <xr:revisionPtr revIDLastSave="0" documentId="13_ncr:1_{165DD7FC-6440-4D44-A791-8B9E0DA12208}" xr6:coauthVersionLast="43" xr6:coauthVersionMax="43" xr10:uidLastSave="{00000000-0000-0000-0000-000000000000}"/>
  <bookViews>
    <workbookView xWindow="0" yWindow="460" windowWidth="24440" windowHeight="15600" tabRatio="500" activeTab="1" xr2:uid="{00000000-000D-0000-FFFF-FFFF00000000}"/>
  </bookViews>
  <sheets>
    <sheet name="First Day TS&amp;VS" sheetId="3" r:id="rId1"/>
    <sheet name="day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3" l="1"/>
  <c r="Y30" i="3"/>
  <c r="W30" i="3"/>
  <c r="X27" i="3"/>
  <c r="Y27" i="3"/>
  <c r="W27" i="3"/>
  <c r="X24" i="3"/>
  <c r="Y24" i="3"/>
  <c r="W24" i="3"/>
  <c r="V14" i="3" l="1"/>
  <c r="AK56" i="3"/>
  <c r="AL56" i="3"/>
  <c r="AJ56" i="3"/>
  <c r="AK53" i="3"/>
  <c r="AL53" i="3"/>
  <c r="AJ53" i="3"/>
  <c r="AK50" i="3"/>
  <c r="AL50" i="3"/>
  <c r="AJ50" i="3"/>
  <c r="AK46" i="3"/>
  <c r="AL46" i="3"/>
  <c r="AJ46" i="3"/>
  <c r="AK43" i="3"/>
  <c r="AL43" i="3"/>
  <c r="AJ43" i="3"/>
  <c r="AK40" i="3"/>
  <c r="AL40" i="3"/>
  <c r="AJ40" i="3"/>
  <c r="AL23" i="3"/>
  <c r="AK23" i="3"/>
  <c r="AJ23" i="3"/>
  <c r="AL20" i="3"/>
  <c r="AK20" i="3"/>
  <c r="AJ20" i="3"/>
  <c r="AL17" i="3"/>
  <c r="AK17" i="3"/>
  <c r="D46" i="3" l="1"/>
  <c r="D48" i="3" s="1"/>
  <c r="D33" i="3"/>
  <c r="D37" i="3" s="1"/>
  <c r="G33" i="3"/>
  <c r="H33" i="3" s="1"/>
  <c r="D20" i="3"/>
  <c r="D52" i="3" s="1"/>
  <c r="G46" i="3"/>
  <c r="H46" i="3" s="1"/>
  <c r="G20" i="3"/>
  <c r="H20" i="3" s="1"/>
  <c r="T14" i="3"/>
  <c r="T7" i="3"/>
  <c r="T10" i="3"/>
  <c r="T4" i="3"/>
  <c r="I16" i="3"/>
  <c r="H16" i="3"/>
  <c r="M16" i="3"/>
  <c r="D16" i="3"/>
  <c r="L16" i="3"/>
  <c r="I15" i="3"/>
  <c r="H15" i="3"/>
  <c r="D15" i="3"/>
  <c r="I14" i="3"/>
  <c r="D14" i="3"/>
  <c r="H14" i="3"/>
  <c r="F14" i="3"/>
  <c r="I10" i="3"/>
  <c r="D10" i="3"/>
  <c r="I11" i="3"/>
  <c r="L11" i="3" s="1"/>
  <c r="D11" i="3"/>
  <c r="I12" i="3"/>
  <c r="D12" i="3"/>
  <c r="H10" i="3"/>
  <c r="H11" i="3"/>
  <c r="H12" i="3"/>
  <c r="K12" i="3" s="1"/>
  <c r="F10" i="3"/>
  <c r="D4" i="3"/>
  <c r="I4" i="3"/>
  <c r="D5" i="3"/>
  <c r="I5" i="3"/>
  <c r="L5" i="3" s="1"/>
  <c r="D6" i="3"/>
  <c r="I6" i="3"/>
  <c r="F4" i="3"/>
  <c r="I7" i="3"/>
  <c r="M7" i="3" s="1"/>
  <c r="D7" i="3"/>
  <c r="I8" i="3"/>
  <c r="D8" i="3"/>
  <c r="I9" i="3"/>
  <c r="D9" i="3"/>
  <c r="F7" i="3"/>
  <c r="H8" i="3"/>
  <c r="H9" i="3"/>
  <c r="K9" i="3" s="1"/>
  <c r="H7" i="3"/>
  <c r="H6" i="3"/>
  <c r="H5" i="3"/>
  <c r="H4" i="3"/>
  <c r="M4" i="3"/>
  <c r="M5" i="3" l="1"/>
  <c r="M10" i="3"/>
  <c r="K14" i="3"/>
  <c r="N14" i="3" s="1"/>
  <c r="K16" i="3"/>
  <c r="M8" i="3"/>
  <c r="L12" i="3"/>
  <c r="L15" i="3"/>
  <c r="D54" i="3"/>
  <c r="D25" i="3"/>
  <c r="D55" i="3"/>
  <c r="L6" i="3"/>
  <c r="K15" i="3"/>
  <c r="D23" i="3"/>
  <c r="D56" i="3"/>
  <c r="D27" i="3"/>
  <c r="K7" i="3"/>
  <c r="N7" i="3" s="1"/>
  <c r="L8" i="3"/>
  <c r="L10" i="3"/>
  <c r="M15" i="3"/>
  <c r="D22" i="3"/>
  <c r="M11" i="3"/>
  <c r="D35" i="3"/>
  <c r="D49" i="3"/>
  <c r="L7" i="3"/>
  <c r="L4" i="3"/>
  <c r="D29" i="3"/>
  <c r="D53" i="3"/>
  <c r="E55" i="3"/>
  <c r="F55" i="3" s="1"/>
  <c r="H55" i="3" s="1"/>
  <c r="E54" i="3"/>
  <c r="E53" i="3"/>
  <c r="F53" i="3"/>
  <c r="H53" i="3" s="1"/>
  <c r="K5" i="3"/>
  <c r="K11" i="3"/>
  <c r="J10" i="3"/>
  <c r="K8" i="3"/>
  <c r="M6" i="3"/>
  <c r="L14" i="3"/>
  <c r="K10" i="3"/>
  <c r="K6" i="3"/>
  <c r="K4" i="3"/>
  <c r="M9" i="3"/>
  <c r="E36" i="3"/>
  <c r="E35" i="3"/>
  <c r="E37" i="3"/>
  <c r="F37" i="3" s="1"/>
  <c r="H37" i="3" s="1"/>
  <c r="E39" i="3"/>
  <c r="E41" i="3"/>
  <c r="E43" i="3"/>
  <c r="E40" i="3"/>
  <c r="E42" i="3"/>
  <c r="E38" i="3"/>
  <c r="E27" i="3"/>
  <c r="E22" i="3"/>
  <c r="F22" i="3" s="1"/>
  <c r="H22" i="3" s="1"/>
  <c r="E24" i="3"/>
  <c r="E26" i="3"/>
  <c r="E28" i="3"/>
  <c r="E30" i="3"/>
  <c r="E23" i="3"/>
  <c r="E29" i="3"/>
  <c r="F29" i="3" s="1"/>
  <c r="H29" i="3" s="1"/>
  <c r="E25" i="3"/>
  <c r="E52" i="3"/>
  <c r="F52" i="3" s="1"/>
  <c r="H52" i="3" s="1"/>
  <c r="E51" i="3"/>
  <c r="D42" i="3"/>
  <c r="D40" i="3"/>
  <c r="D38" i="3"/>
  <c r="D36" i="3"/>
  <c r="E50" i="3"/>
  <c r="J7" i="3"/>
  <c r="M14" i="3"/>
  <c r="M12" i="3"/>
  <c r="D50" i="3"/>
  <c r="E48" i="3"/>
  <c r="F48" i="3" s="1"/>
  <c r="H48" i="3" s="1"/>
  <c r="E49" i="3"/>
  <c r="J14" i="3"/>
  <c r="L9" i="3"/>
  <c r="D51" i="3"/>
  <c r="E56" i="3"/>
  <c r="J4" i="3"/>
  <c r="D30" i="3"/>
  <c r="D28" i="3"/>
  <c r="F28" i="3" s="1"/>
  <c r="H28" i="3" s="1"/>
  <c r="D26" i="3"/>
  <c r="D24" i="3"/>
  <c r="D43" i="3"/>
  <c r="D41" i="3"/>
  <c r="D39" i="3"/>
  <c r="F43" i="3" l="1"/>
  <c r="H43" i="3" s="1"/>
  <c r="F56" i="3"/>
  <c r="H56" i="3" s="1"/>
  <c r="O4" i="3"/>
  <c r="N10" i="3"/>
  <c r="F54" i="3"/>
  <c r="H54" i="3" s="1"/>
  <c r="F23" i="3"/>
  <c r="H23" i="3" s="1"/>
  <c r="F25" i="3"/>
  <c r="H25" i="3" s="1"/>
  <c r="O14" i="3"/>
  <c r="O7" i="3"/>
  <c r="O10" i="3"/>
  <c r="W10" i="3" s="1"/>
  <c r="V10" i="3"/>
  <c r="F27" i="3"/>
  <c r="H27" i="3" s="1"/>
  <c r="N4" i="3"/>
  <c r="F49" i="3"/>
  <c r="H49" i="3" s="1"/>
  <c r="W7" i="3"/>
  <c r="V7" i="3"/>
  <c r="F36" i="3"/>
  <c r="H36" i="3" s="1"/>
  <c r="F38" i="3"/>
  <c r="H38" i="3" s="1"/>
  <c r="V4" i="3"/>
  <c r="W4" i="3"/>
  <c r="W14" i="3" s="1"/>
  <c r="F40" i="3"/>
  <c r="H40" i="3" s="1"/>
  <c r="F35" i="3"/>
  <c r="H35" i="3" s="1"/>
  <c r="X4" i="3"/>
  <c r="F30" i="3"/>
  <c r="H30" i="3" s="1"/>
  <c r="F50" i="3"/>
  <c r="H50" i="3" s="1"/>
  <c r="F42" i="3"/>
  <c r="H42" i="3" s="1"/>
  <c r="F51" i="3"/>
  <c r="H51" i="3" s="1"/>
  <c r="X7" i="3"/>
  <c r="F24" i="3"/>
  <c r="H24" i="3" s="1"/>
  <c r="V16" i="3"/>
  <c r="AE10" i="3" s="1"/>
  <c r="Y10" i="3"/>
  <c r="AB10" i="3" s="1"/>
  <c r="F26" i="3"/>
  <c r="H26" i="3" s="1"/>
  <c r="F39" i="3"/>
  <c r="H39" i="3" s="1"/>
  <c r="F41" i="3"/>
  <c r="H41" i="3" s="1"/>
  <c r="W16" i="3" l="1"/>
  <c r="AF10" i="3" s="1"/>
  <c r="Z10" i="3"/>
  <c r="AC10" i="3" s="1"/>
  <c r="AA4" i="3"/>
  <c r="AD4" i="3" s="1"/>
  <c r="AL29" i="3"/>
  <c r="X10" i="3"/>
  <c r="AJ10" i="3"/>
  <c r="Z4" i="3"/>
  <c r="AK29" i="3"/>
  <c r="AK4" i="3"/>
  <c r="AJ35" i="3"/>
  <c r="AK32" i="3"/>
  <c r="J49" i="3"/>
  <c r="J51" i="3" s="1"/>
  <c r="AF4" i="3"/>
  <c r="AE4" i="3"/>
  <c r="I49" i="3"/>
  <c r="I51" i="3" s="1"/>
  <c r="I23" i="3"/>
  <c r="Y4" i="3"/>
  <c r="AB4" i="3" s="1"/>
  <c r="AJ29" i="3"/>
  <c r="X14" i="3"/>
  <c r="AG4" i="3" s="1"/>
  <c r="I36" i="3"/>
  <c r="I38" i="3" s="1"/>
  <c r="AC4" i="3"/>
  <c r="AB7" i="3"/>
  <c r="Z7" i="3"/>
  <c r="AC7" i="3" s="1"/>
  <c r="W15" i="3"/>
  <c r="J23" i="3"/>
  <c r="J25" i="3" s="1"/>
  <c r="J36" i="3"/>
  <c r="J38" i="3" s="1"/>
  <c r="Y7" i="3"/>
  <c r="V15" i="3"/>
  <c r="X15" i="3"/>
  <c r="AA7" i="3"/>
  <c r="AD7" i="3" s="1"/>
  <c r="AL4" i="3" l="1"/>
  <c r="AJ4" i="3"/>
  <c r="X16" i="3"/>
  <c r="AG10" i="3" s="1"/>
  <c r="AA10" i="3"/>
  <c r="AD10" i="3" s="1"/>
  <c r="AL7" i="3"/>
  <c r="AL32" i="3"/>
  <c r="AK35" i="3"/>
  <c r="AJ7" i="3"/>
  <c r="AJ32" i="3"/>
  <c r="I25" i="3"/>
  <c r="AJ17" i="3"/>
  <c r="AL10" i="3"/>
  <c r="AK10" i="3"/>
  <c r="AK7" i="3"/>
  <c r="AG7" i="3"/>
  <c r="AE7" i="3"/>
  <c r="AF7" i="3"/>
  <c r="AL35" i="3" l="1"/>
</calcChain>
</file>

<file path=xl/sharedStrings.xml><?xml version="1.0" encoding="utf-8"?>
<sst xmlns="http://schemas.openxmlformats.org/spreadsheetml/2006/main" count="212" uniqueCount="87">
  <si>
    <t>Crucible weights</t>
  </si>
  <si>
    <t>Wet weights</t>
  </si>
  <si>
    <t>Sample wet weights</t>
  </si>
  <si>
    <t>Dry weights</t>
  </si>
  <si>
    <t>Average weight</t>
  </si>
  <si>
    <t>Ash</t>
  </si>
  <si>
    <t>TS</t>
  </si>
  <si>
    <t>VS</t>
  </si>
  <si>
    <t>Average VS</t>
  </si>
  <si>
    <t>%TS</t>
  </si>
  <si>
    <t>%VS</t>
  </si>
  <si>
    <t>VS total</t>
  </si>
  <si>
    <t>Average %TS</t>
  </si>
  <si>
    <t>Average %VS</t>
  </si>
  <si>
    <t>TS and VS analysis. Feedstocks</t>
  </si>
  <si>
    <t>Coliforms</t>
  </si>
  <si>
    <t>E. coli</t>
  </si>
  <si>
    <t>Enterolert</t>
  </si>
  <si>
    <t>Feedstock</t>
  </si>
  <si>
    <t>pH</t>
  </si>
  <si>
    <t>Inoculum</t>
  </si>
  <si>
    <t>S:FW</t>
  </si>
  <si>
    <t>FS2 1:3</t>
  </si>
  <si>
    <t>FS3 2:1</t>
  </si>
  <si>
    <t>FS4 3:1</t>
  </si>
  <si>
    <t>NH3-N</t>
  </si>
  <si>
    <t>NH3-N 1/100</t>
  </si>
  <si>
    <t>Blank 1</t>
  </si>
  <si>
    <t>Blk mean</t>
  </si>
  <si>
    <t>Standard 1</t>
  </si>
  <si>
    <t>mean</t>
  </si>
  <si>
    <t>molarity</t>
  </si>
  <si>
    <t>Blank 2</t>
  </si>
  <si>
    <t>Standard 2</t>
  </si>
  <si>
    <t>sCOD 1/50</t>
  </si>
  <si>
    <t>blank</t>
  </si>
  <si>
    <t>Sample COD</t>
  </si>
  <si>
    <t>dilution</t>
  </si>
  <si>
    <t>COD mg/l</t>
  </si>
  <si>
    <t>ST ERROR</t>
  </si>
  <si>
    <t>FS sCOD</t>
  </si>
  <si>
    <t>FS2 1S:3FW</t>
  </si>
  <si>
    <t>FS2A</t>
  </si>
  <si>
    <t>FS2B</t>
  </si>
  <si>
    <t>FS2C</t>
  </si>
  <si>
    <t>FS3 2S:1FW</t>
  </si>
  <si>
    <t>FS3A</t>
  </si>
  <si>
    <t>FS3B</t>
  </si>
  <si>
    <t>FS3C</t>
  </si>
  <si>
    <t>FS4A</t>
  </si>
  <si>
    <t>FS4B</t>
  </si>
  <si>
    <t>FS4C</t>
  </si>
  <si>
    <t>FS4 3S:1FW</t>
  </si>
  <si>
    <t>sCOD mg/L</t>
  </si>
  <si>
    <t>sCOD g/L</t>
  </si>
  <si>
    <t>2 g VS L</t>
  </si>
  <si>
    <t>3.5 g VS L</t>
  </si>
  <si>
    <t>0.5 g VS L</t>
  </si>
  <si>
    <t>g fed</t>
  </si>
  <si>
    <t>total vol</t>
  </si>
  <si>
    <t>%</t>
  </si>
  <si>
    <t>% normalised to 36 mL</t>
  </si>
  <si>
    <t>FS2</t>
  </si>
  <si>
    <t>FS3</t>
  </si>
  <si>
    <t>FS4</t>
  </si>
  <si>
    <t>Recipe</t>
  </si>
  <si>
    <t>FWS12</t>
  </si>
  <si>
    <t>FWS13</t>
  </si>
  <si>
    <t>FWS31</t>
  </si>
  <si>
    <t>Time</t>
  </si>
  <si>
    <t>Ammonia</t>
  </si>
  <si>
    <t>sCOD</t>
  </si>
  <si>
    <t>Enterococci</t>
  </si>
  <si>
    <t>OL</t>
  </si>
  <si>
    <t># data aggregated from previous sheet</t>
  </si>
  <si>
    <t>Ecoli</t>
  </si>
  <si>
    <t>Temp</t>
  </si>
  <si>
    <t>Methane</t>
  </si>
  <si>
    <t>G innoculum</t>
  </si>
  <si>
    <t>per gram</t>
  </si>
  <si>
    <t>coliforms</t>
  </si>
  <si>
    <t>coli</t>
  </si>
  <si>
    <t>enterococci</t>
  </si>
  <si>
    <t># Note that all by  VS are repeated values because those were prepared according to the different OL's based on VS</t>
  </si>
  <si>
    <t>nh3</t>
  </si>
  <si>
    <t>NA</t>
  </si>
  <si>
    <t># Dummy values of 37 degrees and a pH of 7.97 were added temporairrly, as were the Nas for COD until we get the innoculum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</si>
</sst>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right"/>
    </xf>
    <xf numFmtId="2" fontId="8" fillId="0" borderId="0" xfId="0" quotePrefix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" fontId="0" fillId="0" borderId="1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7" fillId="0" borderId="0" xfId="0" applyFo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topLeftCell="K3" zoomScale="99" workbookViewId="0">
      <selection activeCell="AC23" sqref="AC23:AC25"/>
    </sheetView>
  </sheetViews>
  <sheetFormatPr baseColWidth="10" defaultColWidth="8.83203125" defaultRowHeight="16" x14ac:dyDescent="0.2"/>
  <cols>
    <col min="1" max="1" width="10.6640625" customWidth="1"/>
    <col min="2" max="2" width="14.5" customWidth="1"/>
    <col min="3" max="3" width="15.6640625" customWidth="1"/>
    <col min="4" max="4" width="11.5" customWidth="1"/>
    <col min="5" max="7" width="10.33203125" bestFit="1" customWidth="1"/>
    <col min="8" max="8" width="9.33203125" bestFit="1" customWidth="1"/>
    <col min="9" max="9" width="11.33203125" customWidth="1"/>
    <col min="10" max="10" width="10.83203125" customWidth="1"/>
    <col min="11" max="11" width="10.1640625" bestFit="1" customWidth="1"/>
    <col min="12" max="12" width="9.33203125" bestFit="1" customWidth="1"/>
    <col min="13" max="15" width="10.1640625" bestFit="1" customWidth="1"/>
    <col min="16" max="16" width="13" customWidth="1"/>
    <col min="17" max="17" width="12.83203125" customWidth="1"/>
    <col min="20" max="20" width="9.83203125" bestFit="1" customWidth="1"/>
    <col min="22" max="22" width="9.33203125" customWidth="1"/>
    <col min="36" max="38" width="10.83203125" bestFit="1" customWidth="1"/>
  </cols>
  <sheetData>
    <row r="1" spans="1:38" ht="26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38" x14ac:dyDescent="0.2">
      <c r="A2" s="49" t="s">
        <v>14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V2" t="s">
        <v>58</v>
      </c>
      <c r="Y2" t="s">
        <v>59</v>
      </c>
      <c r="AB2" t="s">
        <v>60</v>
      </c>
      <c r="AE2" t="s">
        <v>61</v>
      </c>
      <c r="AJ2" t="s">
        <v>61</v>
      </c>
    </row>
    <row r="3" spans="1:38" ht="34" x14ac:dyDescent="0.2">
      <c r="A3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  <c r="M3" t="s">
        <v>11</v>
      </c>
      <c r="N3" s="1" t="s">
        <v>12</v>
      </c>
      <c r="O3" s="1" t="s">
        <v>13</v>
      </c>
      <c r="P3" s="1"/>
      <c r="Q3" s="1" t="s">
        <v>19</v>
      </c>
      <c r="R3" s="1"/>
      <c r="S3" s="1" t="s">
        <v>26</v>
      </c>
      <c r="T3" t="s">
        <v>25</v>
      </c>
      <c r="V3" s="1" t="s">
        <v>57</v>
      </c>
      <c r="W3" s="1" t="s">
        <v>55</v>
      </c>
      <c r="X3" s="1" t="s">
        <v>56</v>
      </c>
      <c r="Y3" s="1" t="s">
        <v>57</v>
      </c>
      <c r="Z3" s="1" t="s">
        <v>55</v>
      </c>
      <c r="AA3" s="1" t="s">
        <v>56</v>
      </c>
      <c r="AB3" s="1" t="s">
        <v>57</v>
      </c>
      <c r="AC3" s="1" t="s">
        <v>55</v>
      </c>
      <c r="AD3" s="1" t="s">
        <v>56</v>
      </c>
      <c r="AE3" s="1" t="s">
        <v>57</v>
      </c>
      <c r="AF3" s="1" t="s">
        <v>55</v>
      </c>
      <c r="AG3" s="1" t="s">
        <v>56</v>
      </c>
      <c r="AI3" s="1" t="s">
        <v>6</v>
      </c>
      <c r="AJ3" s="1" t="s">
        <v>57</v>
      </c>
      <c r="AK3" s="1" t="s">
        <v>55</v>
      </c>
      <c r="AL3" s="1" t="s">
        <v>56</v>
      </c>
    </row>
    <row r="4" spans="1:38" x14ac:dyDescent="0.2">
      <c r="A4" t="s">
        <v>22</v>
      </c>
      <c r="B4" s="2">
        <v>20.522300000000001</v>
      </c>
      <c r="C4" s="2">
        <v>30.242100000000001</v>
      </c>
      <c r="D4" s="2">
        <f>C4-B4</f>
        <v>9.7197999999999993</v>
      </c>
      <c r="E4" s="2">
        <v>23.878599999999999</v>
      </c>
      <c r="F4" s="47">
        <f>(E4+E5+E6)/3</f>
        <v>23.418366666666667</v>
      </c>
      <c r="G4" s="2">
        <v>21.1586</v>
      </c>
      <c r="H4" s="2">
        <f>E4-B4</f>
        <v>3.3562999999999974</v>
      </c>
      <c r="I4" s="2">
        <f>E4-G4</f>
        <v>2.7199999999999989</v>
      </c>
      <c r="J4" s="47">
        <f>(I4+I5+I6)/3</f>
        <v>2.4533666666666663</v>
      </c>
      <c r="K4" s="2">
        <f>(H4/D4)*100</f>
        <v>34.530545896006068</v>
      </c>
      <c r="L4" s="2">
        <f>(I4/D4)*100</f>
        <v>27.984114899483519</v>
      </c>
      <c r="M4" s="2">
        <f>I4/H4*100</f>
        <v>81.041623216041501</v>
      </c>
      <c r="N4" s="47">
        <f>(K4+K5+K6)/3</f>
        <v>34.535818497584216</v>
      </c>
      <c r="O4" s="47">
        <f>(L4+L5+L6)/3</f>
        <v>28.137218230691261</v>
      </c>
      <c r="P4" s="47"/>
      <c r="Q4" s="45">
        <v>4.9000000000000004</v>
      </c>
      <c r="R4" s="46"/>
      <c r="S4" s="45">
        <v>3.7</v>
      </c>
      <c r="T4" s="45">
        <f>S4*100</f>
        <v>370</v>
      </c>
      <c r="V4" s="9">
        <f>(0.5*7*0.036)*100/O4</f>
        <v>0.44780546167340329</v>
      </c>
      <c r="W4" s="9">
        <f>(2*7*0.036)/(O4/100)</f>
        <v>1.791221846693613</v>
      </c>
      <c r="X4" s="9">
        <f>(3.5*7*0.036)*100/O4</f>
        <v>3.1346382317138226</v>
      </c>
      <c r="Y4" s="9">
        <f>36+V4</f>
        <v>36.447805461673404</v>
      </c>
      <c r="Z4" s="9">
        <f t="shared" ref="Z4" si="0">36+W4</f>
        <v>37.79122184669361</v>
      </c>
      <c r="AA4" s="9">
        <f>36+X4</f>
        <v>39.134638231713822</v>
      </c>
      <c r="AB4" s="32">
        <f>((O4*V4)+(O14*36))/Y4</f>
        <v>3.5090298372854911</v>
      </c>
      <c r="AC4" s="32">
        <f>((O4*W4)+(O14*36))/Z4</f>
        <v>4.3845218220454543</v>
      </c>
      <c r="AD4" s="32">
        <f>((O4*X4)+(O14*36))/AA4</f>
        <v>5.1999059161783734</v>
      </c>
      <c r="AE4" s="32">
        <f>((O4*V4)+(O14*36))/(V14+V4)</f>
        <v>3.5526788019052518</v>
      </c>
      <c r="AF4" s="32">
        <f>((O4*W4)+(O14*36))/(W14+W4)</f>
        <v>4.6026788019052516</v>
      </c>
      <c r="AG4" s="32">
        <f>((O4*X4)+(O14*36))/(X14+X4)</f>
        <v>5.6526788019052514</v>
      </c>
      <c r="AJ4" s="32">
        <f>(($N4*V4)+($N14*36))/(V14+V4)</f>
        <v>6.006993082334283</v>
      </c>
      <c r="AK4" s="32">
        <f>(($N4*W4)+($N14*36))/(W14+W4)</f>
        <v>7.2957704278825792</v>
      </c>
      <c r="AL4" s="32">
        <f>(($N4*X4)+($N14*36))/(X14+X4)</f>
        <v>8.5845477734308773</v>
      </c>
    </row>
    <row r="5" spans="1:38" x14ac:dyDescent="0.2">
      <c r="A5" t="s">
        <v>22</v>
      </c>
      <c r="B5" s="2">
        <v>20.322500000000002</v>
      </c>
      <c r="C5" s="2">
        <v>29.520499999999998</v>
      </c>
      <c r="D5" s="2">
        <f t="shared" ref="D5:D12" si="1">C5-B5</f>
        <v>9.1979999999999968</v>
      </c>
      <c r="E5" s="2">
        <v>23.4971</v>
      </c>
      <c r="F5" s="47"/>
      <c r="G5" s="2">
        <v>20.917899999999999</v>
      </c>
      <c r="H5" s="2">
        <f t="shared" ref="H5:H12" si="2">E5-B5</f>
        <v>3.1745999999999981</v>
      </c>
      <c r="I5" s="2">
        <f t="shared" ref="I5:I12" si="3">E5-G5</f>
        <v>2.5792000000000002</v>
      </c>
      <c r="J5" s="47"/>
      <c r="K5" s="2">
        <f t="shared" ref="K5:K8" si="4">(H5/D5)*100</f>
        <v>34.514024787997386</v>
      </c>
      <c r="L5" s="2">
        <f t="shared" ref="L5:L12" si="5">(I5/D5)*100</f>
        <v>28.040878451837369</v>
      </c>
      <c r="M5" s="2">
        <f t="shared" ref="M5:M12" si="6">I5/H5*100</f>
        <v>81.244881244881299</v>
      </c>
      <c r="N5" s="47"/>
      <c r="O5" s="47"/>
      <c r="P5" s="47"/>
      <c r="Q5" s="45"/>
      <c r="R5" s="46"/>
      <c r="S5" s="45"/>
      <c r="T5" s="45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J5" s="9"/>
      <c r="AK5" s="9"/>
      <c r="AL5" s="9"/>
    </row>
    <row r="6" spans="1:38" x14ac:dyDescent="0.2">
      <c r="A6" t="s">
        <v>22</v>
      </c>
      <c r="B6" s="2">
        <v>20.370100000000001</v>
      </c>
      <c r="C6" s="2">
        <v>27.630199999999999</v>
      </c>
      <c r="D6" s="2">
        <f t="shared" si="1"/>
        <v>7.2600999999999978</v>
      </c>
      <c r="E6" s="2">
        <v>22.8794</v>
      </c>
      <c r="F6" s="47"/>
      <c r="G6" s="2">
        <v>20.8185</v>
      </c>
      <c r="H6" s="2">
        <f t="shared" si="2"/>
        <v>2.5092999999999996</v>
      </c>
      <c r="I6" s="2">
        <f t="shared" si="3"/>
        <v>2.0609000000000002</v>
      </c>
      <c r="J6" s="47"/>
      <c r="K6" s="2">
        <f t="shared" si="4"/>
        <v>34.562884808749196</v>
      </c>
      <c r="L6" s="2">
        <f t="shared" si="5"/>
        <v>28.386661340752894</v>
      </c>
      <c r="M6" s="2">
        <f t="shared" si="6"/>
        <v>82.130474634360198</v>
      </c>
      <c r="N6" s="47"/>
      <c r="O6" s="47"/>
      <c r="P6" s="47"/>
      <c r="Q6" s="45"/>
      <c r="R6" s="46"/>
      <c r="S6" s="45"/>
      <c r="T6" s="45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J6" s="9"/>
      <c r="AK6" s="9"/>
      <c r="AL6" s="9"/>
    </row>
    <row r="7" spans="1:38" x14ac:dyDescent="0.2">
      <c r="A7" t="s">
        <v>23</v>
      </c>
      <c r="B7" s="2">
        <v>20.3949</v>
      </c>
      <c r="C7" s="2">
        <v>42.941499999999998</v>
      </c>
      <c r="D7" s="2">
        <f t="shared" si="1"/>
        <v>22.546599999999998</v>
      </c>
      <c r="E7" s="2">
        <v>22.264399999999998</v>
      </c>
      <c r="F7" s="47">
        <f>(E7+E8+E9)/3</f>
        <v>22.066933333333335</v>
      </c>
      <c r="G7" s="2">
        <v>20.799600000000002</v>
      </c>
      <c r="H7" s="2">
        <f t="shared" si="2"/>
        <v>1.8694999999999986</v>
      </c>
      <c r="I7" s="2">
        <f t="shared" si="3"/>
        <v>1.4647999999999968</v>
      </c>
      <c r="J7" s="47">
        <f>(I7+I8+I9)/3</f>
        <v>1.3685333333333329</v>
      </c>
      <c r="K7" s="2">
        <f t="shared" si="4"/>
        <v>8.2917158241153821</v>
      </c>
      <c r="L7" s="2">
        <f t="shared" si="5"/>
        <v>6.4967666965307274</v>
      </c>
      <c r="M7" s="2">
        <f t="shared" si="6"/>
        <v>78.352500668627854</v>
      </c>
      <c r="N7" s="47">
        <f>(K7+K8+K9)/3</f>
        <v>8.2841582300292824</v>
      </c>
      <c r="O7" s="47">
        <f>(L7+L8+L9)/3</f>
        <v>6.4907799015741752</v>
      </c>
      <c r="P7" s="47"/>
      <c r="Q7" s="45">
        <v>6.28</v>
      </c>
      <c r="R7" s="46"/>
      <c r="S7" s="45">
        <v>19</v>
      </c>
      <c r="T7" s="45">
        <f t="shared" ref="T7" si="7">S7*100</f>
        <v>1900</v>
      </c>
      <c r="V7" s="9">
        <f>(0.5*7*0.036)*100/O7</f>
        <v>1.9412151068231704</v>
      </c>
      <c r="W7" s="9">
        <f>(2*7*0.036)*100/O7</f>
        <v>7.7648604272926818</v>
      </c>
      <c r="X7" s="9">
        <f>(3.5*7*0.036)*100/O7</f>
        <v>13.588505747762191</v>
      </c>
      <c r="Y7" s="9">
        <f>36+V7</f>
        <v>37.941215106823172</v>
      </c>
      <c r="Z7" s="9">
        <f t="shared" ref="Z7:AA7" si="8">36+W7</f>
        <v>43.764860427292682</v>
      </c>
      <c r="AA7" s="9">
        <f t="shared" si="8"/>
        <v>49.588505747762191</v>
      </c>
      <c r="AB7" s="32">
        <f>((O7*V7)+(O14*36))/Y7</f>
        <v>3.3709104072839451</v>
      </c>
      <c r="AC7" s="32">
        <f>((O7*W7)+(O14*36))/Z7</f>
        <v>3.7860611287419372</v>
      </c>
      <c r="AD7" s="32">
        <f>((O7*X7)+(O14*36))/AA7</f>
        <v>4.1037017308748478</v>
      </c>
      <c r="AE7" s="32">
        <f>((O7*V7)+(O14*36))/(V15+V7)</f>
        <v>3.5526788019052518</v>
      </c>
      <c r="AF7" s="32">
        <f>((O7*W7)+(O14*36))/(W15+W7)</f>
        <v>4.6026788019052525</v>
      </c>
      <c r="AG7" s="32">
        <f>((O7*X7)+(O14*36))/(X15+X7)</f>
        <v>5.6526788019052514</v>
      </c>
      <c r="AJ7" s="32">
        <f>(($N7*V7)+($N14*36))/(V15+V7)</f>
        <v>6.0241043311361375</v>
      </c>
      <c r="AK7" s="32">
        <f t="shared" ref="AK7:AL7" si="9">(($N7*W7)+($N14*36))/(W15+W7)</f>
        <v>7.3642154230899983</v>
      </c>
      <c r="AL7" s="32">
        <f t="shared" si="9"/>
        <v>8.7043265150438618</v>
      </c>
    </row>
    <row r="8" spans="1:38" x14ac:dyDescent="0.2">
      <c r="A8" t="s">
        <v>23</v>
      </c>
      <c r="B8" s="2">
        <v>20.331700000000001</v>
      </c>
      <c r="C8" s="2">
        <v>40.8337</v>
      </c>
      <c r="D8" s="2">
        <f t="shared" si="1"/>
        <v>20.501999999999999</v>
      </c>
      <c r="E8" s="2">
        <v>22.033000000000001</v>
      </c>
      <c r="F8" s="47"/>
      <c r="G8" s="2">
        <v>20.6968</v>
      </c>
      <c r="H8" s="2">
        <f>E8-B8</f>
        <v>1.7012999999999998</v>
      </c>
      <c r="I8" s="2">
        <f t="shared" si="3"/>
        <v>1.3362000000000016</v>
      </c>
      <c r="J8" s="47"/>
      <c r="K8" s="2">
        <f t="shared" si="4"/>
        <v>8.2982148083113838</v>
      </c>
      <c r="L8" s="2">
        <f t="shared" si="5"/>
        <v>6.5174129353233914</v>
      </c>
      <c r="M8" s="2">
        <f t="shared" si="6"/>
        <v>78.539940045847402</v>
      </c>
      <c r="N8" s="47"/>
      <c r="O8" s="47"/>
      <c r="P8" s="47"/>
      <c r="Q8" s="45"/>
      <c r="R8" s="46"/>
      <c r="S8" s="45"/>
      <c r="T8" s="45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J8" s="9"/>
      <c r="AK8" s="9"/>
      <c r="AL8" s="9"/>
    </row>
    <row r="9" spans="1:38" x14ac:dyDescent="0.2">
      <c r="A9" t="s">
        <v>23</v>
      </c>
      <c r="B9" s="2">
        <v>20.234300000000001</v>
      </c>
      <c r="C9" s="2">
        <v>40.435099999999998</v>
      </c>
      <c r="D9" s="2">
        <f t="shared" si="1"/>
        <v>20.200799999999997</v>
      </c>
      <c r="E9" s="2">
        <v>21.903400000000001</v>
      </c>
      <c r="F9" s="47"/>
      <c r="G9" s="2">
        <v>20.598800000000001</v>
      </c>
      <c r="H9" s="2">
        <f t="shared" si="2"/>
        <v>1.6691000000000003</v>
      </c>
      <c r="I9" s="2">
        <f t="shared" si="3"/>
        <v>1.3046000000000006</v>
      </c>
      <c r="J9" s="47"/>
      <c r="K9" s="2">
        <f>(H9/D9)*100</f>
        <v>8.2625440576610849</v>
      </c>
      <c r="L9" s="2">
        <f t="shared" si="5"/>
        <v>6.458160072868405</v>
      </c>
      <c r="M9" s="2">
        <f t="shared" si="6"/>
        <v>78.161883649871214</v>
      </c>
      <c r="N9" s="47"/>
      <c r="O9" s="47"/>
      <c r="P9" s="47"/>
      <c r="Q9" s="45"/>
      <c r="R9" s="46"/>
      <c r="S9" s="45"/>
      <c r="T9" s="45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J9" s="9"/>
      <c r="AK9" s="9"/>
      <c r="AL9" s="9"/>
    </row>
    <row r="10" spans="1:38" x14ac:dyDescent="0.2">
      <c r="A10" t="s">
        <v>24</v>
      </c>
      <c r="B10" s="2">
        <v>20.706399999999999</v>
      </c>
      <c r="C10" s="2">
        <v>36.075899999999997</v>
      </c>
      <c r="D10" s="2">
        <f t="shared" si="1"/>
        <v>15.369499999999999</v>
      </c>
      <c r="E10" s="2">
        <v>23.220700000000001</v>
      </c>
      <c r="F10" s="47">
        <f>(E10+E11+E12)/3</f>
        <v>22.957999999999998</v>
      </c>
      <c r="G10" s="2">
        <v>21.194500000000001</v>
      </c>
      <c r="H10" s="2">
        <f t="shared" si="2"/>
        <v>2.5143000000000022</v>
      </c>
      <c r="I10" s="2">
        <f t="shared" si="3"/>
        <v>2.0261999999999993</v>
      </c>
      <c r="J10" s="47">
        <f>(I10+I11+I12)/3</f>
        <v>2.0230666666666663</v>
      </c>
      <c r="K10" s="2">
        <f>(H10/D10)*100</f>
        <v>16.359022739841912</v>
      </c>
      <c r="L10" s="2">
        <f t="shared" si="5"/>
        <v>13.183252545626075</v>
      </c>
      <c r="M10" s="2">
        <f t="shared" si="6"/>
        <v>80.587042119078774</v>
      </c>
      <c r="N10" s="47">
        <f>(K10+K11+K12)/3</f>
        <v>16.42072159253286</v>
      </c>
      <c r="O10" s="47">
        <f>(L10+L11+L12)/3</f>
        <v>13.243496875457138</v>
      </c>
      <c r="P10" s="47"/>
      <c r="Q10" s="45">
        <v>6.72</v>
      </c>
      <c r="R10" s="46"/>
      <c r="S10" s="45">
        <v>12</v>
      </c>
      <c r="T10" s="45">
        <f t="shared" ref="T10" si="10">S10*100</f>
        <v>1200</v>
      </c>
      <c r="V10" s="9">
        <f>(0.5*7*0.036)*100/O10</f>
        <v>0.95141035018857689</v>
      </c>
      <c r="W10" s="9">
        <f>(2*7*0.036)*100/O10</f>
        <v>3.8056414007543076</v>
      </c>
      <c r="X10" s="9">
        <f>(3.5*7*0.036)*100/O10</f>
        <v>6.6598724513200374</v>
      </c>
      <c r="Y10" s="9">
        <f>36+V10</f>
        <v>36.951410350188574</v>
      </c>
      <c r="Z10" s="9">
        <f t="shared" ref="Z10:AA10" si="11">36+W10</f>
        <v>39.805641400754311</v>
      </c>
      <c r="AA10" s="9">
        <f t="shared" si="11"/>
        <v>42.659872451320041</v>
      </c>
      <c r="AB10" s="32">
        <f>((O10*V10)+(O14*36))/Y10</f>
        <v>3.4612058283165466</v>
      </c>
      <c r="AC10" s="32">
        <f>((O10*W10)+(O14*36))/Z10</f>
        <v>4.1626370292691517</v>
      </c>
      <c r="AD10" s="32">
        <f>((O10*X10)+(O14*36))/AA10</f>
        <v>4.7702073441687514</v>
      </c>
      <c r="AE10" s="32">
        <f>((O10*V10)+(O14*36))/(V16+V10)</f>
        <v>3.5526788019052518</v>
      </c>
      <c r="AF10" s="32">
        <f>((O10*W10)+(O14*36))/(W16+W10)</f>
        <v>4.6026788019052525</v>
      </c>
      <c r="AG10" s="32">
        <f>((O10*X10)+(O14*36))/(X16+X10)</f>
        <v>5.6526788019052514</v>
      </c>
      <c r="AJ10" s="32">
        <f>(($N10*V10)+($N14*36))/(V16+V10)</f>
        <v>6.011368536059873</v>
      </c>
      <c r="AK10" s="32">
        <f t="shared" ref="AK10" si="12">(($N10*W10)+($N14*36))/(W16+W10)</f>
        <v>7.313272242784941</v>
      </c>
      <c r="AL10" s="32">
        <f>(($N10*X10)+($N14*36))/(X16+X10)</f>
        <v>8.6151759495100091</v>
      </c>
    </row>
    <row r="11" spans="1:38" x14ac:dyDescent="0.2">
      <c r="A11" t="s">
        <v>24</v>
      </c>
      <c r="B11" s="2">
        <v>20.331199999999999</v>
      </c>
      <c r="C11" s="2">
        <v>35.125100000000003</v>
      </c>
      <c r="D11" s="2">
        <f t="shared" si="1"/>
        <v>14.793900000000004</v>
      </c>
      <c r="E11" s="2">
        <v>22.756499999999999</v>
      </c>
      <c r="F11" s="47"/>
      <c r="G11" s="2">
        <v>20.8371</v>
      </c>
      <c r="H11" s="2">
        <f t="shared" si="2"/>
        <v>2.4253</v>
      </c>
      <c r="I11" s="2">
        <f t="shared" si="3"/>
        <v>1.9193999999999996</v>
      </c>
      <c r="J11" s="47"/>
      <c r="K11" s="2">
        <f>(H11/D11)*100</f>
        <v>16.393919115311036</v>
      </c>
      <c r="L11" s="2">
        <f t="shared" si="5"/>
        <v>12.974266420619301</v>
      </c>
      <c r="M11" s="2">
        <f t="shared" si="6"/>
        <v>79.140724858780345</v>
      </c>
      <c r="N11" s="47"/>
      <c r="O11" s="47"/>
      <c r="P11" s="47"/>
      <c r="Q11" s="45"/>
      <c r="R11" s="46"/>
      <c r="S11" s="45"/>
      <c r="T11" s="45"/>
    </row>
    <row r="12" spans="1:38" x14ac:dyDescent="0.2">
      <c r="A12" t="s">
        <v>24</v>
      </c>
      <c r="B12" s="2">
        <v>20.313800000000001</v>
      </c>
      <c r="C12" s="2">
        <v>35.959600000000002</v>
      </c>
      <c r="D12" s="2">
        <f t="shared" si="1"/>
        <v>15.645800000000001</v>
      </c>
      <c r="E12" s="2">
        <v>22.896799999999999</v>
      </c>
      <c r="F12" s="47"/>
      <c r="G12" s="2">
        <v>20.773199999999999</v>
      </c>
      <c r="H12" s="2">
        <f t="shared" si="2"/>
        <v>2.5829999999999984</v>
      </c>
      <c r="I12" s="2">
        <f t="shared" si="3"/>
        <v>2.1235999999999997</v>
      </c>
      <c r="J12" s="47"/>
      <c r="K12" s="2">
        <f>(H12/D12)*100</f>
        <v>16.50922292244563</v>
      </c>
      <c r="L12" s="2">
        <f t="shared" si="5"/>
        <v>13.572971660126038</v>
      </c>
      <c r="M12" s="2">
        <f t="shared" si="6"/>
        <v>82.21447928765005</v>
      </c>
      <c r="N12" s="47"/>
      <c r="O12" s="47"/>
      <c r="P12" s="47"/>
      <c r="Q12" s="45"/>
      <c r="R12" s="46"/>
      <c r="S12" s="45"/>
      <c r="T12" s="45"/>
    </row>
    <row r="13" spans="1:38" x14ac:dyDescent="0.2">
      <c r="B13" s="2"/>
      <c r="C13" s="2"/>
      <c r="D13" s="2"/>
      <c r="E13" s="2"/>
      <c r="F13" s="3"/>
      <c r="G13" s="2"/>
      <c r="H13" s="2"/>
      <c r="I13" s="2"/>
      <c r="J13" s="3"/>
      <c r="K13" s="2"/>
      <c r="L13" s="2"/>
      <c r="M13" s="2"/>
      <c r="N13" s="3"/>
      <c r="O13" s="3"/>
      <c r="P13" s="3"/>
      <c r="Q13" s="18"/>
      <c r="S13" s="18"/>
      <c r="T13" s="18"/>
      <c r="V13" t="s">
        <v>78</v>
      </c>
    </row>
    <row r="14" spans="1:38" x14ac:dyDescent="0.2">
      <c r="A14" t="s">
        <v>20</v>
      </c>
      <c r="B14" s="2">
        <v>20.5182</v>
      </c>
      <c r="C14" s="2">
        <v>45.351999999999997</v>
      </c>
      <c r="D14" s="2">
        <f>C14-B14</f>
        <v>24.833799999999997</v>
      </c>
      <c r="E14" s="2">
        <v>21.9011</v>
      </c>
      <c r="F14" s="47">
        <f>(E14+E15+E16)/3</f>
        <v>21.972533333333331</v>
      </c>
      <c r="G14" s="2">
        <v>21.099699999999999</v>
      </c>
      <c r="H14" s="2">
        <f t="shared" ref="H14:H16" si="13">E14-B14</f>
        <v>1.3828999999999994</v>
      </c>
      <c r="I14" s="2">
        <f t="shared" ref="I14:I16" si="14">E14-G14</f>
        <v>0.801400000000001</v>
      </c>
      <c r="J14" s="47">
        <f>(I14+I15+I16)/3</f>
        <v>0.80910000000000082</v>
      </c>
      <c r="K14" s="2">
        <f>(H14/D14)*100</f>
        <v>5.5686201870031953</v>
      </c>
      <c r="L14" s="2">
        <f t="shared" ref="L14:L16" si="15">(I14/D14)*100</f>
        <v>3.2270534513445428</v>
      </c>
      <c r="M14" s="2">
        <f t="shared" ref="M14:M16" si="16">I14/H14*100</f>
        <v>57.950683346590594</v>
      </c>
      <c r="N14" s="47">
        <f>(K14+K15+K16)/3</f>
        <v>5.5774006338181836</v>
      </c>
      <c r="O14" s="47">
        <f>(L14+L15+L16)/3</f>
        <v>3.2026788019052521</v>
      </c>
      <c r="P14" s="47"/>
      <c r="Q14" s="45">
        <v>7.97</v>
      </c>
      <c r="R14" s="43"/>
      <c r="S14" s="44">
        <v>20</v>
      </c>
      <c r="T14" s="45">
        <f t="shared" ref="T14" si="17">S14*100</f>
        <v>2000</v>
      </c>
      <c r="U14" t="s">
        <v>62</v>
      </c>
      <c r="V14" s="9">
        <f>SUM(36-V4)</f>
        <v>35.552194538326596</v>
      </c>
      <c r="W14" s="9">
        <f t="shared" ref="W14:X14" si="18">SUM(36-W4)</f>
        <v>34.20877815330639</v>
      </c>
      <c r="X14" s="9">
        <f t="shared" si="18"/>
        <v>32.865361768286178</v>
      </c>
    </row>
    <row r="15" spans="1:38" x14ac:dyDescent="0.2">
      <c r="A15" t="s">
        <v>20</v>
      </c>
      <c r="B15" s="2">
        <v>20.7501</v>
      </c>
      <c r="C15" s="2">
        <v>46.766300000000001</v>
      </c>
      <c r="D15" s="2">
        <f t="shared" ref="D15:D16" si="19">C15-B15</f>
        <v>26.016200000000001</v>
      </c>
      <c r="E15" s="2">
        <v>22.1995</v>
      </c>
      <c r="F15" s="47"/>
      <c r="G15" s="2">
        <v>21.369299999999999</v>
      </c>
      <c r="H15" s="2">
        <f t="shared" si="13"/>
        <v>1.4494000000000007</v>
      </c>
      <c r="I15" s="2">
        <f t="shared" si="14"/>
        <v>0.83020000000000138</v>
      </c>
      <c r="J15" s="47"/>
      <c r="K15" s="2">
        <f>(H15/D15)*100</f>
        <v>5.5711441332708107</v>
      </c>
      <c r="L15" s="2">
        <f t="shared" si="15"/>
        <v>3.1910886293924605</v>
      </c>
      <c r="M15" s="2">
        <f t="shared" si="16"/>
        <v>57.278874016834621</v>
      </c>
      <c r="N15" s="47"/>
      <c r="O15" s="47"/>
      <c r="P15" s="47"/>
      <c r="Q15" s="45"/>
      <c r="R15" s="43"/>
      <c r="S15" s="44"/>
      <c r="T15" s="45"/>
      <c r="U15" t="s">
        <v>63</v>
      </c>
      <c r="V15" s="9">
        <f>SUM(36-V7)</f>
        <v>34.058784893176828</v>
      </c>
      <c r="W15" s="9">
        <f t="shared" ref="W15:X15" si="20">SUM(36-W7)</f>
        <v>28.235139572707318</v>
      </c>
      <c r="X15" s="9">
        <f t="shared" si="20"/>
        <v>22.411494252237809</v>
      </c>
      <c r="AJ15" t="s">
        <v>61</v>
      </c>
    </row>
    <row r="16" spans="1:38" ht="17" x14ac:dyDescent="0.2">
      <c r="A16" t="s">
        <v>20</v>
      </c>
      <c r="B16" s="2">
        <v>20.422000000000001</v>
      </c>
      <c r="C16" s="2">
        <v>45.366399999999999</v>
      </c>
      <c r="D16" s="2">
        <f t="shared" si="19"/>
        <v>24.944399999999998</v>
      </c>
      <c r="E16" s="2">
        <v>21.817</v>
      </c>
      <c r="F16" s="47"/>
      <c r="G16" s="2">
        <v>21.0213</v>
      </c>
      <c r="H16" s="2">
        <f t="shared" si="13"/>
        <v>1.3949999999999996</v>
      </c>
      <c r="I16" s="2">
        <f t="shared" si="14"/>
        <v>0.79570000000000007</v>
      </c>
      <c r="J16" s="47"/>
      <c r="K16" s="2">
        <f>(H16/D16)*100</f>
        <v>5.592437581180544</v>
      </c>
      <c r="L16" s="2">
        <f t="shared" si="15"/>
        <v>3.189894324978753</v>
      </c>
      <c r="M16" s="2">
        <f t="shared" si="16"/>
        <v>57.039426523297507</v>
      </c>
      <c r="N16" s="47"/>
      <c r="O16" s="47"/>
      <c r="P16" s="47"/>
      <c r="Q16" s="45"/>
      <c r="R16" s="43"/>
      <c r="S16" s="44"/>
      <c r="T16" s="45"/>
      <c r="U16" t="s">
        <v>64</v>
      </c>
      <c r="V16" s="9">
        <f>SUM(36-V10)</f>
        <v>35.048589649811426</v>
      </c>
      <c r="W16" s="9">
        <f t="shared" ref="W16:X16" si="21">SUM(36-W10)</f>
        <v>32.194358599245689</v>
      </c>
      <c r="X16" s="9">
        <f t="shared" si="21"/>
        <v>29.340127548679963</v>
      </c>
      <c r="AI16" t="s">
        <v>71</v>
      </c>
      <c r="AJ16" s="1" t="s">
        <v>57</v>
      </c>
      <c r="AK16" s="1" t="s">
        <v>55</v>
      </c>
      <c r="AL16" s="1" t="s">
        <v>56</v>
      </c>
    </row>
    <row r="17" spans="1:43" x14ac:dyDescent="0.2">
      <c r="B17" s="2"/>
      <c r="C17" s="2"/>
      <c r="D17" s="2"/>
      <c r="E17" s="2"/>
      <c r="F17" s="7"/>
      <c r="G17" s="2"/>
      <c r="H17" s="2"/>
      <c r="I17" s="2"/>
      <c r="J17" s="7"/>
      <c r="K17" s="2"/>
      <c r="L17" s="17"/>
      <c r="Q17" s="11"/>
      <c r="R17" s="11"/>
      <c r="S17" s="12"/>
      <c r="T17" s="12"/>
      <c r="AJ17" s="32">
        <f>(($I23*V4)+($I28*36))/(V14+V4)</f>
        <v>1977.9080842054786</v>
      </c>
      <c r="AK17" s="32">
        <f>(($N17*W17)+($N27*36))/(W27+W17)</f>
        <v>0</v>
      </c>
      <c r="AL17" s="32">
        <f>(($N17*X17)+($N27*36))/(X27+X17)</f>
        <v>0</v>
      </c>
    </row>
    <row r="18" spans="1:43" x14ac:dyDescent="0.2">
      <c r="A18" s="2"/>
      <c r="B18" s="7"/>
      <c r="C18" s="2"/>
      <c r="D18" s="10"/>
      <c r="AJ18" s="9"/>
      <c r="AK18" s="9"/>
      <c r="AL18" s="9"/>
    </row>
    <row r="19" spans="1:43" x14ac:dyDescent="0.2">
      <c r="A19" s="11" t="s">
        <v>40</v>
      </c>
      <c r="B19" s="19" t="s">
        <v>27</v>
      </c>
      <c r="C19" s="20">
        <v>4.7300000000000004</v>
      </c>
      <c r="D19" s="21" t="s">
        <v>28</v>
      </c>
      <c r="E19" s="22" t="s">
        <v>29</v>
      </c>
      <c r="F19" s="23">
        <v>4.68</v>
      </c>
      <c r="G19" s="22" t="s">
        <v>30</v>
      </c>
      <c r="H19" s="22" t="s">
        <v>31</v>
      </c>
      <c r="I19" s="21"/>
      <c r="J19" s="24"/>
      <c r="K19" s="24"/>
      <c r="AJ19" s="9"/>
      <c r="AK19" s="9"/>
      <c r="AL19" s="9"/>
    </row>
    <row r="20" spans="1:43" x14ac:dyDescent="0.2">
      <c r="A20" s="25"/>
      <c r="B20" s="22" t="s">
        <v>32</v>
      </c>
      <c r="C20" s="23">
        <v>4.7</v>
      </c>
      <c r="D20" s="26">
        <f>AVERAGE(C19:C20)</f>
        <v>4.7149999999999999</v>
      </c>
      <c r="E20" s="22" t="s">
        <v>33</v>
      </c>
      <c r="F20" s="23">
        <v>4.83</v>
      </c>
      <c r="G20" s="27">
        <f>(F19+F20)/2</f>
        <v>4.7549999999999999</v>
      </c>
      <c r="H20" s="28">
        <f>(3.8*0.0338)/G20</f>
        <v>2.7011566771819134E-2</v>
      </c>
      <c r="I20" s="22"/>
      <c r="J20" s="24"/>
      <c r="K20" s="24"/>
      <c r="AJ20" s="32" t="e">
        <f>(($N20*V20)+($N27*36))/(V28+V20)</f>
        <v>#DIV/0!</v>
      </c>
      <c r="AK20" s="32" t="e">
        <f t="shared" ref="AK20" si="22">(($N20*W20)+($N27*36))/(W28+W20)</f>
        <v>#DIV/0!</v>
      </c>
      <c r="AL20" s="32" t="e">
        <f t="shared" ref="AL20" si="23">(($N20*X20)+($N27*36))/(X28+X20)</f>
        <v>#DIV/0!</v>
      </c>
    </row>
    <row r="21" spans="1:43" ht="34" x14ac:dyDescent="0.2">
      <c r="A21" s="29"/>
      <c r="B21" s="25"/>
      <c r="C21" s="25" t="s">
        <v>34</v>
      </c>
      <c r="D21" s="22" t="s">
        <v>35</v>
      </c>
      <c r="E21" s="30" t="s">
        <v>31</v>
      </c>
      <c r="F21" s="31" t="s">
        <v>36</v>
      </c>
      <c r="G21" s="22" t="s">
        <v>37</v>
      </c>
      <c r="H21" s="27" t="s">
        <v>38</v>
      </c>
      <c r="I21" s="33" t="s">
        <v>41</v>
      </c>
      <c r="J21" s="32" t="s">
        <v>39</v>
      </c>
      <c r="K21" s="29"/>
      <c r="L21" s="25"/>
      <c r="M21" s="25"/>
      <c r="N21" s="22"/>
      <c r="O21" s="30"/>
      <c r="P21" s="31"/>
      <c r="Q21" s="22"/>
      <c r="R21" s="27"/>
      <c r="S21" s="22"/>
      <c r="T21" s="32"/>
      <c r="U21" s="32"/>
      <c r="V21" s="11"/>
      <c r="W21" s="25"/>
      <c r="X21" s="25"/>
      <c r="Y21" s="25"/>
      <c r="Z21" s="25"/>
      <c r="AA21" s="22"/>
      <c r="AB21" s="30"/>
      <c r="AC21" s="31"/>
      <c r="AD21" s="22"/>
      <c r="AE21" s="27"/>
      <c r="AF21" s="22"/>
      <c r="AG21" s="32"/>
      <c r="AJ21" s="9"/>
      <c r="AK21" s="9"/>
      <c r="AL21" s="9"/>
    </row>
    <row r="22" spans="1:43" ht="17" thickBot="1" x14ac:dyDescent="0.25">
      <c r="A22" s="33" t="s">
        <v>41</v>
      </c>
      <c r="B22" s="21" t="s">
        <v>42</v>
      </c>
      <c r="C22" s="32">
        <v>3.8</v>
      </c>
      <c r="D22" s="26">
        <f>$D$20</f>
        <v>4.7149999999999999</v>
      </c>
      <c r="E22" s="34">
        <f>$H$20</f>
        <v>2.7011566771819134E-2</v>
      </c>
      <c r="F22" s="35">
        <f>(D22-C22)*E22*4000</f>
        <v>98.86233438485803</v>
      </c>
      <c r="G22" s="36">
        <v>1000</v>
      </c>
      <c r="H22" s="37">
        <f>F22*G22</f>
        <v>98862.334384858026</v>
      </c>
      <c r="I22" t="s">
        <v>53</v>
      </c>
      <c r="K22" s="33"/>
      <c r="L22" s="21"/>
      <c r="M22" s="32"/>
      <c r="N22" s="26"/>
      <c r="O22" s="34"/>
      <c r="P22" s="35"/>
      <c r="Q22" s="36"/>
      <c r="R22" s="37"/>
      <c r="S22" s="38"/>
      <c r="T22" s="38"/>
      <c r="U22" s="39" t="s">
        <v>84</v>
      </c>
      <c r="V22" s="33"/>
      <c r="W22" t="s">
        <v>61</v>
      </c>
      <c r="Z22" s="32"/>
      <c r="AA22" s="26"/>
      <c r="AB22" s="34"/>
      <c r="AC22" s="35"/>
      <c r="AD22" s="36"/>
      <c r="AE22" s="37"/>
      <c r="AF22" s="38"/>
      <c r="AG22" s="39"/>
      <c r="AJ22" s="9"/>
      <c r="AK22" s="9"/>
      <c r="AL22" s="9"/>
    </row>
    <row r="23" spans="1:43" ht="35" thickBot="1" x14ac:dyDescent="0.25">
      <c r="A23" s="33"/>
      <c r="B23" s="21" t="s">
        <v>42</v>
      </c>
      <c r="C23" s="32">
        <v>3.95</v>
      </c>
      <c r="D23" s="26">
        <f t="shared" ref="D23:D30" si="24">$D$20</f>
        <v>4.7149999999999999</v>
      </c>
      <c r="E23" s="34">
        <f t="shared" ref="E23:E30" si="25">$H$20</f>
        <v>2.7011566771819134E-2</v>
      </c>
      <c r="F23" s="35">
        <f t="shared" ref="F23:F30" si="26">(D23-C23)*E23*4000</f>
        <v>82.655394321766508</v>
      </c>
      <c r="G23" s="36">
        <v>1000</v>
      </c>
      <c r="H23" s="37">
        <f t="shared" ref="H23:H30" si="27">F23*G23</f>
        <v>82655.394321766507</v>
      </c>
      <c r="I23" s="40">
        <f>AVERAGE(H22:H30)</f>
        <v>159008.08973010862</v>
      </c>
      <c r="J23" s="39">
        <f>STDEV(H22:H30)/SQRT(9)</f>
        <v>21404.193067102195</v>
      </c>
      <c r="K23" s="33"/>
      <c r="L23" s="21"/>
      <c r="M23" s="32"/>
      <c r="N23" s="26"/>
      <c r="O23" s="34"/>
      <c r="P23" s="35"/>
      <c r="Q23" s="36"/>
      <c r="R23" s="37"/>
      <c r="S23" s="38"/>
      <c r="T23" s="38"/>
      <c r="U23" s="38"/>
      <c r="V23" s="33"/>
      <c r="W23" s="1" t="s">
        <v>57</v>
      </c>
      <c r="X23" s="1" t="s">
        <v>55</v>
      </c>
      <c r="Y23" s="1" t="s">
        <v>56</v>
      </c>
      <c r="Z23" s="32"/>
      <c r="AA23" s="26">
        <v>2004.6024450227544</v>
      </c>
      <c r="AB23" s="34">
        <v>2018.4097800910176</v>
      </c>
      <c r="AC23" s="35">
        <v>2032.2171151592811</v>
      </c>
      <c r="AD23" s="36"/>
      <c r="AE23" s="37"/>
      <c r="AF23" s="38"/>
      <c r="AG23" s="38"/>
      <c r="AJ23" s="32" t="e">
        <f>(($N23*V23)+($N27*36))/(V29+V23)</f>
        <v>#DIV/0!</v>
      </c>
      <c r="AK23" s="32" t="e">
        <f t="shared" ref="AK23" si="28">(($N23*W23)+($N27*36))/(W29+W23)</f>
        <v>#VALUE!</v>
      </c>
      <c r="AL23" s="32" t="e">
        <f>(($N23*X23)+($N27*36))/(X29+X23)</f>
        <v>#VALUE!</v>
      </c>
    </row>
    <row r="24" spans="1:43" ht="17" thickBot="1" x14ac:dyDescent="0.25">
      <c r="A24" s="33"/>
      <c r="B24" s="21" t="s">
        <v>42</v>
      </c>
      <c r="C24" s="32">
        <v>3.96</v>
      </c>
      <c r="D24" s="26">
        <f t="shared" si="24"/>
        <v>4.7149999999999999</v>
      </c>
      <c r="E24" s="34">
        <f t="shared" si="25"/>
        <v>2.7011566771819134E-2</v>
      </c>
      <c r="F24" s="35">
        <f t="shared" si="26"/>
        <v>81.574931650893774</v>
      </c>
      <c r="G24" s="36">
        <v>1000</v>
      </c>
      <c r="H24" s="37">
        <f t="shared" si="27"/>
        <v>81574.931650893777</v>
      </c>
      <c r="I24" s="38" t="s">
        <v>54</v>
      </c>
      <c r="K24" s="33"/>
      <c r="L24" s="21"/>
      <c r="M24" s="32"/>
      <c r="N24" s="26"/>
      <c r="O24" s="34"/>
      <c r="P24" s="35"/>
      <c r="Q24" s="36"/>
      <c r="R24" s="37"/>
      <c r="S24" s="38"/>
      <c r="T24" s="41"/>
      <c r="U24" s="41"/>
      <c r="V24" s="41"/>
      <c r="W24" s="32">
        <f>(($T4*V4)+($T14*36))/(V14+V4)</f>
        <v>2004.6024450227544</v>
      </c>
      <c r="X24" s="32">
        <f t="shared" ref="X24:Y24" si="29">(($T4*W4)+($T14*36))/(W14+W4)</f>
        <v>2018.4097800910176</v>
      </c>
      <c r="Y24" s="32">
        <f t="shared" si="29"/>
        <v>2032.2171151592811</v>
      </c>
      <c r="AA24">
        <v>2102.4530195267785</v>
      </c>
      <c r="AB24">
        <v>2409.8120781071138</v>
      </c>
      <c r="AC24">
        <v>2717.1711366874492</v>
      </c>
      <c r="AD24" s="36"/>
      <c r="AE24" s="37"/>
      <c r="AF24" s="38"/>
      <c r="AG24" s="38"/>
      <c r="AJ24" s="32"/>
      <c r="AL24" s="32"/>
    </row>
    <row r="25" spans="1:43" ht="17" thickBot="1" x14ac:dyDescent="0.25">
      <c r="B25" s="21" t="s">
        <v>43</v>
      </c>
      <c r="C25" s="32">
        <v>2.95</v>
      </c>
      <c r="D25" s="26">
        <f t="shared" si="24"/>
        <v>4.7149999999999999</v>
      </c>
      <c r="E25" s="34">
        <f t="shared" si="25"/>
        <v>2.7011566771819134E-2</v>
      </c>
      <c r="F25" s="35">
        <f t="shared" si="26"/>
        <v>190.70166140904306</v>
      </c>
      <c r="G25" s="36">
        <v>1000</v>
      </c>
      <c r="H25" s="37">
        <f t="shared" si="27"/>
        <v>190701.66140904307</v>
      </c>
      <c r="I25" s="40">
        <f>I23/1000</f>
        <v>159.00808973010862</v>
      </c>
      <c r="J25" s="38">
        <f>J23/1000</f>
        <v>21.404193067102195</v>
      </c>
      <c r="K25" s="33"/>
      <c r="L25" s="21"/>
      <c r="M25" s="32"/>
      <c r="N25" s="26"/>
      <c r="O25" s="34"/>
      <c r="P25" s="35"/>
      <c r="Q25" s="36"/>
      <c r="R25" s="37"/>
      <c r="S25" s="38"/>
      <c r="T25" s="33"/>
      <c r="U25" s="33"/>
      <c r="V25" s="33"/>
      <c r="W25" s="9"/>
      <c r="X25" s="9"/>
      <c r="Y25" s="9"/>
      <c r="AA25">
        <v>2031.713678339619</v>
      </c>
      <c r="AB25">
        <v>2126.8547133584771</v>
      </c>
      <c r="AC25">
        <v>2221.9957483773346</v>
      </c>
      <c r="AJ25" s="9"/>
      <c r="AL25" s="9"/>
    </row>
    <row r="26" spans="1:43" x14ac:dyDescent="0.2">
      <c r="A26" s="33"/>
      <c r="B26" s="21" t="s">
        <v>43</v>
      </c>
      <c r="C26" s="32">
        <v>2.17</v>
      </c>
      <c r="D26" s="26">
        <f t="shared" si="24"/>
        <v>4.7149999999999999</v>
      </c>
      <c r="E26" s="34">
        <f t="shared" si="25"/>
        <v>2.7011566771819134E-2</v>
      </c>
      <c r="F26" s="35">
        <f t="shared" si="26"/>
        <v>274.97774973711876</v>
      </c>
      <c r="G26" s="36">
        <v>1000</v>
      </c>
      <c r="H26" s="37">
        <f t="shared" si="27"/>
        <v>274977.74973711878</v>
      </c>
      <c r="I26" s="38"/>
      <c r="J26" s="38"/>
      <c r="K26" s="33"/>
      <c r="L26" s="21"/>
      <c r="M26" s="32"/>
      <c r="N26" s="26"/>
      <c r="O26" s="34"/>
      <c r="P26" s="35"/>
      <c r="Q26" s="36"/>
      <c r="R26" s="37"/>
      <c r="S26" s="38"/>
      <c r="T26" s="33"/>
      <c r="U26" s="33"/>
      <c r="V26" s="33"/>
      <c r="W26" s="9"/>
      <c r="X26" s="9"/>
      <c r="Y26" s="9"/>
      <c r="AJ26" s="9"/>
      <c r="AL26" s="9"/>
    </row>
    <row r="27" spans="1:43" x14ac:dyDescent="0.2">
      <c r="A27" s="33"/>
      <c r="B27" s="21" t="s">
        <v>43</v>
      </c>
      <c r="C27" s="32">
        <v>3.26</v>
      </c>
      <c r="D27" s="26">
        <f t="shared" si="24"/>
        <v>4.7149999999999999</v>
      </c>
      <c r="E27" s="34">
        <f t="shared" si="25"/>
        <v>2.7011566771819134E-2</v>
      </c>
      <c r="F27" s="35">
        <f t="shared" si="26"/>
        <v>157.20731861198738</v>
      </c>
      <c r="G27" s="36">
        <v>1000</v>
      </c>
      <c r="H27" s="37">
        <f t="shared" si="27"/>
        <v>157207.31861198737</v>
      </c>
      <c r="I27" s="38"/>
      <c r="J27" s="38"/>
      <c r="K27" s="33"/>
      <c r="L27" s="21"/>
      <c r="M27" s="32"/>
      <c r="N27" s="26"/>
      <c r="O27" s="34"/>
      <c r="P27" s="35"/>
      <c r="Q27" s="36"/>
      <c r="R27" s="37"/>
      <c r="S27" s="38"/>
      <c r="T27" s="41"/>
      <c r="U27" s="41"/>
      <c r="V27" s="41"/>
      <c r="W27" s="32">
        <f>(($T7*V7)+($T14*36))/(V15+V7)</f>
        <v>2102.4530195267785</v>
      </c>
      <c r="X27" s="32">
        <f t="shared" ref="X27:Y27" si="30">(($T7*W7)+($T14*36))/(W15+W7)</f>
        <v>2409.8120781071138</v>
      </c>
      <c r="Y27" s="32">
        <f t="shared" si="30"/>
        <v>2717.1711366874492</v>
      </c>
      <c r="AJ27" t="s">
        <v>61</v>
      </c>
    </row>
    <row r="28" spans="1:43" ht="17" x14ac:dyDescent="0.2">
      <c r="B28" s="21" t="s">
        <v>44</v>
      </c>
      <c r="C28" s="32">
        <v>3.07</v>
      </c>
      <c r="D28" s="26">
        <f t="shared" si="24"/>
        <v>4.7149999999999999</v>
      </c>
      <c r="E28" s="34">
        <f t="shared" si="25"/>
        <v>2.7011566771819134E-2</v>
      </c>
      <c r="F28" s="35">
        <f t="shared" si="26"/>
        <v>177.73610935856991</v>
      </c>
      <c r="G28" s="36">
        <v>1000</v>
      </c>
      <c r="H28" s="37">
        <f t="shared" si="27"/>
        <v>177736.1093585699</v>
      </c>
      <c r="I28" s="38"/>
      <c r="J28" s="39"/>
      <c r="K28" s="33"/>
      <c r="L28" s="21"/>
      <c r="M28" s="32"/>
      <c r="N28" s="26"/>
      <c r="O28" s="34"/>
      <c r="P28" s="35"/>
      <c r="Q28" s="36"/>
      <c r="R28" s="37"/>
      <c r="S28" s="38"/>
      <c r="T28" s="41"/>
      <c r="U28" s="41"/>
      <c r="V28" s="41"/>
      <c r="W28" s="9"/>
      <c r="X28" s="9"/>
      <c r="Y28" s="9"/>
      <c r="AI28" t="s">
        <v>80</v>
      </c>
      <c r="AJ28" s="1" t="s">
        <v>57</v>
      </c>
      <c r="AK28" s="1" t="s">
        <v>55</v>
      </c>
      <c r="AL28" s="1" t="s">
        <v>56</v>
      </c>
      <c r="AN28" t="s">
        <v>80</v>
      </c>
      <c r="AO28" t="s">
        <v>57</v>
      </c>
      <c r="AP28" t="s">
        <v>55</v>
      </c>
      <c r="AQ28" t="s">
        <v>56</v>
      </c>
    </row>
    <row r="29" spans="1:43" x14ac:dyDescent="0.2">
      <c r="A29" s="33"/>
      <c r="B29" s="21" t="s">
        <v>44</v>
      </c>
      <c r="C29" s="32">
        <v>3.27</v>
      </c>
      <c r="D29" s="26">
        <f t="shared" si="24"/>
        <v>4.7149999999999999</v>
      </c>
      <c r="E29" s="34">
        <f t="shared" si="25"/>
        <v>2.7011566771819134E-2</v>
      </c>
      <c r="F29" s="35">
        <f t="shared" si="26"/>
        <v>156.12685594111457</v>
      </c>
      <c r="G29" s="36">
        <v>1000</v>
      </c>
      <c r="H29" s="37">
        <f t="shared" si="27"/>
        <v>156126.85594111457</v>
      </c>
      <c r="I29" s="38"/>
      <c r="J29" s="38"/>
      <c r="K29" s="33"/>
      <c r="L29" s="21"/>
      <c r="M29" s="32"/>
      <c r="N29" s="26"/>
      <c r="O29" s="34"/>
      <c r="P29" s="35"/>
      <c r="Q29" s="36"/>
      <c r="R29" s="37"/>
      <c r="S29" s="38"/>
      <c r="T29" s="33"/>
      <c r="U29" s="33"/>
      <c r="V29" s="33"/>
      <c r="W29" s="9"/>
      <c r="X29" s="9"/>
      <c r="Y29" s="9"/>
      <c r="AJ29" s="32">
        <f>(($C73*$V4)+($C76*36))/($V14+$V4)</f>
        <v>49931.772002135534</v>
      </c>
      <c r="AK29" s="32">
        <f>(($C73*$W4)+($C76*36))/($W14+$W4)</f>
        <v>198827.08800854211</v>
      </c>
      <c r="AL29" s="32">
        <f>(($C73*$X4)+($C76*36))/($X14+$X4)</f>
        <v>347722.40401494864</v>
      </c>
      <c r="AN29">
        <v>2</v>
      </c>
      <c r="AO29">
        <v>49931.772002135534</v>
      </c>
      <c r="AP29">
        <v>198827.08800854211</v>
      </c>
      <c r="AQ29">
        <v>347722.40401494864</v>
      </c>
    </row>
    <row r="30" spans="1:43" x14ac:dyDescent="0.2">
      <c r="A30" s="7"/>
      <c r="B30" s="21" t="s">
        <v>44</v>
      </c>
      <c r="C30" s="32">
        <v>2.76</v>
      </c>
      <c r="D30" s="26">
        <f t="shared" si="24"/>
        <v>4.7149999999999999</v>
      </c>
      <c r="E30" s="34">
        <f t="shared" si="25"/>
        <v>2.7011566771819134E-2</v>
      </c>
      <c r="F30" s="35">
        <f t="shared" si="26"/>
        <v>211.23045215562564</v>
      </c>
      <c r="G30" s="36">
        <v>1000</v>
      </c>
      <c r="H30" s="37">
        <f t="shared" si="27"/>
        <v>211230.45215562565</v>
      </c>
      <c r="T30" s="33"/>
      <c r="U30" s="33"/>
      <c r="V30" s="33"/>
      <c r="W30" s="32">
        <f>(($T10*V10)+($T14*36))/(V16+V10)</f>
        <v>2031.713678339619</v>
      </c>
      <c r="X30" s="32">
        <f t="shared" ref="X30:Y30" si="31">(($T10*W10)+($T14*36))/(W16+W10)</f>
        <v>2126.8547133584771</v>
      </c>
      <c r="Y30" s="32">
        <f t="shared" si="31"/>
        <v>2221.9957483773346</v>
      </c>
      <c r="AJ30" s="9"/>
      <c r="AK30" s="9"/>
      <c r="AL30" s="9"/>
      <c r="AN30">
        <v>3</v>
      </c>
      <c r="AO30">
        <v>469642.67471635767</v>
      </c>
      <c r="AP30">
        <v>1877670.6988654307</v>
      </c>
      <c r="AQ30">
        <v>3285698.7230145033</v>
      </c>
    </row>
    <row r="31" spans="1:43" x14ac:dyDescent="0.2">
      <c r="A31" s="7"/>
      <c r="B31" s="21"/>
      <c r="D31" s="26"/>
      <c r="E31" s="34"/>
      <c r="T31" s="41"/>
      <c r="U31" s="41"/>
      <c r="V31" s="41"/>
      <c r="AJ31" s="9"/>
      <c r="AK31" s="9"/>
      <c r="AL31" s="9"/>
      <c r="AN31">
        <v>4</v>
      </c>
      <c r="AO31">
        <v>240266.83276978548</v>
      </c>
      <c r="AP31">
        <v>960167.33107914194</v>
      </c>
      <c r="AQ31">
        <v>1680067.8293884983</v>
      </c>
    </row>
    <row r="32" spans="1:43" x14ac:dyDescent="0.2">
      <c r="A32" s="11" t="s">
        <v>40</v>
      </c>
      <c r="B32" s="19" t="s">
        <v>27</v>
      </c>
      <c r="C32" s="20">
        <v>5.58</v>
      </c>
      <c r="D32" s="21" t="s">
        <v>28</v>
      </c>
      <c r="E32" s="22" t="s">
        <v>29</v>
      </c>
      <c r="F32" s="23">
        <v>5.6</v>
      </c>
      <c r="G32" s="22" t="s">
        <v>30</v>
      </c>
      <c r="H32" s="22" t="s">
        <v>31</v>
      </c>
      <c r="I32" s="21"/>
      <c r="J32" s="24"/>
      <c r="AJ32" s="32">
        <f>(($C74*$V7)+($C76*36))/($V15+$V7)</f>
        <v>469642.67471635767</v>
      </c>
      <c r="AK32" s="32">
        <f>(($C74*$W7)+($C76*36))/($W15+$W7)</f>
        <v>1877670.6988654307</v>
      </c>
      <c r="AL32" s="32">
        <f>(($C74*$X7)+($C76*36))/($X15+$X7)</f>
        <v>3285698.7230145033</v>
      </c>
      <c r="AM32" t="s">
        <v>81</v>
      </c>
      <c r="AO32">
        <v>40675.662768667476</v>
      </c>
      <c r="AP32">
        <v>162702.65107466988</v>
      </c>
      <c r="AQ32">
        <v>284729.63938067225</v>
      </c>
    </row>
    <row r="33" spans="1:43" x14ac:dyDescent="0.2">
      <c r="A33" s="25"/>
      <c r="B33" s="22" t="s">
        <v>32</v>
      </c>
      <c r="C33" s="23">
        <v>5.66</v>
      </c>
      <c r="D33" s="26">
        <f>AVERAGE(C32:C33)</f>
        <v>5.62</v>
      </c>
      <c r="E33" s="22" t="s">
        <v>33</v>
      </c>
      <c r="F33" s="23">
        <v>5.53</v>
      </c>
      <c r="G33" s="27">
        <f>(F32+F33)/2</f>
        <v>5.5649999999999995</v>
      </c>
      <c r="H33" s="28">
        <f>(3.8*0.0338)/G33</f>
        <v>2.3079964061096133E-2</v>
      </c>
      <c r="I33" s="22"/>
      <c r="J33" s="24"/>
      <c r="AJ33" s="9"/>
      <c r="AK33" s="9"/>
      <c r="AL33" s="9"/>
      <c r="AO33">
        <v>258073.76392376923</v>
      </c>
      <c r="AP33">
        <v>1032295.0556950769</v>
      </c>
      <c r="AQ33">
        <v>1806516.3474663845</v>
      </c>
    </row>
    <row r="34" spans="1:43" ht="20" customHeight="1" x14ac:dyDescent="0.2">
      <c r="A34" s="29"/>
      <c r="B34" s="25"/>
      <c r="C34" s="25" t="s">
        <v>34</v>
      </c>
      <c r="D34" s="22" t="s">
        <v>35</v>
      </c>
      <c r="E34" s="30" t="s">
        <v>31</v>
      </c>
      <c r="F34" s="31" t="s">
        <v>36</v>
      </c>
      <c r="G34" s="22" t="s">
        <v>37</v>
      </c>
      <c r="H34" s="27" t="s">
        <v>38</v>
      </c>
      <c r="I34" s="33" t="s">
        <v>45</v>
      </c>
      <c r="J34" s="32" t="s">
        <v>39</v>
      </c>
      <c r="AJ34" s="9"/>
      <c r="AK34" s="9"/>
      <c r="AL34" s="9"/>
      <c r="AO34">
        <v>202703.26072073291</v>
      </c>
      <c r="AP34">
        <v>810813.04288293165</v>
      </c>
      <c r="AQ34">
        <v>1418922.8250451302</v>
      </c>
    </row>
    <row r="35" spans="1:43" ht="17" thickBot="1" x14ac:dyDescent="0.25">
      <c r="A35" s="33" t="s">
        <v>45</v>
      </c>
      <c r="B35" s="21" t="s">
        <v>46</v>
      </c>
      <c r="C35" s="32">
        <v>2.84</v>
      </c>
      <c r="D35" s="26">
        <f>$D$33</f>
        <v>5.62</v>
      </c>
      <c r="E35" s="34">
        <f>$H$33</f>
        <v>2.3079964061096133E-2</v>
      </c>
      <c r="F35" s="35">
        <f>(D35-C35)*E35*4000</f>
        <v>256.64920035938906</v>
      </c>
      <c r="G35" s="36">
        <v>100</v>
      </c>
      <c r="H35" s="37">
        <f>F35*G35</f>
        <v>25664.920035938907</v>
      </c>
      <c r="I35" t="s">
        <v>53</v>
      </c>
      <c r="AJ35" s="32">
        <f>(($C75*$V10)+($C76*36))/($V16+$V10)</f>
        <v>240266.83276978548</v>
      </c>
      <c r="AK35" s="32">
        <f>(($C75*$W10)+($C76*36))/($W16+$W10)</f>
        <v>960167.33107914194</v>
      </c>
      <c r="AL35" s="32">
        <f>(($C75*$X10)+($C76*36))/($X16+$X10)</f>
        <v>1680067.8293884983</v>
      </c>
      <c r="AN35" t="s">
        <v>82</v>
      </c>
      <c r="AO35">
        <v>102160.56248817024</v>
      </c>
      <c r="AP35">
        <v>105642.24995268096</v>
      </c>
      <c r="AQ35">
        <v>109123.93741719166</v>
      </c>
    </row>
    <row r="36" spans="1:43" ht="17" thickBot="1" x14ac:dyDescent="0.25">
      <c r="A36" s="33"/>
      <c r="B36" s="21" t="s">
        <v>46</v>
      </c>
      <c r="C36" s="32">
        <v>2.44</v>
      </c>
      <c r="D36" s="26">
        <f t="shared" ref="D36:D43" si="32">$D$33</f>
        <v>5.62</v>
      </c>
      <c r="E36" s="34">
        <f t="shared" ref="E36:E43" si="33">$H$33</f>
        <v>2.3079964061096133E-2</v>
      </c>
      <c r="F36" s="35">
        <f t="shared" ref="F36:F43" si="34">(D36-C36)*E36*4000</f>
        <v>293.5771428571428</v>
      </c>
      <c r="G36" s="36">
        <v>100</v>
      </c>
      <c r="H36" s="37">
        <f t="shared" ref="H36:H43" si="35">F36*G36</f>
        <v>29357.714285714279</v>
      </c>
      <c r="I36" s="40">
        <f>AVERAGE(H35:H43)</f>
        <v>28465.289008685235</v>
      </c>
      <c r="J36" s="39">
        <f>STDEV(H35:H43)/SQRT(9)</f>
        <v>650.43835894704466</v>
      </c>
      <c r="L36" s="6"/>
      <c r="M36" s="8"/>
      <c r="AO36">
        <v>127335.81828256769</v>
      </c>
      <c r="AP36">
        <v>206343.27313027071</v>
      </c>
      <c r="AQ36">
        <v>285350.7279779737</v>
      </c>
    </row>
    <row r="37" spans="1:43" ht="17" thickBot="1" x14ac:dyDescent="0.25">
      <c r="A37" s="33"/>
      <c r="B37" s="21" t="s">
        <v>46</v>
      </c>
      <c r="C37" s="32">
        <v>2.86</v>
      </c>
      <c r="D37" s="26">
        <f t="shared" si="32"/>
        <v>5.62</v>
      </c>
      <c r="E37" s="34">
        <f t="shared" si="33"/>
        <v>2.3079964061096133E-2</v>
      </c>
      <c r="F37" s="35">
        <f t="shared" si="34"/>
        <v>254.80280323450134</v>
      </c>
      <c r="G37" s="36">
        <v>100</v>
      </c>
      <c r="H37" s="37">
        <f t="shared" si="35"/>
        <v>25480.280323450133</v>
      </c>
      <c r="I37" s="38" t="s">
        <v>54</v>
      </c>
      <c r="AO37">
        <v>153494.06607165473</v>
      </c>
      <c r="AP37">
        <v>310976.26428661891</v>
      </c>
      <c r="AQ37">
        <v>468458.46250158298</v>
      </c>
    </row>
    <row r="38" spans="1:43" ht="17" thickBot="1" x14ac:dyDescent="0.25">
      <c r="B38" s="21" t="s">
        <v>47</v>
      </c>
      <c r="C38" s="32">
        <v>2.46</v>
      </c>
      <c r="D38" s="26">
        <f t="shared" si="32"/>
        <v>5.62</v>
      </c>
      <c r="E38" s="34">
        <f t="shared" si="33"/>
        <v>2.3079964061096133E-2</v>
      </c>
      <c r="F38" s="35">
        <f t="shared" si="34"/>
        <v>291.73074573225517</v>
      </c>
      <c r="G38" s="36">
        <v>100</v>
      </c>
      <c r="H38" s="37">
        <f t="shared" si="35"/>
        <v>29173.074573225516</v>
      </c>
      <c r="I38" s="40">
        <f>I36/1000</f>
        <v>28.465289008685236</v>
      </c>
      <c r="J38" s="38">
        <f>J36/1000</f>
        <v>0.65043835894704471</v>
      </c>
      <c r="N38" s="9"/>
      <c r="AJ38" t="s">
        <v>61</v>
      </c>
    </row>
    <row r="39" spans="1:43" ht="17" x14ac:dyDescent="0.2">
      <c r="A39" s="33"/>
      <c r="B39" s="21" t="s">
        <v>47</v>
      </c>
      <c r="C39" s="32">
        <v>2.65</v>
      </c>
      <c r="D39" s="26">
        <f t="shared" si="32"/>
        <v>5.62</v>
      </c>
      <c r="E39" s="34">
        <f t="shared" si="33"/>
        <v>2.3079964061096133E-2</v>
      </c>
      <c r="F39" s="35">
        <f t="shared" si="34"/>
        <v>274.18997304582211</v>
      </c>
      <c r="G39" s="36">
        <v>100</v>
      </c>
      <c r="H39" s="37">
        <f t="shared" si="35"/>
        <v>27418.997304582212</v>
      </c>
      <c r="I39" s="38"/>
      <c r="J39" s="38"/>
      <c r="N39" s="9"/>
      <c r="AI39" t="s">
        <v>81</v>
      </c>
      <c r="AJ39" s="1" t="s">
        <v>57</v>
      </c>
      <c r="AK39" s="1" t="s">
        <v>55</v>
      </c>
      <c r="AL39" s="1" t="s">
        <v>56</v>
      </c>
      <c r="AN39" t="s">
        <v>81</v>
      </c>
    </row>
    <row r="40" spans="1:43" x14ac:dyDescent="0.2">
      <c r="A40" s="33"/>
      <c r="B40" s="21" t="s">
        <v>47</v>
      </c>
      <c r="C40" s="32">
        <v>2.48</v>
      </c>
      <c r="D40" s="26">
        <f t="shared" si="32"/>
        <v>5.62</v>
      </c>
      <c r="E40" s="34">
        <f t="shared" si="33"/>
        <v>2.3079964061096133E-2</v>
      </c>
      <c r="F40" s="35">
        <f t="shared" si="34"/>
        <v>289.88434860736743</v>
      </c>
      <c r="G40" s="36">
        <v>100</v>
      </c>
      <c r="H40" s="37">
        <f t="shared" si="35"/>
        <v>28988.434860736743</v>
      </c>
      <c r="I40" s="38"/>
      <c r="J40" s="38"/>
      <c r="AJ40" s="32">
        <f>(($E73*V4)+($E76*36))/(V14+V4)</f>
        <v>40675.662768667476</v>
      </c>
      <c r="AK40" s="32">
        <f t="shared" ref="AK40:AL40" si="36">(($E73*W4)+($E76*36))/(W14+W4)</f>
        <v>162702.65107466988</v>
      </c>
      <c r="AL40" s="32">
        <f t="shared" si="36"/>
        <v>284729.63938067225</v>
      </c>
    </row>
    <row r="41" spans="1:43" x14ac:dyDescent="0.2">
      <c r="B41" s="21" t="s">
        <v>48</v>
      </c>
      <c r="C41" s="32">
        <v>2.39</v>
      </c>
      <c r="D41" s="26">
        <f t="shared" si="32"/>
        <v>5.62</v>
      </c>
      <c r="E41" s="34">
        <f t="shared" si="33"/>
        <v>2.3079964061096133E-2</v>
      </c>
      <c r="F41" s="35">
        <f t="shared" si="34"/>
        <v>298.19313566936205</v>
      </c>
      <c r="G41" s="36">
        <v>100</v>
      </c>
      <c r="H41" s="37">
        <f t="shared" si="35"/>
        <v>29819.313566936205</v>
      </c>
      <c r="I41" s="38"/>
      <c r="J41" s="39"/>
      <c r="AJ41" s="9"/>
      <c r="AK41" s="9"/>
      <c r="AL41" s="9"/>
    </row>
    <row r="42" spans="1:43" x14ac:dyDescent="0.2">
      <c r="A42" s="33"/>
      <c r="B42" s="21" t="s">
        <v>48</v>
      </c>
      <c r="C42" s="32">
        <v>2.21</v>
      </c>
      <c r="D42" s="26">
        <f t="shared" si="32"/>
        <v>5.62</v>
      </c>
      <c r="E42" s="34">
        <f t="shared" si="33"/>
        <v>2.3079964061096133E-2</v>
      </c>
      <c r="F42" s="35">
        <f t="shared" si="34"/>
        <v>314.81070979335129</v>
      </c>
      <c r="G42" s="36">
        <v>100</v>
      </c>
      <c r="H42" s="37">
        <f t="shared" si="35"/>
        <v>31481.070979335131</v>
      </c>
      <c r="I42" s="38"/>
      <c r="J42" s="38"/>
      <c r="AJ42" s="9"/>
      <c r="AK42" s="9"/>
      <c r="AL42" s="9"/>
    </row>
    <row r="43" spans="1:43" x14ac:dyDescent="0.2">
      <c r="A43" s="7"/>
      <c r="B43" s="21" t="s">
        <v>48</v>
      </c>
      <c r="C43" s="32">
        <v>2.5</v>
      </c>
      <c r="D43" s="26">
        <f t="shared" si="32"/>
        <v>5.62</v>
      </c>
      <c r="E43" s="34">
        <f t="shared" si="33"/>
        <v>2.3079964061096133E-2</v>
      </c>
      <c r="F43" s="35">
        <f t="shared" si="34"/>
        <v>288.03795148247974</v>
      </c>
      <c r="G43" s="36">
        <v>100</v>
      </c>
      <c r="H43" s="37">
        <f t="shared" si="35"/>
        <v>28803.795148247973</v>
      </c>
      <c r="AJ43" s="32">
        <f>(($E74*V7)+($E76*36))/(V15+V7)</f>
        <v>258073.76392376923</v>
      </c>
      <c r="AK43" s="32">
        <f t="shared" ref="AK43:AL43" si="37">(($E74*W7)+($E76*36))/(W15+W7)</f>
        <v>1032295.0556950769</v>
      </c>
      <c r="AL43" s="32">
        <f t="shared" si="37"/>
        <v>1806516.3474663845</v>
      </c>
    </row>
    <row r="44" spans="1:43" x14ac:dyDescent="0.2">
      <c r="A44" s="7"/>
      <c r="B44" s="21"/>
      <c r="D44" s="26"/>
      <c r="E44" s="34"/>
      <c r="AJ44" s="9"/>
      <c r="AK44" s="9"/>
      <c r="AL44" s="9"/>
    </row>
    <row r="45" spans="1:43" x14ac:dyDescent="0.2">
      <c r="A45" s="11" t="s">
        <v>40</v>
      </c>
      <c r="B45" s="19" t="s">
        <v>27</v>
      </c>
      <c r="C45" s="20">
        <v>4.6100000000000003</v>
      </c>
      <c r="D45" s="21" t="s">
        <v>28</v>
      </c>
      <c r="E45" s="22" t="s">
        <v>29</v>
      </c>
      <c r="F45" s="23">
        <v>5.75</v>
      </c>
      <c r="G45" s="22" t="s">
        <v>30</v>
      </c>
      <c r="H45" s="22" t="s">
        <v>31</v>
      </c>
      <c r="I45" s="21"/>
      <c r="J45" s="24"/>
      <c r="AJ45" s="9"/>
      <c r="AK45" s="9"/>
      <c r="AL45" s="9"/>
    </row>
    <row r="46" spans="1:43" x14ac:dyDescent="0.2">
      <c r="A46" s="25"/>
      <c r="B46" s="22" t="s">
        <v>32</v>
      </c>
      <c r="C46" s="23">
        <v>4.71</v>
      </c>
      <c r="D46" s="26">
        <f>AVERAGE(C45:C46)</f>
        <v>4.66</v>
      </c>
      <c r="E46" s="22" t="s">
        <v>33</v>
      </c>
      <c r="F46" s="23">
        <v>5.7</v>
      </c>
      <c r="G46" s="27">
        <f>(F45+F46)/2</f>
        <v>5.7249999999999996</v>
      </c>
      <c r="H46" s="28">
        <f>(3.8*0.0338)/G46</f>
        <v>2.243493449781659E-2</v>
      </c>
      <c r="I46" s="22"/>
      <c r="J46" s="24"/>
      <c r="AJ46" s="32">
        <f>(($E75*V10)+($E76*36))/(V16+V10)</f>
        <v>202703.26072073291</v>
      </c>
      <c r="AK46" s="32">
        <f t="shared" ref="AK46:AL46" si="38">(($E75*W10)+($E76*36))/(W16+W10)</f>
        <v>810813.04288293165</v>
      </c>
      <c r="AL46" s="32">
        <f t="shared" si="38"/>
        <v>1418922.8250451302</v>
      </c>
    </row>
    <row r="47" spans="1:43" ht="34" x14ac:dyDescent="0.2">
      <c r="A47" s="29"/>
      <c r="B47" s="25"/>
      <c r="C47" s="25">
        <v>4.72</v>
      </c>
      <c r="D47" s="22" t="s">
        <v>35</v>
      </c>
      <c r="E47" s="30" t="s">
        <v>31</v>
      </c>
      <c r="F47" s="31" t="s">
        <v>36</v>
      </c>
      <c r="G47" s="22" t="s">
        <v>37</v>
      </c>
      <c r="H47" s="27" t="s">
        <v>38</v>
      </c>
      <c r="I47" s="33" t="s">
        <v>52</v>
      </c>
      <c r="J47" s="32" t="s">
        <v>39</v>
      </c>
    </row>
    <row r="48" spans="1:43" ht="17" thickBot="1" x14ac:dyDescent="0.25">
      <c r="A48" s="33" t="s">
        <v>52</v>
      </c>
      <c r="B48" s="21" t="s">
        <v>49</v>
      </c>
      <c r="C48" s="32">
        <v>2.27</v>
      </c>
      <c r="D48" s="26">
        <f>$D$46</f>
        <v>4.66</v>
      </c>
      <c r="E48" s="34">
        <f>$H$46</f>
        <v>2.243493449781659E-2</v>
      </c>
      <c r="F48" s="35">
        <f>(D48-C48)*E48*4000</f>
        <v>214.4779737991266</v>
      </c>
      <c r="G48" s="36">
        <v>100</v>
      </c>
      <c r="H48" s="37">
        <f>F48*G48</f>
        <v>21447.797379912659</v>
      </c>
      <c r="I48" t="s">
        <v>53</v>
      </c>
      <c r="AJ48" t="s">
        <v>61</v>
      </c>
      <c r="AO48" t="s">
        <v>61</v>
      </c>
    </row>
    <row r="49" spans="1:43" ht="18" thickBot="1" x14ac:dyDescent="0.25">
      <c r="A49" s="33"/>
      <c r="B49" s="21" t="s">
        <v>49</v>
      </c>
      <c r="C49" s="32">
        <v>2.48</v>
      </c>
      <c r="D49" s="26">
        <f t="shared" ref="D49:D56" si="39">$D$20</f>
        <v>4.7149999999999999</v>
      </c>
      <c r="E49" s="34">
        <f t="shared" ref="E49:E56" si="40">$H$46</f>
        <v>2.243493449781659E-2</v>
      </c>
      <c r="F49" s="35">
        <f t="shared" ref="F49:F56" si="41">(D49-C49)*E49*4000</f>
        <v>200.56831441048033</v>
      </c>
      <c r="G49" s="36">
        <v>100</v>
      </c>
      <c r="H49" s="37">
        <f t="shared" ref="H49:H56" si="42">F49*G49</f>
        <v>20056.831441048034</v>
      </c>
      <c r="I49" s="40">
        <f>AVERAGE(H48:H56)</f>
        <v>15953.731198447349</v>
      </c>
      <c r="J49" s="39">
        <f>STDEV(H48:H56)/SQRT(9)</f>
        <v>1222.4491632804952</v>
      </c>
      <c r="AI49" t="s">
        <v>82</v>
      </c>
      <c r="AJ49" s="1" t="s">
        <v>57</v>
      </c>
      <c r="AK49" s="1" t="s">
        <v>55</v>
      </c>
      <c r="AL49" s="1" t="s">
        <v>56</v>
      </c>
      <c r="AN49" t="s">
        <v>82</v>
      </c>
      <c r="AO49" t="s">
        <v>57</v>
      </c>
      <c r="AP49" t="s">
        <v>55</v>
      </c>
      <c r="AQ49" t="s">
        <v>56</v>
      </c>
    </row>
    <row r="50" spans="1:43" ht="17" thickBot="1" x14ac:dyDescent="0.25">
      <c r="A50" s="33"/>
      <c r="B50" s="21" t="s">
        <v>49</v>
      </c>
      <c r="C50" s="32">
        <v>2.52</v>
      </c>
      <c r="D50" s="26">
        <f t="shared" si="39"/>
        <v>4.7149999999999999</v>
      </c>
      <c r="E50" s="34">
        <f t="shared" si="40"/>
        <v>2.243493449781659E-2</v>
      </c>
      <c r="F50" s="35">
        <f t="shared" si="41"/>
        <v>196.97872489082965</v>
      </c>
      <c r="G50" s="36">
        <v>100</v>
      </c>
      <c r="H50" s="37">
        <f t="shared" si="42"/>
        <v>19697.872489082965</v>
      </c>
      <c r="I50" s="38" t="s">
        <v>54</v>
      </c>
      <c r="AJ50" s="32">
        <f>(($G73*V4)+($G76*36))/(V14+V4)</f>
        <v>102160.56248817024</v>
      </c>
      <c r="AK50" s="32">
        <f t="shared" ref="AK50:AL50" si="43">(($G73*W4)+($G76*36))/(W14+W4)</f>
        <v>105642.24995268096</v>
      </c>
      <c r="AL50" s="32">
        <f t="shared" si="43"/>
        <v>109123.93741719166</v>
      </c>
    </row>
    <row r="51" spans="1:43" ht="17" thickBot="1" x14ac:dyDescent="0.25">
      <c r="B51" s="21" t="s">
        <v>50</v>
      </c>
      <c r="C51" s="32">
        <v>3.11</v>
      </c>
      <c r="D51" s="26">
        <f t="shared" si="39"/>
        <v>4.7149999999999999</v>
      </c>
      <c r="E51" s="34">
        <f t="shared" si="40"/>
        <v>2.243493449781659E-2</v>
      </c>
      <c r="F51" s="35">
        <f t="shared" si="41"/>
        <v>144.03227947598251</v>
      </c>
      <c r="G51" s="36">
        <v>100</v>
      </c>
      <c r="H51" s="37">
        <f t="shared" si="42"/>
        <v>14403.22794759825</v>
      </c>
      <c r="I51" s="40">
        <f>I49/1000</f>
        <v>15.953731198447349</v>
      </c>
      <c r="J51" s="38">
        <f>J49/1000</f>
        <v>1.2224491632804952</v>
      </c>
      <c r="AJ51" s="9"/>
      <c r="AK51" s="9"/>
      <c r="AL51" s="9"/>
    </row>
    <row r="52" spans="1:43" x14ac:dyDescent="0.2">
      <c r="A52" s="33"/>
      <c r="B52" s="21" t="s">
        <v>50</v>
      </c>
      <c r="C52" s="32">
        <v>3.07</v>
      </c>
      <c r="D52" s="26">
        <f t="shared" si="39"/>
        <v>4.7149999999999999</v>
      </c>
      <c r="E52" s="34">
        <f t="shared" si="40"/>
        <v>2.243493449781659E-2</v>
      </c>
      <c r="F52" s="35">
        <f t="shared" si="41"/>
        <v>147.62186899563318</v>
      </c>
      <c r="G52" s="36">
        <v>100</v>
      </c>
      <c r="H52" s="37">
        <f t="shared" si="42"/>
        <v>14762.186899563318</v>
      </c>
      <c r="I52" s="38"/>
      <c r="J52" s="38"/>
      <c r="AJ52" s="9"/>
      <c r="AK52" s="9"/>
      <c r="AL52" s="9"/>
    </row>
    <row r="53" spans="1:43" x14ac:dyDescent="0.2">
      <c r="A53" s="33"/>
      <c r="B53" s="21" t="s">
        <v>50</v>
      </c>
      <c r="C53" s="32">
        <v>3.14</v>
      </c>
      <c r="D53" s="26">
        <f t="shared" si="39"/>
        <v>4.7149999999999999</v>
      </c>
      <c r="E53" s="34">
        <f t="shared" si="40"/>
        <v>2.243493449781659E-2</v>
      </c>
      <c r="F53" s="35">
        <f t="shared" si="41"/>
        <v>141.34008733624449</v>
      </c>
      <c r="G53" s="36">
        <v>100</v>
      </c>
      <c r="H53" s="37">
        <f t="shared" si="42"/>
        <v>14134.008733624449</v>
      </c>
      <c r="I53" s="38"/>
      <c r="J53" s="38"/>
      <c r="AJ53" s="32">
        <f>(($G74*V7)+($G76*36))/(V15+V7)</f>
        <v>127335.81828256769</v>
      </c>
      <c r="AK53" s="32">
        <f t="shared" ref="AK53:AL53" si="44">(($G74*W7)+($G76*36))/(W15+W7)</f>
        <v>206343.27313027071</v>
      </c>
      <c r="AL53" s="32">
        <f t="shared" si="44"/>
        <v>285350.7279779737</v>
      </c>
    </row>
    <row r="54" spans="1:43" x14ac:dyDescent="0.2">
      <c r="B54" s="21" t="s">
        <v>51</v>
      </c>
      <c r="C54" s="32">
        <v>3.08</v>
      </c>
      <c r="D54" s="26">
        <f t="shared" si="39"/>
        <v>4.7149999999999999</v>
      </c>
      <c r="E54" s="34">
        <f t="shared" si="40"/>
        <v>2.243493449781659E-2</v>
      </c>
      <c r="F54" s="35">
        <f t="shared" si="41"/>
        <v>146.72447161572046</v>
      </c>
      <c r="G54" s="36">
        <v>100</v>
      </c>
      <c r="H54" s="37">
        <f t="shared" si="42"/>
        <v>14672.447161572047</v>
      </c>
      <c r="I54" s="38"/>
      <c r="J54" s="39"/>
      <c r="AJ54" s="9"/>
      <c r="AK54" s="9"/>
      <c r="AL54" s="9"/>
    </row>
    <row r="55" spans="1:43" x14ac:dyDescent="0.2">
      <c r="A55" s="33"/>
      <c r="B55" s="21" t="s">
        <v>51</v>
      </c>
      <c r="C55" s="32">
        <v>3.6</v>
      </c>
      <c r="D55" s="26">
        <f t="shared" si="39"/>
        <v>4.7149999999999999</v>
      </c>
      <c r="E55" s="34">
        <f t="shared" si="40"/>
        <v>2.243493449781659E-2</v>
      </c>
      <c r="F55" s="35">
        <f t="shared" si="41"/>
        <v>100.05980786026197</v>
      </c>
      <c r="G55" s="36">
        <v>100</v>
      </c>
      <c r="H55" s="37">
        <f t="shared" si="42"/>
        <v>10005.980786026197</v>
      </c>
      <c r="I55" s="38"/>
      <c r="J55" s="38"/>
      <c r="AJ55" s="9"/>
      <c r="AK55" s="9"/>
      <c r="AL55" s="9"/>
    </row>
    <row r="56" spans="1:43" x14ac:dyDescent="0.2">
      <c r="A56" s="7"/>
      <c r="B56" s="21" t="s">
        <v>51</v>
      </c>
      <c r="C56" s="32">
        <v>3.11</v>
      </c>
      <c r="D56" s="26">
        <f t="shared" si="39"/>
        <v>4.7149999999999999</v>
      </c>
      <c r="E56" s="34">
        <f t="shared" si="40"/>
        <v>2.243493449781659E-2</v>
      </c>
      <c r="F56" s="35">
        <f t="shared" si="41"/>
        <v>144.03227947598251</v>
      </c>
      <c r="G56" s="36">
        <v>100</v>
      </c>
      <c r="H56" s="37">
        <f t="shared" si="42"/>
        <v>14403.22794759825</v>
      </c>
      <c r="AJ56" s="32">
        <f>(($G75*V10)+($G76*36))/(V16+V10)</f>
        <v>153494.06607165473</v>
      </c>
      <c r="AK56" s="32">
        <f t="shared" ref="AK56:AL56" si="45">(($G75*W10)+($G76*36))/(W16+W10)</f>
        <v>310976.26428661891</v>
      </c>
      <c r="AL56" s="32">
        <f t="shared" si="45"/>
        <v>468458.46250158298</v>
      </c>
    </row>
    <row r="57" spans="1:43" x14ac:dyDescent="0.2">
      <c r="A57" s="7"/>
      <c r="B57" s="21"/>
      <c r="D57" s="26"/>
      <c r="E57" s="34"/>
    </row>
    <row r="58" spans="1:43" x14ac:dyDescent="0.2">
      <c r="A58" s="7"/>
      <c r="B58" s="21"/>
      <c r="D58" s="26"/>
      <c r="E58" s="34"/>
    </row>
    <row r="59" spans="1:43" x14ac:dyDescent="0.2">
      <c r="A59" s="7"/>
      <c r="B59" s="21"/>
      <c r="D59" s="26"/>
      <c r="E59" s="34"/>
    </row>
    <row r="60" spans="1:43" x14ac:dyDescent="0.2">
      <c r="A60" s="7"/>
      <c r="B60" s="21"/>
      <c r="D60" s="26"/>
      <c r="E60" s="34"/>
    </row>
    <row r="61" spans="1:43" x14ac:dyDescent="0.2">
      <c r="A61" s="7"/>
      <c r="B61" s="21"/>
      <c r="D61" s="26"/>
      <c r="E61" s="34"/>
    </row>
    <row r="62" spans="1:43" x14ac:dyDescent="0.2">
      <c r="A62" s="7"/>
      <c r="B62" s="21"/>
      <c r="D62" s="26"/>
      <c r="E62" s="34"/>
    </row>
    <row r="63" spans="1:43" x14ac:dyDescent="0.2">
      <c r="A63" s="7"/>
      <c r="B63" s="21"/>
      <c r="D63" s="26"/>
      <c r="E63" s="34"/>
    </row>
    <row r="64" spans="1:43" x14ac:dyDescent="0.2">
      <c r="A64" s="7"/>
      <c r="B64" s="21"/>
      <c r="D64" s="26"/>
      <c r="E64" s="34"/>
    </row>
    <row r="65" spans="1:11" x14ac:dyDescent="0.2">
      <c r="A65" s="7"/>
      <c r="B65" s="21"/>
      <c r="D65" s="26"/>
      <c r="E65" s="34"/>
    </row>
    <row r="66" spans="1:11" x14ac:dyDescent="0.2">
      <c r="A66" s="7"/>
      <c r="B66" s="21"/>
      <c r="D66" s="26"/>
      <c r="E66" s="34"/>
    </row>
    <row r="67" spans="1:11" x14ac:dyDescent="0.2">
      <c r="A67" s="7"/>
      <c r="B67" s="21"/>
      <c r="D67" s="26"/>
      <c r="E67" s="34"/>
    </row>
    <row r="68" spans="1:11" x14ac:dyDescent="0.2">
      <c r="A68" s="7"/>
      <c r="B68" s="21"/>
      <c r="D68" s="26"/>
      <c r="E68" s="34"/>
    </row>
    <row r="69" spans="1:11" x14ac:dyDescent="0.2">
      <c r="A69" s="7"/>
      <c r="B69" s="21"/>
      <c r="D69" s="26"/>
      <c r="E69" s="34"/>
    </row>
    <row r="70" spans="1:11" x14ac:dyDescent="0.2">
      <c r="B70" s="2"/>
      <c r="C70" s="2" t="s">
        <v>79</v>
      </c>
      <c r="D70" s="2"/>
      <c r="E70" s="2"/>
      <c r="F70" s="7"/>
      <c r="G70" s="2"/>
      <c r="H70" s="2"/>
      <c r="I70" s="7"/>
      <c r="J70" s="4"/>
    </row>
    <row r="71" spans="1:11" x14ac:dyDescent="0.2">
      <c r="B71" s="13" t="s">
        <v>15</v>
      </c>
      <c r="C71" s="13"/>
      <c r="D71" s="13" t="s">
        <v>16</v>
      </c>
      <c r="E71" s="13"/>
      <c r="F71" s="13" t="s">
        <v>17</v>
      </c>
      <c r="G71" s="13"/>
      <c r="H71" s="2"/>
      <c r="I71" s="7"/>
      <c r="J71" s="4"/>
    </row>
    <row r="72" spans="1:11" x14ac:dyDescent="0.2">
      <c r="B72" s="13" t="s">
        <v>18</v>
      </c>
      <c r="C72" s="14"/>
      <c r="D72" s="13" t="s">
        <v>18</v>
      </c>
      <c r="E72" s="14"/>
      <c r="F72" s="13" t="s">
        <v>18</v>
      </c>
      <c r="G72" s="14"/>
      <c r="H72" s="2"/>
      <c r="I72" s="7"/>
      <c r="J72" s="4"/>
    </row>
    <row r="73" spans="1:11" x14ac:dyDescent="0.2">
      <c r="B73" s="13">
        <v>2</v>
      </c>
      <c r="C73" s="15">
        <v>3990000</v>
      </c>
      <c r="D73" s="13">
        <v>2</v>
      </c>
      <c r="E73" s="15">
        <v>3270000.0000000005</v>
      </c>
      <c r="F73" s="13">
        <v>2</v>
      </c>
      <c r="G73" s="15">
        <v>93300</v>
      </c>
      <c r="H73" s="2"/>
      <c r="I73" s="7"/>
      <c r="J73" s="4"/>
    </row>
    <row r="74" spans="1:11" x14ac:dyDescent="0.2">
      <c r="B74" s="13">
        <v>3</v>
      </c>
      <c r="C74" s="15">
        <v>8704000</v>
      </c>
      <c r="D74" s="13">
        <v>3</v>
      </c>
      <c r="E74" s="15">
        <v>4786000</v>
      </c>
      <c r="F74" s="13">
        <v>3</v>
      </c>
      <c r="G74" s="15">
        <v>488400</v>
      </c>
      <c r="H74" s="2"/>
    </row>
    <row r="75" spans="1:11" x14ac:dyDescent="0.2">
      <c r="B75" s="13">
        <v>4</v>
      </c>
      <c r="C75" s="15">
        <v>9080000</v>
      </c>
      <c r="D75" s="13">
        <v>4</v>
      </c>
      <c r="E75" s="15">
        <v>7670000</v>
      </c>
      <c r="F75" s="13">
        <v>4</v>
      </c>
      <c r="G75" s="15">
        <v>1986300</v>
      </c>
      <c r="I75" s="6"/>
      <c r="J75" s="6"/>
      <c r="K75" s="6"/>
    </row>
    <row r="76" spans="1:11" x14ac:dyDescent="0.2">
      <c r="B76" t="s">
        <v>20</v>
      </c>
      <c r="C76" s="15">
        <v>300</v>
      </c>
      <c r="D76" t="s">
        <v>20</v>
      </c>
      <c r="E76" s="15">
        <v>0</v>
      </c>
      <c r="F76" t="s">
        <v>20</v>
      </c>
      <c r="G76" s="15">
        <v>101000</v>
      </c>
      <c r="I76" s="2"/>
      <c r="J76" s="2"/>
    </row>
    <row r="77" spans="1:11" x14ac:dyDescent="0.2">
      <c r="A77" s="16"/>
      <c r="B77" s="16"/>
      <c r="C77" s="16"/>
      <c r="I77" s="2"/>
      <c r="J77" s="2"/>
    </row>
    <row r="78" spans="1:11" x14ac:dyDescent="0.2">
      <c r="B78" s="5"/>
      <c r="D78" s="1"/>
      <c r="I78" s="2"/>
      <c r="J78" s="2"/>
    </row>
    <row r="79" spans="1:11" x14ac:dyDescent="0.2">
      <c r="B79" s="2"/>
      <c r="C79" s="2"/>
      <c r="D79" s="7"/>
      <c r="E79" s="2"/>
    </row>
    <row r="80" spans="1:11" x14ac:dyDescent="0.2">
      <c r="B80" s="2"/>
      <c r="C80" s="2"/>
      <c r="D80" s="7"/>
      <c r="E80" s="2"/>
    </row>
    <row r="81" spans="2:6" x14ac:dyDescent="0.2">
      <c r="B81" s="2"/>
      <c r="C81" s="2"/>
      <c r="D81" s="7"/>
      <c r="E81" s="2"/>
    </row>
    <row r="82" spans="2:6" x14ac:dyDescent="0.2">
      <c r="B82" s="2"/>
      <c r="C82" s="2"/>
      <c r="D82" s="7"/>
      <c r="E82" s="2"/>
    </row>
    <row r="83" spans="2:6" x14ac:dyDescent="0.2">
      <c r="B83" s="2"/>
      <c r="C83" s="2"/>
      <c r="D83" s="7"/>
      <c r="E83" s="2"/>
    </row>
    <row r="84" spans="2:6" x14ac:dyDescent="0.2">
      <c r="B84" s="2"/>
      <c r="C84" s="2"/>
      <c r="D84" s="7"/>
      <c r="E84" s="2"/>
    </row>
    <row r="86" spans="2:6" x14ac:dyDescent="0.2">
      <c r="D86" s="2"/>
    </row>
    <row r="87" spans="2:6" x14ac:dyDescent="0.2">
      <c r="D87" s="2"/>
    </row>
    <row r="88" spans="2:6" x14ac:dyDescent="0.2">
      <c r="F88" s="2"/>
    </row>
  </sheetData>
  <mergeCells count="38">
    <mergeCell ref="F10:F12"/>
    <mergeCell ref="J10:J12"/>
    <mergeCell ref="N10:N12"/>
    <mergeCell ref="O10:O12"/>
    <mergeCell ref="A1:O1"/>
    <mergeCell ref="A2:O2"/>
    <mergeCell ref="F4:F6"/>
    <mergeCell ref="J4:J6"/>
    <mergeCell ref="N4:N6"/>
    <mergeCell ref="O4:O6"/>
    <mergeCell ref="Q4:Q6"/>
    <mergeCell ref="Q7:Q9"/>
    <mergeCell ref="Q10:Q12"/>
    <mergeCell ref="F14:F16"/>
    <mergeCell ref="J14:J16"/>
    <mergeCell ref="N14:N16"/>
    <mergeCell ref="O14:O16"/>
    <mergeCell ref="Q14:Q16"/>
    <mergeCell ref="P10:P12"/>
    <mergeCell ref="P14:P16"/>
    <mergeCell ref="P4:P6"/>
    <mergeCell ref="F7:F9"/>
    <mergeCell ref="J7:J9"/>
    <mergeCell ref="N7:N9"/>
    <mergeCell ref="O7:O9"/>
    <mergeCell ref="P7:P9"/>
    <mergeCell ref="R14:R16"/>
    <mergeCell ref="S14:S16"/>
    <mergeCell ref="S10:S12"/>
    <mergeCell ref="T4:T6"/>
    <mergeCell ref="T7:T9"/>
    <mergeCell ref="T10:T12"/>
    <mergeCell ref="T14:T16"/>
    <mergeCell ref="R4:R6"/>
    <mergeCell ref="S4:S6"/>
    <mergeCell ref="R7:R9"/>
    <mergeCell ref="S7:S9"/>
    <mergeCell ref="R10:R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2D8F-8AAC-DB40-8C36-6BA9CEC30C6C}">
  <dimension ref="A1:M13"/>
  <sheetViews>
    <sheetView tabSelected="1" workbookViewId="0">
      <selection activeCell="A4" sqref="A4"/>
    </sheetView>
  </sheetViews>
  <sheetFormatPr baseColWidth="10" defaultRowHeight="16" x14ac:dyDescent="0.2"/>
  <sheetData>
    <row r="1" spans="1:13" x14ac:dyDescent="0.2">
      <c r="A1" t="s">
        <v>74</v>
      </c>
    </row>
    <row r="2" spans="1:13" x14ac:dyDescent="0.2">
      <c r="A2" t="s">
        <v>83</v>
      </c>
    </row>
    <row r="3" spans="1:13" x14ac:dyDescent="0.2">
      <c r="A3" t="s">
        <v>86</v>
      </c>
    </row>
    <row r="4" spans="1:13" x14ac:dyDescent="0.2">
      <c r="A4" t="s">
        <v>65</v>
      </c>
      <c r="B4" t="s">
        <v>76</v>
      </c>
      <c r="C4" t="s">
        <v>73</v>
      </c>
      <c r="D4" t="s">
        <v>69</v>
      </c>
      <c r="E4" t="s">
        <v>70</v>
      </c>
      <c r="F4" t="s">
        <v>19</v>
      </c>
      <c r="G4" t="s">
        <v>77</v>
      </c>
      <c r="H4" t="s">
        <v>71</v>
      </c>
      <c r="I4" t="s">
        <v>6</v>
      </c>
      <c r="J4" t="s">
        <v>7</v>
      </c>
      <c r="K4" t="s">
        <v>15</v>
      </c>
      <c r="L4" t="s">
        <v>75</v>
      </c>
      <c r="M4" t="s">
        <v>72</v>
      </c>
    </row>
    <row r="5" spans="1:13" x14ac:dyDescent="0.2">
      <c r="A5" t="s">
        <v>66</v>
      </c>
      <c r="B5">
        <v>37</v>
      </c>
      <c r="C5">
        <v>0.5</v>
      </c>
      <c r="D5">
        <v>0</v>
      </c>
      <c r="E5" s="26">
        <v>2004.6024450227544</v>
      </c>
      <c r="F5">
        <v>7.97</v>
      </c>
      <c r="G5">
        <v>0</v>
      </c>
      <c r="H5" t="s">
        <v>85</v>
      </c>
      <c r="I5">
        <v>5.9410926826545722</v>
      </c>
      <c r="J5">
        <v>3.5526788019052518</v>
      </c>
      <c r="K5">
        <v>49931.772002135534</v>
      </c>
      <c r="L5">
        <v>40675.662768667476</v>
      </c>
      <c r="M5">
        <v>102160.56248817024</v>
      </c>
    </row>
    <row r="6" spans="1:13" x14ac:dyDescent="0.2">
      <c r="A6" t="s">
        <v>67</v>
      </c>
      <c r="B6">
        <v>37</v>
      </c>
      <c r="C6">
        <v>0.5</v>
      </c>
      <c r="D6">
        <v>0</v>
      </c>
      <c r="E6">
        <v>2102.4530195267785</v>
      </c>
      <c r="F6">
        <v>7.97</v>
      </c>
      <c r="G6">
        <v>0</v>
      </c>
      <c r="I6">
        <v>5.9974103730460344</v>
      </c>
      <c r="J6">
        <v>3.5526788019052518</v>
      </c>
      <c r="K6">
        <v>469642.67471635767</v>
      </c>
      <c r="L6">
        <v>258073.76392376923</v>
      </c>
      <c r="M6">
        <v>127335.81828256769</v>
      </c>
    </row>
    <row r="7" spans="1:13" x14ac:dyDescent="0.2">
      <c r="A7" s="42" t="s">
        <v>68</v>
      </c>
      <c r="B7">
        <v>37</v>
      </c>
      <c r="C7">
        <v>0.5</v>
      </c>
      <c r="D7">
        <v>0</v>
      </c>
      <c r="E7">
        <v>2031.713678339619</v>
      </c>
      <c r="F7">
        <v>7.97</v>
      </c>
      <c r="G7">
        <v>0</v>
      </c>
      <c r="I7">
        <v>5.9578663803430603</v>
      </c>
      <c r="J7">
        <v>3.5526788019052518</v>
      </c>
      <c r="K7">
        <v>240266.83276978548</v>
      </c>
      <c r="L7">
        <v>202703.26072073291</v>
      </c>
      <c r="M7">
        <v>153494.06607165473</v>
      </c>
    </row>
    <row r="8" spans="1:13" x14ac:dyDescent="0.2">
      <c r="A8" t="s">
        <v>66</v>
      </c>
      <c r="B8">
        <v>37</v>
      </c>
      <c r="C8">
        <v>2</v>
      </c>
      <c r="D8">
        <v>0</v>
      </c>
      <c r="E8" s="34">
        <v>2018.4097800910176</v>
      </c>
      <c r="F8">
        <v>7.97</v>
      </c>
      <c r="G8">
        <v>0</v>
      </c>
      <c r="I8">
        <v>7.0423205412648473</v>
      </c>
      <c r="J8">
        <v>4.6026788019052516</v>
      </c>
      <c r="K8">
        <v>198827.08800854211</v>
      </c>
      <c r="L8">
        <v>162702.65107466988</v>
      </c>
      <c r="M8">
        <v>105642.24995268096</v>
      </c>
    </row>
    <row r="9" spans="1:13" x14ac:dyDescent="0.2">
      <c r="A9" t="s">
        <v>67</v>
      </c>
      <c r="B9">
        <v>37</v>
      </c>
      <c r="C9">
        <v>2</v>
      </c>
      <c r="D9">
        <v>0</v>
      </c>
      <c r="E9">
        <v>2409.8120781071138</v>
      </c>
      <c r="F9">
        <v>7.97</v>
      </c>
      <c r="G9">
        <v>0</v>
      </c>
      <c r="I9">
        <v>7.3191562857132659</v>
      </c>
      <c r="J9">
        <v>4.6026788019052516</v>
      </c>
      <c r="K9">
        <v>1877670.6988654307</v>
      </c>
      <c r="L9">
        <v>1032295.0556950769</v>
      </c>
      <c r="M9">
        <v>206343.27313027071</v>
      </c>
    </row>
    <row r="10" spans="1:13" x14ac:dyDescent="0.2">
      <c r="A10" s="42" t="s">
        <v>68</v>
      </c>
      <c r="B10">
        <v>37</v>
      </c>
      <c r="C10">
        <v>2</v>
      </c>
      <c r="D10">
        <v>0</v>
      </c>
      <c r="E10">
        <v>2126.8547133584771</v>
      </c>
      <c r="F10">
        <v>7.97</v>
      </c>
      <c r="G10">
        <v>0</v>
      </c>
      <c r="I10">
        <v>7.1230974093355544</v>
      </c>
      <c r="J10">
        <v>4.6026788019052516</v>
      </c>
      <c r="K10">
        <v>960167.33107914194</v>
      </c>
      <c r="L10">
        <v>810813.04288293165</v>
      </c>
      <c r="M10">
        <v>310976.26428661891</v>
      </c>
    </row>
    <row r="11" spans="1:13" x14ac:dyDescent="0.2">
      <c r="A11" t="s">
        <v>66</v>
      </c>
      <c r="B11">
        <v>37</v>
      </c>
      <c r="C11" s="42">
        <v>3.5</v>
      </c>
      <c r="D11">
        <v>0</v>
      </c>
      <c r="E11" s="35">
        <v>2032.2171151592811</v>
      </c>
      <c r="F11">
        <v>7.97</v>
      </c>
      <c r="G11">
        <v>0</v>
      </c>
      <c r="I11" s="32">
        <v>8.1590256539532806</v>
      </c>
      <c r="J11">
        <v>5.6526788019052514</v>
      </c>
      <c r="K11">
        <v>347722.40401494864</v>
      </c>
      <c r="L11">
        <v>284729.63938067225</v>
      </c>
      <c r="M11">
        <v>109123.93741719166</v>
      </c>
    </row>
    <row r="12" spans="1:13" x14ac:dyDescent="0.2">
      <c r="A12" t="s">
        <v>67</v>
      </c>
      <c r="B12">
        <v>37</v>
      </c>
      <c r="C12" s="42">
        <v>3.5</v>
      </c>
      <c r="D12">
        <v>0</v>
      </c>
      <c r="E12">
        <v>2717.1711366874492</v>
      </c>
      <c r="F12">
        <v>7.97</v>
      </c>
      <c r="G12">
        <v>0</v>
      </c>
      <c r="I12" s="32">
        <v>8.7417149861139336</v>
      </c>
      <c r="J12">
        <v>5.6526788019052514</v>
      </c>
      <c r="K12">
        <v>3285698.7230145033</v>
      </c>
      <c r="L12">
        <v>1806516.3474663845</v>
      </c>
      <c r="M12">
        <v>285350.7279779737</v>
      </c>
    </row>
    <row r="13" spans="1:13" x14ac:dyDescent="0.2">
      <c r="A13" s="42" t="s">
        <v>68</v>
      </c>
      <c r="B13">
        <v>37</v>
      </c>
      <c r="C13" s="42">
        <v>3.5</v>
      </c>
      <c r="D13">
        <v>0</v>
      </c>
      <c r="E13">
        <v>2221.9957483773346</v>
      </c>
      <c r="F13">
        <v>7.97</v>
      </c>
      <c r="G13">
        <v>0</v>
      </c>
      <c r="I13" s="32">
        <v>8.3254063150872923</v>
      </c>
      <c r="J13">
        <v>5.6526788019052514</v>
      </c>
      <c r="K13">
        <v>1680067.8293884983</v>
      </c>
      <c r="L13">
        <v>1418922.8250451302</v>
      </c>
      <c r="M13">
        <v>468458.46250158298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Day TS&amp;VS</vt:lpstr>
      <vt:lpstr>day0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WATERS, NICHOLAS</cp:lastModifiedBy>
  <dcterms:created xsi:type="dcterms:W3CDTF">2016-07-28T14:41:56Z</dcterms:created>
  <dcterms:modified xsi:type="dcterms:W3CDTF">2019-05-02T17:29:55Z</dcterms:modified>
</cp:coreProperties>
</file>