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/GitHub/SN_minitrials/data/clean/"/>
    </mc:Choice>
  </mc:AlternateContent>
  <xr:revisionPtr revIDLastSave="0" documentId="13_ncr:1_{A010B7A0-A98D-714E-9D3A-02BBD514287F}" xr6:coauthVersionLast="43" xr6:coauthVersionMax="43" xr10:uidLastSave="{00000000-0000-0000-0000-000000000000}"/>
  <bookViews>
    <workbookView xWindow="1000" yWindow="1120" windowWidth="23180" windowHeight="14480" tabRatio="500" activeTab="1" xr2:uid="{00000000-000D-0000-FFFF-FFFF00000000}"/>
  </bookViews>
  <sheets>
    <sheet name="First Day TS&amp;VS" sheetId="3" r:id="rId1"/>
    <sheet name="day0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7" i="3" l="1"/>
  <c r="G156" i="3"/>
  <c r="G155" i="3"/>
  <c r="G154" i="3"/>
  <c r="G153" i="3"/>
  <c r="G152" i="3"/>
  <c r="G151" i="3"/>
  <c r="G150" i="3"/>
  <c r="G149" i="3"/>
  <c r="H148" i="3"/>
  <c r="H147" i="3"/>
  <c r="H146" i="3"/>
  <c r="H145" i="3"/>
  <c r="H144" i="3"/>
  <c r="H143" i="3"/>
  <c r="H142" i="3"/>
  <c r="J142" i="3" s="1"/>
  <c r="H141" i="3"/>
  <c r="J145" i="3"/>
  <c r="J147" i="3"/>
  <c r="H140" i="3"/>
  <c r="N14" i="3"/>
  <c r="F148" i="3"/>
  <c r="F145" i="3"/>
  <c r="F142" i="3"/>
  <c r="F147" i="3"/>
  <c r="F144" i="3"/>
  <c r="J144" i="3" s="1"/>
  <c r="F141" i="3"/>
  <c r="J141" i="3" s="1"/>
  <c r="F146" i="3"/>
  <c r="F143" i="3"/>
  <c r="F140" i="3"/>
  <c r="G148" i="3"/>
  <c r="G147" i="3"/>
  <c r="G146" i="3"/>
  <c r="G145" i="3"/>
  <c r="G144" i="3"/>
  <c r="J143" i="3"/>
  <c r="G143" i="3"/>
  <c r="G142" i="3"/>
  <c r="G141" i="3"/>
  <c r="G140" i="3"/>
  <c r="J140" i="3" s="1"/>
  <c r="J148" i="3" l="1"/>
  <c r="J146" i="3"/>
  <c r="G139" i="3"/>
  <c r="J139" i="3" s="1"/>
  <c r="G138" i="3"/>
  <c r="J138" i="3" s="1"/>
  <c r="G137" i="3"/>
  <c r="J137" i="3" s="1"/>
  <c r="G136" i="3"/>
  <c r="J136" i="3" s="1"/>
  <c r="G135" i="3"/>
  <c r="J135" i="3" s="1"/>
  <c r="G134" i="3"/>
  <c r="J134" i="3" s="1"/>
  <c r="G133" i="3"/>
  <c r="J133" i="3" s="1"/>
  <c r="G132" i="3"/>
  <c r="J132" i="3" s="1"/>
  <c r="G131" i="3"/>
  <c r="J131" i="3" s="1"/>
  <c r="G130" i="3"/>
  <c r="J130" i="3" s="1"/>
  <c r="G129" i="3"/>
  <c r="J129" i="3" s="1"/>
  <c r="G128" i="3"/>
  <c r="J128" i="3" s="1"/>
  <c r="G127" i="3"/>
  <c r="J127" i="3" s="1"/>
  <c r="G126" i="3"/>
  <c r="J126" i="3" s="1"/>
  <c r="G125" i="3"/>
  <c r="J125" i="3" s="1"/>
  <c r="G124" i="3"/>
  <c r="J124" i="3" s="1"/>
  <c r="G123" i="3"/>
  <c r="J123" i="3" s="1"/>
  <c r="G122" i="3"/>
  <c r="J122" i="3" s="1"/>
  <c r="G121" i="3"/>
  <c r="J121" i="3" s="1"/>
  <c r="J120" i="3"/>
  <c r="G120" i="3"/>
  <c r="G119" i="3"/>
  <c r="J119" i="3" s="1"/>
  <c r="G118" i="3"/>
  <c r="J118" i="3" s="1"/>
  <c r="G117" i="3"/>
  <c r="J117" i="3" s="1"/>
  <c r="J116" i="3"/>
  <c r="G116" i="3"/>
  <c r="G115" i="3"/>
  <c r="J115" i="3" s="1"/>
  <c r="G114" i="3"/>
  <c r="J114" i="3" s="1"/>
  <c r="G113" i="3"/>
  <c r="J113" i="3" s="1"/>
  <c r="G112" i="3"/>
  <c r="J112" i="3"/>
  <c r="G111" i="3"/>
  <c r="J111" i="3"/>
  <c r="G110" i="3"/>
  <c r="J110" i="3"/>
  <c r="G109" i="3"/>
  <c r="J109" i="3"/>
  <c r="G108" i="3"/>
  <c r="J108" i="3"/>
  <c r="G107" i="3"/>
  <c r="J107" i="3" s="1"/>
  <c r="G106" i="3"/>
  <c r="J106" i="3"/>
  <c r="G105" i="3"/>
  <c r="J105" i="3"/>
  <c r="J104" i="3"/>
  <c r="G104" i="3"/>
  <c r="F103" i="3"/>
  <c r="F100" i="3"/>
  <c r="J100" i="3" s="1"/>
  <c r="F97" i="3"/>
  <c r="F102" i="3"/>
  <c r="J102" i="3" s="1"/>
  <c r="F99" i="3"/>
  <c r="F96" i="3"/>
  <c r="J96" i="3"/>
  <c r="F101" i="3"/>
  <c r="J101" i="3" s="1"/>
  <c r="F98" i="3"/>
  <c r="F95" i="3"/>
  <c r="G103" i="3"/>
  <c r="G102" i="3"/>
  <c r="G101" i="3"/>
  <c r="G100" i="3"/>
  <c r="G99" i="3"/>
  <c r="J99" i="3"/>
  <c r="G98" i="3"/>
  <c r="J98" i="3"/>
  <c r="G97" i="3"/>
  <c r="J97" i="3"/>
  <c r="G96" i="3"/>
  <c r="G95" i="3"/>
  <c r="F86" i="3"/>
  <c r="J87" i="3"/>
  <c r="J88" i="3"/>
  <c r="J89" i="3"/>
  <c r="J90" i="3"/>
  <c r="J91" i="3"/>
  <c r="J92" i="3"/>
  <c r="J93" i="3"/>
  <c r="J94" i="3"/>
  <c r="J86" i="3"/>
  <c r="G86" i="3"/>
  <c r="G87" i="3"/>
  <c r="G88" i="3"/>
  <c r="G89" i="3"/>
  <c r="G90" i="3"/>
  <c r="G91" i="3"/>
  <c r="G92" i="3"/>
  <c r="G93" i="3"/>
  <c r="G94" i="3"/>
  <c r="J103" i="3" l="1"/>
  <c r="J95" i="3"/>
  <c r="O33" i="3" l="1"/>
  <c r="O37" i="3" s="1"/>
  <c r="O58" i="3"/>
  <c r="O61" i="3" s="1"/>
  <c r="O46" i="3"/>
  <c r="O50" i="3" s="1"/>
  <c r="O48" i="3"/>
  <c r="R46" i="3"/>
  <c r="S46" i="3"/>
  <c r="P48" i="3" s="1"/>
  <c r="P49" i="3"/>
  <c r="R58" i="3"/>
  <c r="S58" i="3"/>
  <c r="R33" i="3"/>
  <c r="S33" i="3" s="1"/>
  <c r="R20" i="3"/>
  <c r="S20" i="3" s="1"/>
  <c r="O20" i="3"/>
  <c r="O25" i="3" s="1"/>
  <c r="D58" i="3"/>
  <c r="D60" i="3" s="1"/>
  <c r="G58" i="3"/>
  <c r="H58" i="3"/>
  <c r="P64" i="3" s="1"/>
  <c r="D46" i="3"/>
  <c r="D51" i="3" s="1"/>
  <c r="G46" i="3"/>
  <c r="H46" i="3"/>
  <c r="E55" i="3" s="1"/>
  <c r="D20" i="3"/>
  <c r="D22" i="3" s="1"/>
  <c r="G20" i="3"/>
  <c r="H20" i="3"/>
  <c r="E27" i="3" s="1"/>
  <c r="D15" i="3"/>
  <c r="H15" i="3"/>
  <c r="M15" i="3" s="1"/>
  <c r="I10" i="3"/>
  <c r="J10" i="3" s="1"/>
  <c r="D10" i="3"/>
  <c r="L10" i="3"/>
  <c r="I11" i="3"/>
  <c r="L11" i="3" s="1"/>
  <c r="D11" i="3"/>
  <c r="I12" i="3"/>
  <c r="D12" i="3"/>
  <c r="L12" i="3" s="1"/>
  <c r="I14" i="3"/>
  <c r="D14" i="3"/>
  <c r="I15" i="3"/>
  <c r="L15" i="3"/>
  <c r="I16" i="3"/>
  <c r="L16" i="3" s="1"/>
  <c r="D16" i="3"/>
  <c r="I7" i="3"/>
  <c r="D7" i="3"/>
  <c r="L7" i="3" s="1"/>
  <c r="I8" i="3"/>
  <c r="L8" i="3" s="1"/>
  <c r="D8" i="3"/>
  <c r="I9" i="3"/>
  <c r="D9" i="3"/>
  <c r="I4" i="3"/>
  <c r="D4" i="3"/>
  <c r="I5" i="3"/>
  <c r="D5" i="3"/>
  <c r="L5" i="3" s="1"/>
  <c r="I6" i="3"/>
  <c r="L6" i="3" s="1"/>
  <c r="D6" i="3"/>
  <c r="D33" i="3"/>
  <c r="D37" i="3" s="1"/>
  <c r="D35" i="3"/>
  <c r="G33" i="3"/>
  <c r="H33" i="3" s="1"/>
  <c r="T14" i="3"/>
  <c r="T7" i="3"/>
  <c r="T10" i="3"/>
  <c r="T4" i="3"/>
  <c r="H16" i="3"/>
  <c r="K16" i="3" s="1"/>
  <c r="H14" i="3"/>
  <c r="K14" i="3" s="1"/>
  <c r="F14" i="3"/>
  <c r="H10" i="3"/>
  <c r="K10" i="3" s="1"/>
  <c r="H11" i="3"/>
  <c r="K11" i="3"/>
  <c r="H12" i="3"/>
  <c r="M12" i="3" s="1"/>
  <c r="F10" i="3"/>
  <c r="F4" i="3"/>
  <c r="F7" i="3"/>
  <c r="H8" i="3"/>
  <c r="K8" i="3" s="1"/>
  <c r="H9" i="3"/>
  <c r="K9" i="3" s="1"/>
  <c r="H7" i="3"/>
  <c r="M7" i="3" s="1"/>
  <c r="H6" i="3"/>
  <c r="H5" i="3"/>
  <c r="M5" i="3" s="1"/>
  <c r="K5" i="3"/>
  <c r="H4" i="3"/>
  <c r="M4" i="3" s="1"/>
  <c r="D25" i="3" l="1"/>
  <c r="M11" i="3"/>
  <c r="D23" i="3"/>
  <c r="K6" i="3"/>
  <c r="D61" i="3"/>
  <c r="M16" i="3"/>
  <c r="P61" i="3"/>
  <c r="Q61" i="3" s="1"/>
  <c r="S61" i="3" s="1"/>
  <c r="P67" i="3"/>
  <c r="N7" i="3"/>
  <c r="D42" i="3"/>
  <c r="D40" i="3"/>
  <c r="L14" i="3"/>
  <c r="O14" i="3" s="1"/>
  <c r="D38" i="3"/>
  <c r="E65" i="3"/>
  <c r="E54" i="3"/>
  <c r="D28" i="3"/>
  <c r="E67" i="3"/>
  <c r="M14" i="3"/>
  <c r="D36" i="3"/>
  <c r="E63" i="3"/>
  <c r="O24" i="3"/>
  <c r="L9" i="3"/>
  <c r="O7" i="3" s="1"/>
  <c r="K7" i="3"/>
  <c r="J14" i="3"/>
  <c r="E53" i="3"/>
  <c r="K4" i="3"/>
  <c r="N4" i="3" s="1"/>
  <c r="M9" i="3"/>
  <c r="K12" i="3"/>
  <c r="N10" i="3" s="1"/>
  <c r="D30" i="3"/>
  <c r="L4" i="3"/>
  <c r="O4" i="3" s="1"/>
  <c r="E62" i="3"/>
  <c r="O23" i="3"/>
  <c r="P51" i="3"/>
  <c r="E35" i="3"/>
  <c r="E37" i="3"/>
  <c r="E39" i="3"/>
  <c r="E41" i="3"/>
  <c r="E43" i="3"/>
  <c r="E36" i="3"/>
  <c r="E38" i="3"/>
  <c r="E40" i="3"/>
  <c r="E42" i="3"/>
  <c r="F42" i="3" s="1"/>
  <c r="H42" i="3" s="1"/>
  <c r="P36" i="3"/>
  <c r="P37" i="3"/>
  <c r="Q37" i="3" s="1"/>
  <c r="S37" i="3" s="1"/>
  <c r="P38" i="3"/>
  <c r="P35" i="3"/>
  <c r="F35" i="3"/>
  <c r="H35" i="3" s="1"/>
  <c r="F37" i="3"/>
  <c r="H37" i="3" s="1"/>
  <c r="O10" i="3"/>
  <c r="F60" i="3"/>
  <c r="H60" i="3" s="1"/>
  <c r="Q48" i="3"/>
  <c r="S48" i="3" s="1"/>
  <c r="P23" i="3"/>
  <c r="P24" i="3"/>
  <c r="P25" i="3"/>
  <c r="Q25" i="3" s="1"/>
  <c r="S25" i="3" s="1"/>
  <c r="P22" i="3"/>
  <c r="Q24" i="3"/>
  <c r="S24" i="3" s="1"/>
  <c r="O68" i="3"/>
  <c r="D53" i="3"/>
  <c r="O67" i="3"/>
  <c r="Q67" i="3" s="1"/>
  <c r="S67" i="3" s="1"/>
  <c r="E30" i="3"/>
  <c r="E28" i="3"/>
  <c r="F28" i="3" s="1"/>
  <c r="H28" i="3" s="1"/>
  <c r="E25" i="3"/>
  <c r="F25" i="3" s="1"/>
  <c r="H25" i="3" s="1"/>
  <c r="E23" i="3"/>
  <c r="F23" i="3" s="1"/>
  <c r="H23" i="3" s="1"/>
  <c r="D27" i="3"/>
  <c r="F27" i="3" s="1"/>
  <c r="H27" i="3" s="1"/>
  <c r="D67" i="3"/>
  <c r="F67" i="3" s="1"/>
  <c r="H67" i="3" s="1"/>
  <c r="D65" i="3"/>
  <c r="D63" i="3"/>
  <c r="D62" i="3"/>
  <c r="F62" i="3" s="1"/>
  <c r="H62" i="3" s="1"/>
  <c r="P65" i="3"/>
  <c r="D54" i="3"/>
  <c r="E52" i="3"/>
  <c r="O51" i="3"/>
  <c r="Q51" i="3" s="1"/>
  <c r="S51" i="3" s="1"/>
  <c r="O49" i="3"/>
  <c r="Q49" i="3" s="1"/>
  <c r="S49" i="3" s="1"/>
  <c r="O66" i="3"/>
  <c r="O36" i="3"/>
  <c r="P63" i="3"/>
  <c r="P68" i="3"/>
  <c r="D55" i="3"/>
  <c r="F55" i="3" s="1"/>
  <c r="H55" i="3" s="1"/>
  <c r="E51" i="3"/>
  <c r="F51" i="3" s="1"/>
  <c r="H51" i="3" s="1"/>
  <c r="O65" i="3"/>
  <c r="P60" i="3"/>
  <c r="D48" i="3"/>
  <c r="D56" i="3"/>
  <c r="E50" i="3"/>
  <c r="O64" i="3"/>
  <c r="Q64" i="3" s="1"/>
  <c r="S64" i="3" s="1"/>
  <c r="O38" i="3"/>
  <c r="D52" i="3"/>
  <c r="F52" i="3" s="1"/>
  <c r="H52" i="3" s="1"/>
  <c r="J4" i="3"/>
  <c r="M6" i="3"/>
  <c r="M8" i="3"/>
  <c r="M10" i="3"/>
  <c r="K15" i="3"/>
  <c r="E68" i="3"/>
  <c r="E66" i="3"/>
  <c r="E64" i="3"/>
  <c r="E60" i="3"/>
  <c r="E61" i="3"/>
  <c r="F61" i="3" s="1"/>
  <c r="H61" i="3" s="1"/>
  <c r="P66" i="3"/>
  <c r="D49" i="3"/>
  <c r="E48" i="3"/>
  <c r="E49" i="3"/>
  <c r="P50" i="3"/>
  <c r="Q50" i="3" s="1"/>
  <c r="S50" i="3" s="1"/>
  <c r="O63" i="3"/>
  <c r="Q63" i="3" s="1"/>
  <c r="S63" i="3" s="1"/>
  <c r="O35" i="3"/>
  <c r="E29" i="3"/>
  <c r="E26" i="3"/>
  <c r="E24" i="3"/>
  <c r="E22" i="3"/>
  <c r="F22" i="3" s="1"/>
  <c r="H22" i="3" s="1"/>
  <c r="D68" i="3"/>
  <c r="F68" i="3" s="1"/>
  <c r="H68" i="3" s="1"/>
  <c r="D66" i="3"/>
  <c r="F66" i="3" s="1"/>
  <c r="H66" i="3" s="1"/>
  <c r="D64" i="3"/>
  <c r="F64" i="3" s="1"/>
  <c r="H64" i="3" s="1"/>
  <c r="O22" i="3"/>
  <c r="P62" i="3"/>
  <c r="D50" i="3"/>
  <c r="E56" i="3"/>
  <c r="O62" i="3"/>
  <c r="J7" i="3"/>
  <c r="D29" i="3"/>
  <c r="D26" i="3"/>
  <c r="F26" i="3" s="1"/>
  <c r="H26" i="3" s="1"/>
  <c r="D24" i="3"/>
  <c r="D43" i="3"/>
  <c r="D41" i="3"/>
  <c r="D39" i="3"/>
  <c r="O60" i="3"/>
  <c r="F90" i="3" l="1"/>
  <c r="F87" i="3"/>
  <c r="F93" i="3"/>
  <c r="F94" i="3"/>
  <c r="F88" i="3"/>
  <c r="F91" i="3"/>
  <c r="AE4" i="3"/>
  <c r="F89" i="3"/>
  <c r="F92" i="3"/>
  <c r="Q38" i="3"/>
  <c r="S38" i="3" s="1"/>
  <c r="F54" i="3"/>
  <c r="H54" i="3" s="1"/>
  <c r="Q60" i="3"/>
  <c r="S60" i="3" s="1"/>
  <c r="Q62" i="3"/>
  <c r="S62" i="3" s="1"/>
  <c r="F30" i="3"/>
  <c r="H30" i="3" s="1"/>
  <c r="Q23" i="3"/>
  <c r="S23" i="3" s="1"/>
  <c r="W4" i="3"/>
  <c r="F40" i="3"/>
  <c r="H40" i="3" s="1"/>
  <c r="F38" i="3"/>
  <c r="H38" i="3" s="1"/>
  <c r="F29" i="3"/>
  <c r="H29" i="3" s="1"/>
  <c r="F39" i="3"/>
  <c r="H39" i="3" s="1"/>
  <c r="F63" i="3"/>
  <c r="H63" i="3" s="1"/>
  <c r="I61" i="3" s="1"/>
  <c r="I63" i="3" s="1"/>
  <c r="X4" i="3"/>
  <c r="AA4" i="3" s="1"/>
  <c r="AD4" i="3" s="1"/>
  <c r="F65" i="3"/>
  <c r="H65" i="3" s="1"/>
  <c r="F53" i="3"/>
  <c r="H53" i="3" s="1"/>
  <c r="V4" i="3"/>
  <c r="F36" i="3"/>
  <c r="H36" i="3" s="1"/>
  <c r="J36" i="3" s="1"/>
  <c r="J38" i="3" s="1"/>
  <c r="T49" i="3"/>
  <c r="T51" i="3" s="1"/>
  <c r="U49" i="3"/>
  <c r="U51" i="3" s="1"/>
  <c r="V10" i="3"/>
  <c r="X10" i="3"/>
  <c r="W10" i="3"/>
  <c r="F49" i="3"/>
  <c r="H49" i="3" s="1"/>
  <c r="F56" i="3"/>
  <c r="H56" i="3" s="1"/>
  <c r="Y4" i="3"/>
  <c r="V14" i="3"/>
  <c r="W14" i="3"/>
  <c r="AF4" i="3" s="1"/>
  <c r="Z4" i="3"/>
  <c r="AC4" i="3" s="1"/>
  <c r="J61" i="3"/>
  <c r="J63" i="3" s="1"/>
  <c r="Q36" i="3"/>
  <c r="S36" i="3" s="1"/>
  <c r="F41" i="3"/>
  <c r="H41" i="3" s="1"/>
  <c r="F50" i="3"/>
  <c r="H50" i="3" s="1"/>
  <c r="F48" i="3"/>
  <c r="H48" i="3" s="1"/>
  <c r="Q66" i="3"/>
  <c r="S66" i="3" s="1"/>
  <c r="T61" i="3" s="1"/>
  <c r="T63" i="3" s="1"/>
  <c r="I36" i="3"/>
  <c r="I38" i="3" s="1"/>
  <c r="F43" i="3"/>
  <c r="H43" i="3" s="1"/>
  <c r="Q68" i="3"/>
  <c r="S68" i="3" s="1"/>
  <c r="AB4" i="3"/>
  <c r="F24" i="3"/>
  <c r="H24" i="3" s="1"/>
  <c r="J23" i="3" s="1"/>
  <c r="J25" i="3" s="1"/>
  <c r="Q22" i="3"/>
  <c r="S22" i="3" s="1"/>
  <c r="Q35" i="3"/>
  <c r="S35" i="3" s="1"/>
  <c r="Q65" i="3"/>
  <c r="S65" i="3" s="1"/>
  <c r="W7" i="3"/>
  <c r="V7" i="3"/>
  <c r="X7" i="3"/>
  <c r="U61" i="3" l="1"/>
  <c r="U63" i="3" s="1"/>
  <c r="X14" i="3"/>
  <c r="AG4" i="3" s="1"/>
  <c r="U36" i="3"/>
  <c r="U38" i="3" s="1"/>
  <c r="T36" i="3"/>
  <c r="T38" i="3" s="1"/>
  <c r="J49" i="3"/>
  <c r="J51" i="3" s="1"/>
  <c r="I49" i="3"/>
  <c r="I51" i="3" s="1"/>
  <c r="X16" i="3"/>
  <c r="AG10" i="3" s="1"/>
  <c r="AA10" i="3"/>
  <c r="V15" i="3"/>
  <c r="AE7" i="3" s="1"/>
  <c r="Y7" i="3"/>
  <c r="AB7" i="3" s="1"/>
  <c r="V16" i="3"/>
  <c r="AE10" i="3" s="1"/>
  <c r="Y10" i="3"/>
  <c r="AB10" i="3" s="1"/>
  <c r="I23" i="3"/>
  <c r="I25" i="3" s="1"/>
  <c r="T23" i="3"/>
  <c r="T25" i="3" s="1"/>
  <c r="U23" i="3"/>
  <c r="U25" i="3" s="1"/>
  <c r="W16" i="3"/>
  <c r="AF10" i="3" s="1"/>
  <c r="Z10" i="3"/>
  <c r="AC10" i="3" s="1"/>
  <c r="X15" i="3"/>
  <c r="AG7" i="3" s="1"/>
  <c r="AA7" i="3"/>
  <c r="AD7" i="3" s="1"/>
  <c r="W15" i="3"/>
  <c r="AF7" i="3" s="1"/>
  <c r="Z7" i="3"/>
  <c r="AC7" i="3" s="1"/>
  <c r="AD10" i="3"/>
</calcChain>
</file>

<file path=xl/sharedStrings.xml><?xml version="1.0" encoding="utf-8"?>
<sst xmlns="http://schemas.openxmlformats.org/spreadsheetml/2006/main" count="606" uniqueCount="111">
  <si>
    <t>Crucible weights</t>
  </si>
  <si>
    <t>Wet weights</t>
  </si>
  <si>
    <t>Sample wet weights</t>
  </si>
  <si>
    <t>Dry weights</t>
  </si>
  <si>
    <t>Average weight</t>
  </si>
  <si>
    <t>Ash</t>
  </si>
  <si>
    <t>TS</t>
  </si>
  <si>
    <t>VS</t>
  </si>
  <si>
    <t>Average VS</t>
  </si>
  <si>
    <t>%TS</t>
  </si>
  <si>
    <t>%VS</t>
  </si>
  <si>
    <t>VS total</t>
  </si>
  <si>
    <t>Average %TS</t>
  </si>
  <si>
    <t>Average %VS</t>
  </si>
  <si>
    <t>TS and VS analysis. Feedstocks</t>
  </si>
  <si>
    <t>Coliforms</t>
  </si>
  <si>
    <t>E. coli</t>
  </si>
  <si>
    <t>Enterolert</t>
  </si>
  <si>
    <t>Feedstock</t>
  </si>
  <si>
    <t>pH</t>
  </si>
  <si>
    <t>Inoculum</t>
  </si>
  <si>
    <t>S:FW</t>
  </si>
  <si>
    <t>FS2 1:3</t>
  </si>
  <si>
    <t>FS3 2:1</t>
  </si>
  <si>
    <t>FS4 3:1</t>
  </si>
  <si>
    <t>NH3-N</t>
  </si>
  <si>
    <t>NH3-N 1/100</t>
  </si>
  <si>
    <t>Blank 1</t>
  </si>
  <si>
    <t>Blk mean</t>
  </si>
  <si>
    <t>Standard 1</t>
  </si>
  <si>
    <t>mean</t>
  </si>
  <si>
    <t>molarity</t>
  </si>
  <si>
    <t>Blank 2</t>
  </si>
  <si>
    <t>Standard 2</t>
  </si>
  <si>
    <t>blank</t>
  </si>
  <si>
    <t>Sample COD</t>
  </si>
  <si>
    <t>dilution</t>
  </si>
  <si>
    <t>COD mg/l</t>
  </si>
  <si>
    <t>ST ERROR</t>
  </si>
  <si>
    <t>FS sCOD</t>
  </si>
  <si>
    <t>FS2 1S:3FW</t>
  </si>
  <si>
    <t>FS2A</t>
  </si>
  <si>
    <t>FS2B</t>
  </si>
  <si>
    <t>FS2C</t>
  </si>
  <si>
    <t>FS3 2S:1FW</t>
  </si>
  <si>
    <t>FS3A</t>
  </si>
  <si>
    <t>FS3B</t>
  </si>
  <si>
    <t>FS3C</t>
  </si>
  <si>
    <t>FS4A</t>
  </si>
  <si>
    <t>FS4B</t>
  </si>
  <si>
    <t>FS4C</t>
  </si>
  <si>
    <t>FS4 3S:1FW</t>
  </si>
  <si>
    <t>sCOD mg/L</t>
  </si>
  <si>
    <t>sCOD g/L</t>
  </si>
  <si>
    <t>2 g VS L</t>
  </si>
  <si>
    <t>3.5 g VS L</t>
  </si>
  <si>
    <t>0.5 g VS L</t>
  </si>
  <si>
    <t>g fed</t>
  </si>
  <si>
    <t>total vol</t>
  </si>
  <si>
    <t>%</t>
  </si>
  <si>
    <t>% normalised to 36 mL</t>
  </si>
  <si>
    <t>FS2</t>
  </si>
  <si>
    <t>FS3</t>
  </si>
  <si>
    <t>FS4</t>
  </si>
  <si>
    <t>Inoculum sCOD</t>
  </si>
  <si>
    <t>Rep 1</t>
  </si>
  <si>
    <t>R1A</t>
  </si>
  <si>
    <t>R1B</t>
  </si>
  <si>
    <t>R1C</t>
  </si>
  <si>
    <t>Rep 2</t>
  </si>
  <si>
    <t>R2A</t>
  </si>
  <si>
    <t>R2B</t>
  </si>
  <si>
    <t>R2C</t>
  </si>
  <si>
    <t>Rep 3</t>
  </si>
  <si>
    <t>R3A</t>
  </si>
  <si>
    <t>R3B</t>
  </si>
  <si>
    <t>R3C</t>
  </si>
  <si>
    <t>FS tCOD</t>
  </si>
  <si>
    <t>FS2D</t>
  </si>
  <si>
    <t>tCOD 1/4000</t>
  </si>
  <si>
    <t>sCOD 1/1000</t>
  </si>
  <si>
    <t>sCOD 1/100</t>
  </si>
  <si>
    <t>Inoculum tCOD</t>
  </si>
  <si>
    <t>FS4D</t>
  </si>
  <si>
    <t>FS3D</t>
  </si>
  <si>
    <t>tCOD 1/1000</t>
  </si>
  <si>
    <t>tCOD mg/L</t>
  </si>
  <si>
    <t>tCOD g/L</t>
  </si>
  <si>
    <t>Recipe</t>
  </si>
  <si>
    <t>Temp</t>
  </si>
  <si>
    <t>OL</t>
  </si>
  <si>
    <t>Time</t>
  </si>
  <si>
    <t>Ammonia</t>
  </si>
  <si>
    <t>sCOD</t>
  </si>
  <si>
    <t>Ecoli</t>
  </si>
  <si>
    <t>Enterococci</t>
  </si>
  <si>
    <t>FWS12</t>
  </si>
  <si>
    <t>FWS13</t>
  </si>
  <si>
    <t>FWS31</t>
  </si>
  <si>
    <t>measurement</t>
  </si>
  <si>
    <t>Value</t>
  </si>
  <si>
    <t>FS</t>
  </si>
  <si>
    <t>Innoculum</t>
  </si>
  <si>
    <t># data aggregated from previous sheet</t>
  </si>
  <si>
    <t># Note that all by  VS are repeated values because those were prepared according to the different OL's based on VS</t>
  </si>
  <si>
    <t># Dummy values of 37 degrees and a pH of 7.97 were added temporairrly, as were the Nas for COD until we get the innoculum values</t>
  </si>
  <si>
    <t>fs_conc</t>
  </si>
  <si>
    <t>fs_vol</t>
  </si>
  <si>
    <t>inoc_conc</t>
  </si>
  <si>
    <t>inoc_vol</t>
  </si>
  <si>
    <t>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</si>
</sst>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7" formatCode="0.000"/>
    <numFmt numFmtId="168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12"/>
      <name val="Arial"/>
    </font>
    <font>
      <b/>
      <sz val="10"/>
      <name val="Arial"/>
      <family val="2"/>
    </font>
    <font>
      <sz val="12"/>
      <color rgb="FFFF0000"/>
      <name val="Calibri"/>
      <family val="2"/>
      <scheme val="minor"/>
    </font>
    <font>
      <sz val="10"/>
      <color rgb="FF0000D4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5" fillId="0" borderId="0" xfId="0" applyFont="1" applyAlignment="1"/>
    <xf numFmtId="164" fontId="0" fillId="0" borderId="0" xfId="0" applyNumberFormat="1" applyAlignment="1">
      <alignment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11" fontId="0" fillId="0" borderId="0" xfId="0" applyNumberFormat="1" applyBorder="1"/>
    <xf numFmtId="0" fontId="1" fillId="0" borderId="0" xfId="0" applyFont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" fontId="0" fillId="0" borderId="0" xfId="0" applyNumberFormat="1" applyFill="1" applyBorder="1" applyAlignment="1">
      <alignment horizontal="right"/>
    </xf>
    <xf numFmtId="2" fontId="8" fillId="0" borderId="0" xfId="0" quotePrefix="1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/>
    <xf numFmtId="2" fontId="0" fillId="0" borderId="0" xfId="0" applyNumberForma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wrapText="1"/>
    </xf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2" fontId="0" fillId="0" borderId="0" xfId="0" applyNumberFormat="1" applyFill="1" applyBorder="1"/>
    <xf numFmtId="164" fontId="0" fillId="0" borderId="0" xfId="0" applyNumberFormat="1" applyFill="1" applyBorder="1" applyAlignment="1">
      <alignment vertical="center"/>
    </xf>
    <xf numFmtId="167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/>
    <xf numFmtId="1" fontId="9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vertical="center"/>
    </xf>
    <xf numFmtId="168" fontId="0" fillId="0" borderId="0" xfId="0" applyNumberFormat="1" applyFill="1" applyBorder="1"/>
    <xf numFmtId="1" fontId="0" fillId="0" borderId="1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7" fillId="0" borderId="0" xfId="0" applyFont="1"/>
    <xf numFmtId="16" fontId="7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wrapText="1"/>
    </xf>
    <xf numFmtId="166" fontId="7" fillId="0" borderId="0" xfId="0" applyNumberFormat="1" applyFont="1" applyAlignment="1">
      <alignment horizontal="right"/>
    </xf>
    <xf numFmtId="2" fontId="7" fillId="0" borderId="0" xfId="0" applyNumberFormat="1" applyFont="1"/>
    <xf numFmtId="2" fontId="12" fillId="0" borderId="0" xfId="0" applyNumberFormat="1" applyFont="1" applyFill="1" applyBorder="1" applyAlignment="1">
      <alignment horizontal="right"/>
    </xf>
    <xf numFmtId="1" fontId="13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" fontId="10" fillId="0" borderId="1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7" fillId="0" borderId="0" xfId="0" applyNumberFormat="1" applyFont="1" applyAlignment="1">
      <alignment horizontal="center" vertical="center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7"/>
  <sheetViews>
    <sheetView topLeftCell="A70" workbookViewId="0">
      <selection activeCell="A85" sqref="A85:J157"/>
    </sheetView>
  </sheetViews>
  <sheetFormatPr baseColWidth="10" defaultColWidth="8.83203125" defaultRowHeight="16" x14ac:dyDescent="0.2"/>
  <cols>
    <col min="1" max="1" width="10.6640625" customWidth="1"/>
    <col min="2" max="2" width="14.5" customWidth="1"/>
    <col min="3" max="3" width="11" bestFit="1" customWidth="1"/>
    <col min="4" max="4" width="11.5" customWidth="1"/>
    <col min="5" max="5" width="10.33203125" bestFit="1" customWidth="1"/>
    <col min="6" max="6" width="10.6640625" bestFit="1" customWidth="1"/>
    <col min="7" max="7" width="10.33203125" bestFit="1" customWidth="1"/>
    <col min="8" max="8" width="9.33203125" bestFit="1" customWidth="1"/>
    <col min="9" max="9" width="11.33203125" customWidth="1"/>
    <col min="10" max="10" width="10.83203125" customWidth="1"/>
    <col min="11" max="11" width="10.1640625" bestFit="1" customWidth="1"/>
    <col min="12" max="12" width="9.33203125" bestFit="1" customWidth="1"/>
    <col min="13" max="15" width="10.1640625" bestFit="1" customWidth="1"/>
    <col min="16" max="16" width="13" customWidth="1"/>
    <col min="17" max="17" width="12.83203125" customWidth="1"/>
    <col min="20" max="20" width="9.83203125" bestFit="1" customWidth="1"/>
    <col min="22" max="22" width="9.33203125" customWidth="1"/>
  </cols>
  <sheetData>
    <row r="1" spans="1:33" ht="26" x14ac:dyDescent="0.3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33" x14ac:dyDescent="0.2">
      <c r="A2" s="56" t="s">
        <v>14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V2" t="s">
        <v>57</v>
      </c>
      <c r="Y2" t="s">
        <v>58</v>
      </c>
      <c r="AB2" t="s">
        <v>59</v>
      </c>
      <c r="AE2" t="s">
        <v>60</v>
      </c>
    </row>
    <row r="3" spans="1:33" ht="34" x14ac:dyDescent="0.2">
      <c r="A3" t="s">
        <v>21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t="s">
        <v>5</v>
      </c>
      <c r="H3" t="s">
        <v>6</v>
      </c>
      <c r="I3" t="s">
        <v>7</v>
      </c>
      <c r="J3" s="1" t="s">
        <v>8</v>
      </c>
      <c r="K3" t="s">
        <v>9</v>
      </c>
      <c r="L3" t="s">
        <v>10</v>
      </c>
      <c r="M3" t="s">
        <v>11</v>
      </c>
      <c r="N3" s="1" t="s">
        <v>12</v>
      </c>
      <c r="O3" s="1" t="s">
        <v>13</v>
      </c>
      <c r="P3" s="1"/>
      <c r="Q3" s="1" t="s">
        <v>19</v>
      </c>
      <c r="R3" s="1"/>
      <c r="S3" s="1" t="s">
        <v>26</v>
      </c>
      <c r="T3" t="s">
        <v>25</v>
      </c>
      <c r="V3" s="1" t="s">
        <v>56</v>
      </c>
      <c r="W3" s="1" t="s">
        <v>54</v>
      </c>
      <c r="X3" s="1" t="s">
        <v>55</v>
      </c>
      <c r="Y3" s="1" t="s">
        <v>56</v>
      </c>
      <c r="Z3" s="1" t="s">
        <v>54</v>
      </c>
      <c r="AA3" s="1" t="s">
        <v>55</v>
      </c>
      <c r="AB3" s="1" t="s">
        <v>56</v>
      </c>
      <c r="AC3" s="1" t="s">
        <v>54</v>
      </c>
      <c r="AD3" s="1" t="s">
        <v>55</v>
      </c>
      <c r="AE3" s="1" t="s">
        <v>56</v>
      </c>
      <c r="AF3" s="1" t="s">
        <v>54</v>
      </c>
      <c r="AG3" s="1" t="s">
        <v>55</v>
      </c>
    </row>
    <row r="4" spans="1:33" x14ac:dyDescent="0.2">
      <c r="A4" t="s">
        <v>22</v>
      </c>
      <c r="B4" s="2">
        <v>20.522300000000001</v>
      </c>
      <c r="C4" s="2">
        <v>30.242100000000001</v>
      </c>
      <c r="D4" s="2">
        <f>C4-B4</f>
        <v>9.7197999999999993</v>
      </c>
      <c r="E4" s="2">
        <v>23.878599999999999</v>
      </c>
      <c r="F4" s="54">
        <f>(E4+E5+E6)/3</f>
        <v>23.418366666666667</v>
      </c>
      <c r="G4" s="2">
        <v>21.1586</v>
      </c>
      <c r="H4" s="2">
        <f>E4-B4</f>
        <v>3.3562999999999974</v>
      </c>
      <c r="I4" s="2">
        <f>E4-G4</f>
        <v>2.7199999999999989</v>
      </c>
      <c r="J4" s="54">
        <f>(I4+I5+I6)/3</f>
        <v>2.4533666666666663</v>
      </c>
      <c r="K4" s="2">
        <f>(H4/D4)*100</f>
        <v>34.530545896006068</v>
      </c>
      <c r="L4" s="2">
        <f>(I4/D4)*100</f>
        <v>27.984114899483519</v>
      </c>
      <c r="M4" s="2">
        <f>I4/H4*100</f>
        <v>81.041623216041501</v>
      </c>
      <c r="N4" s="54">
        <f>(K4+K5+K6)/3</f>
        <v>34.535818497584216</v>
      </c>
      <c r="O4" s="54">
        <f>(L4+L5+L6)/3</f>
        <v>28.137218230691261</v>
      </c>
      <c r="P4" s="54"/>
      <c r="Q4" s="57">
        <v>4.9000000000000004</v>
      </c>
      <c r="R4" s="60"/>
      <c r="S4" s="57">
        <v>3.7</v>
      </c>
      <c r="T4" s="57">
        <f>S4*100</f>
        <v>370</v>
      </c>
      <c r="V4" s="8">
        <f>(0.5*7*0.036)*100/O4</f>
        <v>0.44780546167340329</v>
      </c>
      <c r="W4" s="8">
        <f>(2*7*0.036)/(O4/100)</f>
        <v>1.791221846693613</v>
      </c>
      <c r="X4" s="8">
        <f>(3.5*7*0.036)*100/O4</f>
        <v>3.1346382317138226</v>
      </c>
      <c r="Y4" s="8">
        <f>36+V4</f>
        <v>36.447805461673404</v>
      </c>
      <c r="Z4" s="8">
        <f t="shared" ref="Z4:AA4" si="0">36+W4</f>
        <v>37.79122184669361</v>
      </c>
      <c r="AA4" s="8">
        <f t="shared" si="0"/>
        <v>39.134638231713822</v>
      </c>
      <c r="AB4" s="31">
        <f>((O4*V4)+(O14*36))/Y4</f>
        <v>3.5090298372854911</v>
      </c>
      <c r="AC4" s="31">
        <f>((O4*W4)+(O14*36))/Z4</f>
        <v>4.3845218220454543</v>
      </c>
      <c r="AD4" s="31">
        <f>((O4*X4)+(O14*36))/AA4</f>
        <v>5.1999059161783734</v>
      </c>
      <c r="AE4" s="31">
        <f>((O4*V4)+(O14*36))/(V14+V4)</f>
        <v>3.5526788019052518</v>
      </c>
      <c r="AF4" s="31">
        <f>((O4*W4)+(O14*36))/(W14+W4)</f>
        <v>4.6026788019052516</v>
      </c>
      <c r="AG4" s="31">
        <f>((O4*X4)+(O14*36))/(X14+X4)</f>
        <v>5.6526788019052514</v>
      </c>
    </row>
    <row r="5" spans="1:33" x14ac:dyDescent="0.2">
      <c r="A5" t="s">
        <v>22</v>
      </c>
      <c r="B5" s="2">
        <v>20.322500000000002</v>
      </c>
      <c r="C5" s="2">
        <v>29.520499999999998</v>
      </c>
      <c r="D5" s="2">
        <f t="shared" ref="D5:D12" si="1">C5-B5</f>
        <v>9.1979999999999968</v>
      </c>
      <c r="E5" s="2">
        <v>23.4971</v>
      </c>
      <c r="F5" s="54"/>
      <c r="G5" s="2">
        <v>20.917899999999999</v>
      </c>
      <c r="H5" s="2">
        <f t="shared" ref="H5:H12" si="2">E5-B5</f>
        <v>3.1745999999999981</v>
      </c>
      <c r="I5" s="2">
        <f t="shared" ref="I5:I12" si="3">E5-G5</f>
        <v>2.5792000000000002</v>
      </c>
      <c r="J5" s="54"/>
      <c r="K5" s="2">
        <f t="shared" ref="K5:K8" si="4">(H5/D5)*100</f>
        <v>34.514024787997386</v>
      </c>
      <c r="L5" s="2">
        <f t="shared" ref="L5:L12" si="5">(I5/D5)*100</f>
        <v>28.040878451837369</v>
      </c>
      <c r="M5" s="2">
        <f t="shared" ref="M5:M12" si="6">I5/H5*100</f>
        <v>81.244881244881299</v>
      </c>
      <c r="N5" s="54"/>
      <c r="O5" s="54"/>
      <c r="P5" s="54"/>
      <c r="Q5" s="57"/>
      <c r="R5" s="60"/>
      <c r="S5" s="57"/>
      <c r="T5" s="57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x14ac:dyDescent="0.2">
      <c r="A6" t="s">
        <v>22</v>
      </c>
      <c r="B6" s="2">
        <v>20.370100000000001</v>
      </c>
      <c r="C6" s="2">
        <v>27.630199999999999</v>
      </c>
      <c r="D6" s="2">
        <f t="shared" si="1"/>
        <v>7.2600999999999978</v>
      </c>
      <c r="E6" s="2">
        <v>22.8794</v>
      </c>
      <c r="F6" s="54"/>
      <c r="G6" s="2">
        <v>20.8185</v>
      </c>
      <c r="H6" s="2">
        <f t="shared" si="2"/>
        <v>2.5092999999999996</v>
      </c>
      <c r="I6" s="2">
        <f t="shared" si="3"/>
        <v>2.0609000000000002</v>
      </c>
      <c r="J6" s="54"/>
      <c r="K6" s="2">
        <f t="shared" si="4"/>
        <v>34.562884808749196</v>
      </c>
      <c r="L6" s="2">
        <f t="shared" si="5"/>
        <v>28.386661340752894</v>
      </c>
      <c r="M6" s="2">
        <f t="shared" si="6"/>
        <v>82.130474634360198</v>
      </c>
      <c r="N6" s="54"/>
      <c r="O6" s="54"/>
      <c r="P6" s="54"/>
      <c r="Q6" s="57"/>
      <c r="R6" s="60"/>
      <c r="S6" s="57"/>
      <c r="T6" s="57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x14ac:dyDescent="0.2">
      <c r="A7" t="s">
        <v>23</v>
      </c>
      <c r="B7" s="2">
        <v>20.3949</v>
      </c>
      <c r="C7" s="2">
        <v>42.941499999999998</v>
      </c>
      <c r="D7" s="2">
        <f t="shared" si="1"/>
        <v>22.546599999999998</v>
      </c>
      <c r="E7" s="2">
        <v>22.264399999999998</v>
      </c>
      <c r="F7" s="54">
        <f>(E7+E8+E9)/3</f>
        <v>22.066933333333335</v>
      </c>
      <c r="G7" s="2">
        <v>20.799600000000002</v>
      </c>
      <c r="H7" s="2">
        <f t="shared" si="2"/>
        <v>1.8694999999999986</v>
      </c>
      <c r="I7" s="2">
        <f t="shared" si="3"/>
        <v>1.4647999999999968</v>
      </c>
      <c r="J7" s="54">
        <f>(I7+I8+I9)/3</f>
        <v>1.3685333333333329</v>
      </c>
      <c r="K7" s="2">
        <f t="shared" si="4"/>
        <v>8.2917158241153821</v>
      </c>
      <c r="L7" s="2">
        <f t="shared" si="5"/>
        <v>6.4967666965307274</v>
      </c>
      <c r="M7" s="2">
        <f t="shared" si="6"/>
        <v>78.352500668627854</v>
      </c>
      <c r="N7" s="54">
        <f>(K7+K8+K9)/3</f>
        <v>8.2841582300292824</v>
      </c>
      <c r="O7" s="54">
        <f>(L7+L8+L9)/3</f>
        <v>6.4907799015741752</v>
      </c>
      <c r="P7" s="54"/>
      <c r="Q7" s="57">
        <v>6.28</v>
      </c>
      <c r="R7" s="60"/>
      <c r="S7" s="57">
        <v>19</v>
      </c>
      <c r="T7" s="57">
        <f t="shared" ref="T7" si="7">S7*100</f>
        <v>1900</v>
      </c>
      <c r="V7" s="8">
        <f>(0.5*7*0.036)*100/O7</f>
        <v>1.9412151068231704</v>
      </c>
      <c r="W7" s="8">
        <f>(2*7*0.036)*100/O7</f>
        <v>7.7648604272926818</v>
      </c>
      <c r="X7" s="8">
        <f>(3.5*7*0.036)*100/O7</f>
        <v>13.588505747762191</v>
      </c>
      <c r="Y7" s="8">
        <f>36+V7</f>
        <v>37.941215106823172</v>
      </c>
      <c r="Z7" s="8">
        <f t="shared" ref="Z7:AA7" si="8">36+W7</f>
        <v>43.764860427292682</v>
      </c>
      <c r="AA7" s="8">
        <f t="shared" si="8"/>
        <v>49.588505747762191</v>
      </c>
      <c r="AB7" s="31">
        <f>((O7*V7)+(O14*36))/Y7</f>
        <v>3.3709104072839451</v>
      </c>
      <c r="AC7" s="31">
        <f>((O7*W7)+(O14*36))/Z7</f>
        <v>3.7860611287419372</v>
      </c>
      <c r="AD7" s="31">
        <f>((O7*X7)+(O14*36))/AA7</f>
        <v>4.1037017308748478</v>
      </c>
      <c r="AE7" s="31">
        <f>((O7*V7)+(O14*36))/(V15+V7)</f>
        <v>3.5526788019052518</v>
      </c>
      <c r="AF7" s="31">
        <f>((O7*W7)+(O14*36))/(W15+W7)</f>
        <v>4.6026788019052525</v>
      </c>
      <c r="AG7" s="31">
        <f>((O7*X7)+(O14*36))/(X15+X7)</f>
        <v>5.6526788019052514</v>
      </c>
    </row>
    <row r="8" spans="1:33" x14ac:dyDescent="0.2">
      <c r="A8" t="s">
        <v>23</v>
      </c>
      <c r="B8" s="2">
        <v>20.331700000000001</v>
      </c>
      <c r="C8" s="2">
        <v>40.8337</v>
      </c>
      <c r="D8" s="2">
        <f t="shared" si="1"/>
        <v>20.501999999999999</v>
      </c>
      <c r="E8" s="2">
        <v>22.033000000000001</v>
      </c>
      <c r="F8" s="54"/>
      <c r="G8" s="2">
        <v>20.6968</v>
      </c>
      <c r="H8" s="2">
        <f>E8-B8</f>
        <v>1.7012999999999998</v>
      </c>
      <c r="I8" s="2">
        <f t="shared" si="3"/>
        <v>1.3362000000000016</v>
      </c>
      <c r="J8" s="54"/>
      <c r="K8" s="2">
        <f t="shared" si="4"/>
        <v>8.2982148083113838</v>
      </c>
      <c r="L8" s="2">
        <f t="shared" si="5"/>
        <v>6.5174129353233914</v>
      </c>
      <c r="M8" s="2">
        <f t="shared" si="6"/>
        <v>78.539940045847402</v>
      </c>
      <c r="N8" s="54"/>
      <c r="O8" s="54"/>
      <c r="P8" s="54"/>
      <c r="Q8" s="57"/>
      <c r="R8" s="60"/>
      <c r="S8" s="57"/>
      <c r="T8" s="5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x14ac:dyDescent="0.2">
      <c r="A9" t="s">
        <v>23</v>
      </c>
      <c r="B9" s="2">
        <v>20.234300000000001</v>
      </c>
      <c r="C9" s="2">
        <v>40.435099999999998</v>
      </c>
      <c r="D9" s="2">
        <f t="shared" si="1"/>
        <v>20.200799999999997</v>
      </c>
      <c r="E9" s="2">
        <v>21.903400000000001</v>
      </c>
      <c r="F9" s="54"/>
      <c r="G9" s="2">
        <v>20.598800000000001</v>
      </c>
      <c r="H9" s="2">
        <f t="shared" si="2"/>
        <v>1.6691000000000003</v>
      </c>
      <c r="I9" s="2">
        <f t="shared" si="3"/>
        <v>1.3046000000000006</v>
      </c>
      <c r="J9" s="54"/>
      <c r="K9" s="2">
        <f>(H9/D9)*100</f>
        <v>8.2625440576610849</v>
      </c>
      <c r="L9" s="2">
        <f t="shared" si="5"/>
        <v>6.458160072868405</v>
      </c>
      <c r="M9" s="2">
        <f t="shared" si="6"/>
        <v>78.161883649871214</v>
      </c>
      <c r="N9" s="54"/>
      <c r="O9" s="54"/>
      <c r="P9" s="54"/>
      <c r="Q9" s="57"/>
      <c r="R9" s="60"/>
      <c r="S9" s="57"/>
      <c r="T9" s="57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x14ac:dyDescent="0.2">
      <c r="A10" t="s">
        <v>24</v>
      </c>
      <c r="B10" s="2">
        <v>20.706399999999999</v>
      </c>
      <c r="C10" s="2">
        <v>36.075899999999997</v>
      </c>
      <c r="D10" s="2">
        <f t="shared" si="1"/>
        <v>15.369499999999999</v>
      </c>
      <c r="E10" s="2">
        <v>23.220700000000001</v>
      </c>
      <c r="F10" s="54">
        <f>(E10+E11+E12)/3</f>
        <v>22.957999999999998</v>
      </c>
      <c r="G10" s="2">
        <v>21.194500000000001</v>
      </c>
      <c r="H10" s="2">
        <f t="shared" si="2"/>
        <v>2.5143000000000022</v>
      </c>
      <c r="I10" s="2">
        <f t="shared" si="3"/>
        <v>2.0261999999999993</v>
      </c>
      <c r="J10" s="54">
        <f>(I10+I11+I12)/3</f>
        <v>2.0230666666666663</v>
      </c>
      <c r="K10" s="2">
        <f>(H10/D10)*100</f>
        <v>16.359022739841912</v>
      </c>
      <c r="L10" s="2">
        <f t="shared" si="5"/>
        <v>13.183252545626075</v>
      </c>
      <c r="M10" s="2">
        <f t="shared" si="6"/>
        <v>80.587042119078774</v>
      </c>
      <c r="N10" s="54">
        <f>(K10+K11+K12)/3</f>
        <v>16.42072159253286</v>
      </c>
      <c r="O10" s="54">
        <f>(L10+L11+L12)/3</f>
        <v>13.243496875457138</v>
      </c>
      <c r="P10" s="54"/>
      <c r="Q10" s="57">
        <v>6.72</v>
      </c>
      <c r="R10" s="60"/>
      <c r="S10" s="57">
        <v>12</v>
      </c>
      <c r="T10" s="57">
        <f t="shared" ref="T10" si="9">S10*100</f>
        <v>1200</v>
      </c>
      <c r="V10" s="8">
        <f>(0.5*7*0.036)*100/O10</f>
        <v>0.95141035018857689</v>
      </c>
      <c r="W10" s="8">
        <f>(2*7*0.036)*100/O10</f>
        <v>3.8056414007543076</v>
      </c>
      <c r="X10" s="8">
        <f>(3.5*7*0.036)*100/O10</f>
        <v>6.6598724513200374</v>
      </c>
      <c r="Y10" s="8">
        <f>36+V10</f>
        <v>36.951410350188574</v>
      </c>
      <c r="Z10" s="8">
        <f t="shared" ref="Z10:AA10" si="10">36+W10</f>
        <v>39.805641400754311</v>
      </c>
      <c r="AA10" s="8">
        <f t="shared" si="10"/>
        <v>42.659872451320041</v>
      </c>
      <c r="AB10" s="31">
        <f>((O10*V10)+(O14*36))/Y10</f>
        <v>3.4612058283165466</v>
      </c>
      <c r="AC10" s="31">
        <f>((O10*W10)+(O14*36))/Z10</f>
        <v>4.1626370292691517</v>
      </c>
      <c r="AD10" s="31">
        <f>((O10*X10)+(O14*36))/AA10</f>
        <v>4.7702073441687514</v>
      </c>
      <c r="AE10" s="31">
        <f>((O10*V10)+(O14*36))/(V16+V10)</f>
        <v>3.5526788019052518</v>
      </c>
      <c r="AF10" s="31">
        <f>((O10*W10)+(O14*36))/(W16+W10)</f>
        <v>4.6026788019052525</v>
      </c>
      <c r="AG10" s="31">
        <f>((O10*X10)+(O14*36))/(X16+X10)</f>
        <v>5.6526788019052514</v>
      </c>
    </row>
    <row r="11" spans="1:33" x14ac:dyDescent="0.2">
      <c r="A11" t="s">
        <v>24</v>
      </c>
      <c r="B11" s="2">
        <v>20.331199999999999</v>
      </c>
      <c r="C11" s="2">
        <v>35.125100000000003</v>
      </c>
      <c r="D11" s="2">
        <f t="shared" si="1"/>
        <v>14.793900000000004</v>
      </c>
      <c r="E11" s="2">
        <v>22.756499999999999</v>
      </c>
      <c r="F11" s="54"/>
      <c r="G11" s="2">
        <v>20.8371</v>
      </c>
      <c r="H11" s="2">
        <f t="shared" si="2"/>
        <v>2.4253</v>
      </c>
      <c r="I11" s="2">
        <f t="shared" si="3"/>
        <v>1.9193999999999996</v>
      </c>
      <c r="J11" s="54"/>
      <c r="K11" s="2">
        <f>(H11/D11)*100</f>
        <v>16.393919115311036</v>
      </c>
      <c r="L11" s="2">
        <f t="shared" si="5"/>
        <v>12.974266420619301</v>
      </c>
      <c r="M11" s="2">
        <f t="shared" si="6"/>
        <v>79.140724858780345</v>
      </c>
      <c r="N11" s="54"/>
      <c r="O11" s="54"/>
      <c r="P11" s="54"/>
      <c r="Q11" s="57"/>
      <c r="R11" s="60"/>
      <c r="S11" s="57"/>
      <c r="T11" s="57"/>
    </row>
    <row r="12" spans="1:33" x14ac:dyDescent="0.2">
      <c r="A12" t="s">
        <v>24</v>
      </c>
      <c r="B12" s="2">
        <v>20.313800000000001</v>
      </c>
      <c r="C12" s="2">
        <v>35.959600000000002</v>
      </c>
      <c r="D12" s="2">
        <f t="shared" si="1"/>
        <v>15.645800000000001</v>
      </c>
      <c r="E12" s="2">
        <v>22.896799999999999</v>
      </c>
      <c r="F12" s="54"/>
      <c r="G12" s="2">
        <v>20.773199999999999</v>
      </c>
      <c r="H12" s="2">
        <f t="shared" si="2"/>
        <v>2.5829999999999984</v>
      </c>
      <c r="I12" s="2">
        <f t="shared" si="3"/>
        <v>2.1235999999999997</v>
      </c>
      <c r="J12" s="54"/>
      <c r="K12" s="2">
        <f>(H12/D12)*100</f>
        <v>16.50922292244563</v>
      </c>
      <c r="L12" s="2">
        <f t="shared" si="5"/>
        <v>13.572971660126038</v>
      </c>
      <c r="M12" s="2">
        <f t="shared" si="6"/>
        <v>82.21447928765005</v>
      </c>
      <c r="N12" s="54"/>
      <c r="O12" s="54"/>
      <c r="P12" s="54"/>
      <c r="Q12" s="57"/>
      <c r="R12" s="60"/>
      <c r="S12" s="57"/>
      <c r="T12" s="57"/>
    </row>
    <row r="13" spans="1:33" x14ac:dyDescent="0.2">
      <c r="B13" s="2"/>
      <c r="C13" s="2"/>
      <c r="D13" s="2"/>
      <c r="E13" s="2"/>
      <c r="F13" s="3"/>
      <c r="G13" s="2"/>
      <c r="H13" s="2"/>
      <c r="I13" s="2"/>
      <c r="J13" s="3"/>
      <c r="K13" s="2"/>
      <c r="L13" s="2"/>
      <c r="M13" s="2"/>
      <c r="N13" s="3"/>
      <c r="O13" s="3"/>
      <c r="P13" s="3"/>
      <c r="Q13" s="17"/>
      <c r="S13" s="17"/>
      <c r="T13" s="17"/>
      <c r="V13" t="s">
        <v>57</v>
      </c>
    </row>
    <row r="14" spans="1:33" x14ac:dyDescent="0.2">
      <c r="A14" t="s">
        <v>20</v>
      </c>
      <c r="B14" s="2">
        <v>20.5182</v>
      </c>
      <c r="C14" s="2">
        <v>45.351999999999997</v>
      </c>
      <c r="D14" s="2">
        <f>C14-B14</f>
        <v>24.833799999999997</v>
      </c>
      <c r="E14" s="2">
        <v>21.9011</v>
      </c>
      <c r="F14" s="54">
        <f>(E14+E15+E16)/3</f>
        <v>21.972533333333331</v>
      </c>
      <c r="G14" s="2">
        <v>21.099699999999999</v>
      </c>
      <c r="H14" s="2">
        <f t="shared" ref="H14:H16" si="11">E14-B14</f>
        <v>1.3828999999999994</v>
      </c>
      <c r="I14" s="2">
        <f t="shared" ref="I14:I16" si="12">E14-G14</f>
        <v>0.801400000000001</v>
      </c>
      <c r="J14" s="54">
        <f>(I14+I15+I16)/3</f>
        <v>0.80910000000000082</v>
      </c>
      <c r="K14" s="2">
        <f>(H14/D14)*100</f>
        <v>5.5686201870031953</v>
      </c>
      <c r="L14" s="2">
        <f t="shared" ref="L14:L16" si="13">(I14/D14)*100</f>
        <v>3.2270534513445428</v>
      </c>
      <c r="M14" s="2">
        <f t="shared" ref="M14:M16" si="14">I14/H14*100</f>
        <v>57.950683346590594</v>
      </c>
      <c r="N14" s="54">
        <f>(K14+K15+K16)/3</f>
        <v>5.5774006338181836</v>
      </c>
      <c r="O14" s="54">
        <f>(L14+L15+L16)/3</f>
        <v>3.2026788019052521</v>
      </c>
      <c r="P14" s="54"/>
      <c r="Q14" s="57">
        <v>7.97</v>
      </c>
      <c r="R14" s="58"/>
      <c r="S14" s="59">
        <v>20</v>
      </c>
      <c r="T14" s="57">
        <f t="shared" ref="T14" si="15">S14*100</f>
        <v>2000</v>
      </c>
      <c r="U14" t="s">
        <v>61</v>
      </c>
      <c r="V14" s="8">
        <f>SUM(36-V4)</f>
        <v>35.552194538326596</v>
      </c>
      <c r="W14" s="8">
        <f t="shared" ref="W14:X14" si="16">SUM(36-W4)</f>
        <v>34.20877815330639</v>
      </c>
      <c r="X14" s="8">
        <f t="shared" si="16"/>
        <v>32.865361768286178</v>
      </c>
    </row>
    <row r="15" spans="1:33" x14ac:dyDescent="0.2">
      <c r="A15" t="s">
        <v>20</v>
      </c>
      <c r="B15" s="2">
        <v>20.7501</v>
      </c>
      <c r="C15" s="2">
        <v>46.766300000000001</v>
      </c>
      <c r="D15" s="2">
        <f t="shared" ref="D15:D16" si="17">C15-B15</f>
        <v>26.016200000000001</v>
      </c>
      <c r="E15" s="2">
        <v>22.1995</v>
      </c>
      <c r="F15" s="54"/>
      <c r="G15" s="2">
        <v>21.369299999999999</v>
      </c>
      <c r="H15" s="2">
        <f t="shared" si="11"/>
        <v>1.4494000000000007</v>
      </c>
      <c r="I15" s="2">
        <f t="shared" si="12"/>
        <v>0.83020000000000138</v>
      </c>
      <c r="J15" s="54"/>
      <c r="K15" s="2">
        <f>(H15/D15)*100</f>
        <v>5.5711441332708107</v>
      </c>
      <c r="L15" s="2">
        <f t="shared" si="13"/>
        <v>3.1910886293924605</v>
      </c>
      <c r="M15" s="2">
        <f t="shared" si="14"/>
        <v>57.278874016834621</v>
      </c>
      <c r="N15" s="54"/>
      <c r="O15" s="54"/>
      <c r="P15" s="54"/>
      <c r="Q15" s="57"/>
      <c r="R15" s="58"/>
      <c r="S15" s="59"/>
      <c r="T15" s="57"/>
      <c r="U15" t="s">
        <v>62</v>
      </c>
      <c r="V15" s="8">
        <f>SUM(36-V7)</f>
        <v>34.058784893176828</v>
      </c>
      <c r="W15" s="8">
        <f t="shared" ref="W15:X15" si="18">SUM(36-W7)</f>
        <v>28.235139572707318</v>
      </c>
      <c r="X15" s="8">
        <f t="shared" si="18"/>
        <v>22.411494252237809</v>
      </c>
    </row>
    <row r="16" spans="1:33" x14ac:dyDescent="0.2">
      <c r="A16" t="s">
        <v>20</v>
      </c>
      <c r="B16" s="2">
        <v>20.422000000000001</v>
      </c>
      <c r="C16" s="2">
        <v>45.366399999999999</v>
      </c>
      <c r="D16" s="2">
        <f t="shared" si="17"/>
        <v>24.944399999999998</v>
      </c>
      <c r="E16" s="2">
        <v>21.817</v>
      </c>
      <c r="F16" s="54"/>
      <c r="G16" s="2">
        <v>21.0213</v>
      </c>
      <c r="H16" s="2">
        <f t="shared" si="11"/>
        <v>1.3949999999999996</v>
      </c>
      <c r="I16" s="2">
        <f t="shared" si="12"/>
        <v>0.79570000000000007</v>
      </c>
      <c r="J16" s="54"/>
      <c r="K16" s="2">
        <f>(H16/D16)*100</f>
        <v>5.592437581180544</v>
      </c>
      <c r="L16" s="2">
        <f t="shared" si="13"/>
        <v>3.189894324978753</v>
      </c>
      <c r="M16" s="2">
        <f t="shared" si="14"/>
        <v>57.039426523297507</v>
      </c>
      <c r="N16" s="54"/>
      <c r="O16" s="54"/>
      <c r="P16" s="54"/>
      <c r="Q16" s="57"/>
      <c r="R16" s="58"/>
      <c r="S16" s="59"/>
      <c r="T16" s="57"/>
      <c r="U16" t="s">
        <v>63</v>
      </c>
      <c r="V16" s="8">
        <f>SUM(36-V10)</f>
        <v>35.048589649811426</v>
      </c>
      <c r="W16" s="8">
        <f t="shared" ref="W16:X16" si="19">SUM(36-W10)</f>
        <v>32.194358599245689</v>
      </c>
      <c r="X16" s="8">
        <f t="shared" si="19"/>
        <v>29.340127548679963</v>
      </c>
    </row>
    <row r="17" spans="1:33" x14ac:dyDescent="0.2">
      <c r="B17" s="2"/>
      <c r="C17" s="2"/>
      <c r="D17" s="2"/>
      <c r="E17" s="2"/>
      <c r="F17" s="7"/>
      <c r="G17" s="2"/>
      <c r="H17" s="2"/>
      <c r="I17" s="2"/>
      <c r="J17" s="7"/>
      <c r="K17" s="2"/>
      <c r="L17" s="16"/>
      <c r="Q17" s="10"/>
      <c r="R17" s="10"/>
      <c r="S17" s="11"/>
      <c r="T17" s="11"/>
    </row>
    <row r="18" spans="1:33" x14ac:dyDescent="0.2">
      <c r="A18" s="2"/>
      <c r="B18" s="7"/>
      <c r="C18" s="2"/>
      <c r="D18" s="9"/>
    </row>
    <row r="19" spans="1:33" x14ac:dyDescent="0.2">
      <c r="A19" s="10" t="s">
        <v>39</v>
      </c>
      <c r="B19" s="18" t="s">
        <v>27</v>
      </c>
      <c r="C19" s="19">
        <v>4.7300000000000004</v>
      </c>
      <c r="D19" s="20" t="s">
        <v>28</v>
      </c>
      <c r="E19" s="21" t="s">
        <v>29</v>
      </c>
      <c r="F19" s="22">
        <v>4.68</v>
      </c>
      <c r="G19" s="21" t="s">
        <v>30</v>
      </c>
      <c r="H19" s="21" t="s">
        <v>31</v>
      </c>
      <c r="I19" s="20"/>
      <c r="J19" s="23"/>
      <c r="K19" s="23"/>
      <c r="L19" s="10" t="s">
        <v>77</v>
      </c>
      <c r="M19" s="18" t="s">
        <v>27</v>
      </c>
      <c r="N19" s="19">
        <v>4.7300000000000004</v>
      </c>
      <c r="O19" s="20" t="s">
        <v>28</v>
      </c>
      <c r="P19" s="21" t="s">
        <v>29</v>
      </c>
      <c r="Q19" s="22">
        <v>4.68</v>
      </c>
      <c r="R19" s="21" t="s">
        <v>30</v>
      </c>
      <c r="S19" s="21" t="s">
        <v>31</v>
      </c>
      <c r="T19" s="20"/>
      <c r="U19" s="23"/>
    </row>
    <row r="20" spans="1:33" x14ac:dyDescent="0.2">
      <c r="A20" s="24"/>
      <c r="B20" s="21" t="s">
        <v>32</v>
      </c>
      <c r="C20" s="22">
        <v>4.7</v>
      </c>
      <c r="D20" s="25">
        <f>AVERAGE(C19:C20)</f>
        <v>4.7149999999999999</v>
      </c>
      <c r="E20" s="21" t="s">
        <v>33</v>
      </c>
      <c r="F20" s="22">
        <v>4.83</v>
      </c>
      <c r="G20" s="26">
        <f>(F19+F20)/2</f>
        <v>4.7549999999999999</v>
      </c>
      <c r="H20" s="27">
        <f>(3.8*0.0338)/G20</f>
        <v>2.7011566771819134E-2</v>
      </c>
      <c r="I20" s="21"/>
      <c r="J20" s="23"/>
      <c r="K20" s="23"/>
      <c r="L20" s="24"/>
      <c r="M20" s="21" t="s">
        <v>32</v>
      </c>
      <c r="N20" s="22">
        <v>4.7</v>
      </c>
      <c r="O20" s="25">
        <f>AVERAGE(N19:N20)</f>
        <v>4.7149999999999999</v>
      </c>
      <c r="P20" s="21" t="s">
        <v>33</v>
      </c>
      <c r="Q20" s="22">
        <v>4.83</v>
      </c>
      <c r="R20" s="26">
        <f>(Q19+Q20)/2</f>
        <v>4.7549999999999999</v>
      </c>
      <c r="S20" s="27">
        <f>(3.8*0.0338)/R20</f>
        <v>2.7011566771819134E-2</v>
      </c>
      <c r="T20" s="21"/>
      <c r="U20" s="23"/>
    </row>
    <row r="21" spans="1:33" ht="34" x14ac:dyDescent="0.2">
      <c r="A21" s="28"/>
      <c r="B21" s="24"/>
      <c r="C21" s="24" t="s">
        <v>80</v>
      </c>
      <c r="D21" s="21" t="s">
        <v>34</v>
      </c>
      <c r="E21" s="29" t="s">
        <v>31</v>
      </c>
      <c r="F21" s="30" t="s">
        <v>35</v>
      </c>
      <c r="G21" s="21" t="s">
        <v>36</v>
      </c>
      <c r="H21" s="26" t="s">
        <v>37</v>
      </c>
      <c r="I21" s="32" t="s">
        <v>40</v>
      </c>
      <c r="J21" s="31" t="s">
        <v>38</v>
      </c>
      <c r="K21" s="28"/>
      <c r="L21" s="28"/>
      <c r="M21" s="24"/>
      <c r="N21" s="24" t="s">
        <v>79</v>
      </c>
      <c r="O21" s="21" t="s">
        <v>34</v>
      </c>
      <c r="P21" s="29" t="s">
        <v>31</v>
      </c>
      <c r="Q21" s="30" t="s">
        <v>35</v>
      </c>
      <c r="R21" s="21" t="s">
        <v>36</v>
      </c>
      <c r="S21" s="26" t="s">
        <v>37</v>
      </c>
      <c r="T21" s="32" t="s">
        <v>40</v>
      </c>
      <c r="U21" s="31" t="s">
        <v>38</v>
      </c>
      <c r="V21" s="10"/>
      <c r="W21" s="24"/>
      <c r="X21" s="24"/>
      <c r="Y21" s="24"/>
      <c r="Z21" s="24"/>
      <c r="AA21" s="21"/>
      <c r="AB21" s="29"/>
      <c r="AC21" s="30"/>
      <c r="AD21" s="21"/>
      <c r="AE21" s="26"/>
      <c r="AF21" s="21"/>
      <c r="AG21" s="31"/>
    </row>
    <row r="22" spans="1:33" ht="17" thickBot="1" x14ac:dyDescent="0.25">
      <c r="A22" s="32" t="s">
        <v>40</v>
      </c>
      <c r="B22" s="20" t="s">
        <v>41</v>
      </c>
      <c r="C22" s="31">
        <v>3.8</v>
      </c>
      <c r="D22" s="25">
        <f>$D$20</f>
        <v>4.7149999999999999</v>
      </c>
      <c r="E22" s="33">
        <f>$H$20</f>
        <v>2.7011566771819134E-2</v>
      </c>
      <c r="F22" s="34">
        <f>(D22-C22)*E22*4000</f>
        <v>98.86233438485803</v>
      </c>
      <c r="G22" s="35">
        <v>1000</v>
      </c>
      <c r="H22" s="36">
        <f>F22*G22</f>
        <v>98862.334384858026</v>
      </c>
      <c r="I22" t="s">
        <v>52</v>
      </c>
      <c r="K22" s="32"/>
      <c r="L22" s="32" t="s">
        <v>40</v>
      </c>
      <c r="M22" s="20" t="s">
        <v>41</v>
      </c>
      <c r="N22" s="31">
        <v>3.77</v>
      </c>
      <c r="O22" s="25">
        <f>$O$20</f>
        <v>4.7149999999999999</v>
      </c>
      <c r="P22" s="33">
        <f>$S$20</f>
        <v>2.7011566771819134E-2</v>
      </c>
      <c r="Q22" s="34">
        <f>(O22-N22)*P22*4000</f>
        <v>102.1037223974763</v>
      </c>
      <c r="R22" s="35">
        <v>4000</v>
      </c>
      <c r="S22" s="36">
        <f>Q22*R22</f>
        <v>408414.88958990521</v>
      </c>
      <c r="T22" t="s">
        <v>86</v>
      </c>
      <c r="V22" s="32"/>
      <c r="W22" s="20"/>
      <c r="X22" s="31"/>
      <c r="Y22" s="31"/>
      <c r="Z22" s="31"/>
      <c r="AA22" s="25"/>
      <c r="AB22" s="33"/>
      <c r="AC22" s="34"/>
      <c r="AD22" s="35"/>
      <c r="AE22" s="36"/>
      <c r="AF22" s="37"/>
      <c r="AG22" s="38"/>
    </row>
    <row r="23" spans="1:33" ht="17" thickBot="1" x14ac:dyDescent="0.25">
      <c r="A23" s="32"/>
      <c r="B23" s="20" t="s">
        <v>41</v>
      </c>
      <c r="C23" s="31">
        <v>3.95</v>
      </c>
      <c r="D23" s="25">
        <f t="shared" ref="D23:D30" si="20">$D$20</f>
        <v>4.7149999999999999</v>
      </c>
      <c r="E23" s="33">
        <f t="shared" ref="E23:E30" si="21">$H$20</f>
        <v>2.7011566771819134E-2</v>
      </c>
      <c r="F23" s="34">
        <f t="shared" ref="F23:F30" si="22">(D23-C23)*E23*4000</f>
        <v>82.655394321766508</v>
      </c>
      <c r="G23" s="35">
        <v>1000</v>
      </c>
      <c r="H23" s="36">
        <f t="shared" ref="H23:H30" si="23">F23*G23</f>
        <v>82655.394321766507</v>
      </c>
      <c r="I23" s="53">
        <f>AVERAGE(H22:H25,H27:H30)</f>
        <v>144511.88222923235</v>
      </c>
      <c r="J23" s="38">
        <f>STDEV(H22:H25,H27:H30)/SQRT(8)</f>
        <v>17856.551580814074</v>
      </c>
      <c r="K23" s="32"/>
      <c r="L23" s="32"/>
      <c r="M23" s="20" t="s">
        <v>42</v>
      </c>
      <c r="N23" s="31">
        <v>3.74</v>
      </c>
      <c r="O23" s="25">
        <f t="shared" ref="O23:O25" si="24">$O$20</f>
        <v>4.7149999999999999</v>
      </c>
      <c r="P23" s="33">
        <f t="shared" ref="P23:P25" si="25">$S$20</f>
        <v>2.7011566771819134E-2</v>
      </c>
      <c r="Q23" s="34">
        <f t="shared" ref="Q23:Q25" si="26">(O23-N23)*P23*4000</f>
        <v>105.34511041009459</v>
      </c>
      <c r="R23" s="35">
        <v>4000</v>
      </c>
      <c r="S23" s="36">
        <f t="shared" ref="S23:S25" si="27">Q23*R23</f>
        <v>421380.44164037838</v>
      </c>
      <c r="T23" s="39">
        <f>AVERAGE(S22:S25)</f>
        <v>428943.68033648783</v>
      </c>
      <c r="U23" s="38">
        <f>STDEV(S22:S25)/SQRT(4)</f>
        <v>9231.4771066127014</v>
      </c>
      <c r="V23" s="32"/>
      <c r="W23" s="20"/>
      <c r="X23" s="31"/>
      <c r="Y23" s="31"/>
      <c r="Z23" s="31"/>
      <c r="AA23" s="25"/>
      <c r="AB23" s="33"/>
      <c r="AC23" s="34"/>
      <c r="AD23" s="35"/>
      <c r="AE23" s="36"/>
      <c r="AF23" s="37"/>
      <c r="AG23" s="37"/>
    </row>
    <row r="24" spans="1:33" ht="17" thickBot="1" x14ac:dyDescent="0.25">
      <c r="A24" s="32"/>
      <c r="B24" s="20" t="s">
        <v>41</v>
      </c>
      <c r="C24" s="31">
        <v>3.96</v>
      </c>
      <c r="D24" s="25">
        <f t="shared" si="20"/>
        <v>4.7149999999999999</v>
      </c>
      <c r="E24" s="33">
        <f t="shared" si="21"/>
        <v>2.7011566771819134E-2</v>
      </c>
      <c r="F24" s="34">
        <f t="shared" si="22"/>
        <v>81.574931650893774</v>
      </c>
      <c r="G24" s="35">
        <v>1000</v>
      </c>
      <c r="H24" s="36">
        <f t="shared" si="23"/>
        <v>81574.931650893777</v>
      </c>
      <c r="I24" s="37" t="s">
        <v>53</v>
      </c>
      <c r="K24" s="32"/>
      <c r="L24" s="32"/>
      <c r="M24" s="20" t="s">
        <v>43</v>
      </c>
      <c r="N24" s="31">
        <v>3.71</v>
      </c>
      <c r="O24" s="25">
        <f t="shared" si="24"/>
        <v>4.7149999999999999</v>
      </c>
      <c r="P24" s="33">
        <f t="shared" si="25"/>
        <v>2.7011566771819134E-2</v>
      </c>
      <c r="Q24" s="34">
        <f t="shared" si="26"/>
        <v>108.58649842271291</v>
      </c>
      <c r="R24" s="35">
        <v>4000</v>
      </c>
      <c r="S24" s="36">
        <f t="shared" si="27"/>
        <v>434345.99369085161</v>
      </c>
      <c r="T24" s="37" t="s">
        <v>87</v>
      </c>
      <c r="V24" s="40"/>
      <c r="W24" s="20"/>
      <c r="AA24" s="25"/>
      <c r="AB24" s="33"/>
      <c r="AC24" s="34"/>
      <c r="AD24" s="35"/>
      <c r="AE24" s="36"/>
      <c r="AF24" s="37"/>
      <c r="AG24" s="37"/>
    </row>
    <row r="25" spans="1:33" ht="17" thickBot="1" x14ac:dyDescent="0.25">
      <c r="B25" s="20" t="s">
        <v>42</v>
      </c>
      <c r="C25" s="31">
        <v>2.95</v>
      </c>
      <c r="D25" s="25">
        <f t="shared" si="20"/>
        <v>4.7149999999999999</v>
      </c>
      <c r="E25" s="33">
        <f t="shared" si="21"/>
        <v>2.7011566771819134E-2</v>
      </c>
      <c r="F25" s="34">
        <f t="shared" si="22"/>
        <v>190.70166140904306</v>
      </c>
      <c r="G25" s="35">
        <v>1000</v>
      </c>
      <c r="H25" s="36">
        <f t="shared" si="23"/>
        <v>190701.66140904307</v>
      </c>
      <c r="I25" s="39">
        <f>I23/1000</f>
        <v>144.51188222923236</v>
      </c>
      <c r="J25" s="37">
        <f>J23/1000</f>
        <v>17.856551580814074</v>
      </c>
      <c r="K25" s="32"/>
      <c r="M25" s="20" t="s">
        <v>78</v>
      </c>
      <c r="N25" s="31">
        <v>3.67</v>
      </c>
      <c r="O25" s="25">
        <f t="shared" si="24"/>
        <v>4.7149999999999999</v>
      </c>
      <c r="P25" s="33">
        <f t="shared" si="25"/>
        <v>2.7011566771819134E-2</v>
      </c>
      <c r="Q25" s="34">
        <f t="shared" si="26"/>
        <v>112.90834910620397</v>
      </c>
      <c r="R25" s="35">
        <v>4000</v>
      </c>
      <c r="S25" s="36">
        <f t="shared" si="27"/>
        <v>451633.39642481587</v>
      </c>
      <c r="T25" s="39">
        <f>T23/1000</f>
        <v>428.94368033648783</v>
      </c>
      <c r="U25" s="37">
        <f>U23/1000</f>
        <v>9.2314771066127008</v>
      </c>
      <c r="V25" s="32"/>
    </row>
    <row r="26" spans="1:33" x14ac:dyDescent="0.2">
      <c r="A26" s="32"/>
      <c r="B26" s="20" t="s">
        <v>42</v>
      </c>
      <c r="C26" s="31">
        <v>2.17</v>
      </c>
      <c r="D26" s="25">
        <f t="shared" si="20"/>
        <v>4.7149999999999999</v>
      </c>
      <c r="E26" s="33">
        <f t="shared" si="21"/>
        <v>2.7011566771819134E-2</v>
      </c>
      <c r="F26" s="34">
        <f t="shared" si="22"/>
        <v>274.97774973711876</v>
      </c>
      <c r="G26" s="35">
        <v>1000</v>
      </c>
      <c r="H26" s="50">
        <f t="shared" si="23"/>
        <v>274977.74973711878</v>
      </c>
      <c r="I26" s="37"/>
      <c r="J26" s="37"/>
      <c r="K26" s="32"/>
      <c r="L26" s="32"/>
      <c r="M26" s="20"/>
      <c r="N26" s="31"/>
      <c r="O26" s="25"/>
      <c r="P26" s="33"/>
      <c r="Q26" s="34"/>
      <c r="R26" s="35"/>
      <c r="S26" s="50"/>
      <c r="T26" s="37"/>
      <c r="U26" s="37"/>
      <c r="V26" s="32"/>
    </row>
    <row r="27" spans="1:33" x14ac:dyDescent="0.2">
      <c r="A27" s="32"/>
      <c r="B27" s="20" t="s">
        <v>42</v>
      </c>
      <c r="C27" s="31">
        <v>3.26</v>
      </c>
      <c r="D27" s="25">
        <f t="shared" si="20"/>
        <v>4.7149999999999999</v>
      </c>
      <c r="E27" s="33">
        <f t="shared" si="21"/>
        <v>2.7011566771819134E-2</v>
      </c>
      <c r="F27" s="34">
        <f t="shared" si="22"/>
        <v>157.20731861198738</v>
      </c>
      <c r="G27" s="35">
        <v>1000</v>
      </c>
      <c r="H27" s="36">
        <f t="shared" si="23"/>
        <v>157207.31861198737</v>
      </c>
      <c r="I27" s="37"/>
      <c r="J27" s="37"/>
      <c r="K27" s="32"/>
      <c r="L27" s="32"/>
      <c r="M27" s="20"/>
      <c r="N27" s="31"/>
      <c r="O27" s="25"/>
      <c r="P27" s="33"/>
      <c r="Q27" s="34"/>
      <c r="R27" s="35"/>
      <c r="S27" s="36"/>
      <c r="T27" s="37"/>
      <c r="U27" s="37"/>
      <c r="V27" s="40"/>
    </row>
    <row r="28" spans="1:33" x14ac:dyDescent="0.2">
      <c r="B28" s="20" t="s">
        <v>43</v>
      </c>
      <c r="C28" s="31">
        <v>3.07</v>
      </c>
      <c r="D28" s="25">
        <f t="shared" si="20"/>
        <v>4.7149999999999999</v>
      </c>
      <c r="E28" s="33">
        <f t="shared" si="21"/>
        <v>2.7011566771819134E-2</v>
      </c>
      <c r="F28" s="34">
        <f t="shared" si="22"/>
        <v>177.73610935856991</v>
      </c>
      <c r="G28" s="35">
        <v>1000</v>
      </c>
      <c r="H28" s="36">
        <f t="shared" si="23"/>
        <v>177736.1093585699</v>
      </c>
      <c r="I28" s="37"/>
      <c r="J28" s="38"/>
      <c r="K28" s="32"/>
      <c r="M28" s="20"/>
      <c r="N28" s="31"/>
      <c r="O28" s="25"/>
      <c r="P28" s="33"/>
      <c r="Q28" s="34"/>
      <c r="R28" s="35"/>
      <c r="S28" s="36"/>
      <c r="T28" s="37"/>
      <c r="U28" s="38"/>
      <c r="V28" s="40"/>
    </row>
    <row r="29" spans="1:33" x14ac:dyDescent="0.2">
      <c r="A29" s="32"/>
      <c r="B29" s="20" t="s">
        <v>43</v>
      </c>
      <c r="C29" s="31">
        <v>3.27</v>
      </c>
      <c r="D29" s="25">
        <f t="shared" si="20"/>
        <v>4.7149999999999999</v>
      </c>
      <c r="E29" s="33">
        <f t="shared" si="21"/>
        <v>2.7011566771819134E-2</v>
      </c>
      <c r="F29" s="34">
        <f t="shared" si="22"/>
        <v>156.12685594111457</v>
      </c>
      <c r="G29" s="35">
        <v>1000</v>
      </c>
      <c r="H29" s="36">
        <f t="shared" si="23"/>
        <v>156126.85594111457</v>
      </c>
      <c r="I29" s="37"/>
      <c r="J29" s="37"/>
      <c r="K29" s="32"/>
      <c r="L29" s="32"/>
      <c r="M29" s="20"/>
      <c r="N29" s="31"/>
      <c r="O29" s="25"/>
      <c r="P29" s="33"/>
      <c r="Q29" s="34"/>
      <c r="R29" s="35"/>
      <c r="S29" s="36"/>
      <c r="T29" s="37"/>
      <c r="U29" s="37"/>
      <c r="V29" s="32"/>
    </row>
    <row r="30" spans="1:33" x14ac:dyDescent="0.2">
      <c r="A30" s="7"/>
      <c r="B30" s="20" t="s">
        <v>43</v>
      </c>
      <c r="C30" s="31">
        <v>2.76</v>
      </c>
      <c r="D30" s="25">
        <f t="shared" si="20"/>
        <v>4.7149999999999999</v>
      </c>
      <c r="E30" s="33">
        <f t="shared" si="21"/>
        <v>2.7011566771819134E-2</v>
      </c>
      <c r="F30" s="34">
        <f t="shared" si="22"/>
        <v>211.23045215562564</v>
      </c>
      <c r="G30" s="35">
        <v>1000</v>
      </c>
      <c r="H30" s="36">
        <f t="shared" si="23"/>
        <v>211230.45215562565</v>
      </c>
      <c r="L30" s="7"/>
      <c r="M30" s="20"/>
      <c r="N30" s="31"/>
      <c r="O30" s="25"/>
      <c r="P30" s="33"/>
      <c r="Q30" s="34"/>
      <c r="R30" s="35"/>
      <c r="S30" s="36"/>
      <c r="V30" s="32"/>
    </row>
    <row r="31" spans="1:33" x14ac:dyDescent="0.2">
      <c r="A31" s="7"/>
      <c r="B31" s="20"/>
      <c r="D31" s="25"/>
      <c r="E31" s="33"/>
      <c r="T31" s="40"/>
      <c r="U31" s="40"/>
      <c r="V31" s="40"/>
    </row>
    <row r="32" spans="1:33" x14ac:dyDescent="0.2">
      <c r="A32" s="10" t="s">
        <v>39</v>
      </c>
      <c r="B32" s="18" t="s">
        <v>27</v>
      </c>
      <c r="C32" s="19">
        <v>5.58</v>
      </c>
      <c r="D32" s="20" t="s">
        <v>28</v>
      </c>
      <c r="E32" s="21" t="s">
        <v>29</v>
      </c>
      <c r="F32" s="22">
        <v>5.6</v>
      </c>
      <c r="G32" s="21" t="s">
        <v>30</v>
      </c>
      <c r="H32" s="21" t="s">
        <v>31</v>
      </c>
      <c r="I32" s="20"/>
      <c r="J32" s="23"/>
      <c r="L32" s="10" t="s">
        <v>77</v>
      </c>
      <c r="M32" s="18" t="s">
        <v>27</v>
      </c>
      <c r="N32" s="19">
        <v>5.58</v>
      </c>
      <c r="O32" s="20" t="s">
        <v>28</v>
      </c>
      <c r="P32" s="21" t="s">
        <v>29</v>
      </c>
      <c r="Q32" s="22">
        <v>5.6</v>
      </c>
      <c r="R32" s="21" t="s">
        <v>30</v>
      </c>
      <c r="S32" s="21" t="s">
        <v>31</v>
      </c>
      <c r="T32" s="20"/>
      <c r="U32" s="23"/>
    </row>
    <row r="33" spans="1:21" x14ac:dyDescent="0.2">
      <c r="A33" s="24"/>
      <c r="B33" s="21" t="s">
        <v>32</v>
      </c>
      <c r="C33" s="22">
        <v>5.66</v>
      </c>
      <c r="D33" s="25">
        <f>AVERAGE(C32:C33)</f>
        <v>5.62</v>
      </c>
      <c r="E33" s="21" t="s">
        <v>33</v>
      </c>
      <c r="F33" s="22">
        <v>5.53</v>
      </c>
      <c r="G33" s="26">
        <f>(F32+F33)/2</f>
        <v>5.5649999999999995</v>
      </c>
      <c r="H33" s="27">
        <f>(3.8*0.0338)/G33</f>
        <v>2.3079964061096133E-2</v>
      </c>
      <c r="I33" s="21"/>
      <c r="J33" s="23"/>
      <c r="L33" s="24"/>
      <c r="M33" s="21" t="s">
        <v>32</v>
      </c>
      <c r="N33" s="22">
        <v>5.66</v>
      </c>
      <c r="O33" s="25">
        <f>AVERAGE(N32:N33)</f>
        <v>5.62</v>
      </c>
      <c r="P33" s="21" t="s">
        <v>33</v>
      </c>
      <c r="Q33" s="22">
        <v>5.53</v>
      </c>
      <c r="R33" s="26">
        <f>(Q32+Q33)/2</f>
        <v>5.5649999999999995</v>
      </c>
      <c r="S33" s="27">
        <f>(3.8*0.0338)/R33</f>
        <v>2.3079964061096133E-2</v>
      </c>
      <c r="T33" s="21"/>
      <c r="U33" s="23"/>
    </row>
    <row r="34" spans="1:21" ht="34" x14ac:dyDescent="0.2">
      <c r="A34" s="28"/>
      <c r="B34" s="24"/>
      <c r="C34" s="24" t="s">
        <v>81</v>
      </c>
      <c r="D34" s="21" t="s">
        <v>34</v>
      </c>
      <c r="E34" s="29" t="s">
        <v>31</v>
      </c>
      <c r="F34" s="30" t="s">
        <v>35</v>
      </c>
      <c r="G34" s="21" t="s">
        <v>36</v>
      </c>
      <c r="H34" s="26" t="s">
        <v>37</v>
      </c>
      <c r="I34" s="32" t="s">
        <v>44</v>
      </c>
      <c r="J34" s="31" t="s">
        <v>38</v>
      </c>
      <c r="L34" s="28"/>
      <c r="M34" s="24"/>
      <c r="N34" s="24" t="s">
        <v>85</v>
      </c>
      <c r="O34" s="21" t="s">
        <v>34</v>
      </c>
      <c r="P34" s="29" t="s">
        <v>31</v>
      </c>
      <c r="Q34" s="30" t="s">
        <v>35</v>
      </c>
      <c r="R34" s="21" t="s">
        <v>36</v>
      </c>
      <c r="S34" s="26" t="s">
        <v>37</v>
      </c>
      <c r="T34" s="32" t="s">
        <v>44</v>
      </c>
      <c r="U34" s="31" t="s">
        <v>38</v>
      </c>
    </row>
    <row r="35" spans="1:21" ht="17" thickBot="1" x14ac:dyDescent="0.25">
      <c r="A35" s="32" t="s">
        <v>44</v>
      </c>
      <c r="B35" s="20" t="s">
        <v>45</v>
      </c>
      <c r="C35" s="31">
        <v>2.84</v>
      </c>
      <c r="D35" s="25">
        <f>$D$33</f>
        <v>5.62</v>
      </c>
      <c r="E35" s="33">
        <f>$H$33</f>
        <v>2.3079964061096133E-2</v>
      </c>
      <c r="F35" s="34">
        <f>(D35-C35)*E35*4000</f>
        <v>256.64920035938906</v>
      </c>
      <c r="G35" s="35">
        <v>100</v>
      </c>
      <c r="H35" s="36">
        <f>F35*G35</f>
        <v>25664.920035938907</v>
      </c>
      <c r="I35" t="s">
        <v>52</v>
      </c>
      <c r="L35" s="32" t="s">
        <v>44</v>
      </c>
      <c r="M35" s="20" t="s">
        <v>45</v>
      </c>
      <c r="N35" s="31">
        <v>2.72</v>
      </c>
      <c r="O35" s="25">
        <f>$O$33</f>
        <v>5.62</v>
      </c>
      <c r="P35" s="33">
        <f>$S$33</f>
        <v>2.3079964061096133E-2</v>
      </c>
      <c r="Q35" s="34">
        <f>(O35-N35)*P35*4000</f>
        <v>267.72758310871512</v>
      </c>
      <c r="R35" s="35">
        <v>1000</v>
      </c>
      <c r="S35" s="36">
        <f>Q35*R35</f>
        <v>267727.58310871513</v>
      </c>
      <c r="T35" t="s">
        <v>86</v>
      </c>
    </row>
    <row r="36" spans="1:21" ht="17" thickBot="1" x14ac:dyDescent="0.25">
      <c r="A36" s="32"/>
      <c r="B36" s="20" t="s">
        <v>45</v>
      </c>
      <c r="C36" s="31">
        <v>2.44</v>
      </c>
      <c r="D36" s="25">
        <f t="shared" ref="D36:D43" si="28">$D$33</f>
        <v>5.62</v>
      </c>
      <c r="E36" s="33">
        <f t="shared" ref="E36:E43" si="29">$H$33</f>
        <v>2.3079964061096133E-2</v>
      </c>
      <c r="F36" s="34">
        <f t="shared" ref="F36:F43" si="30">(D36-C36)*E36*4000</f>
        <v>293.5771428571428</v>
      </c>
      <c r="G36" s="35">
        <v>100</v>
      </c>
      <c r="H36" s="36">
        <f t="shared" ref="H36:H43" si="31">F36*G36</f>
        <v>29357.714285714279</v>
      </c>
      <c r="I36" s="39">
        <f>AVERAGE(H35:H43)</f>
        <v>28465.289008685235</v>
      </c>
      <c r="J36" s="38">
        <f>STDEV(H35:H43)/SQRT(9)</f>
        <v>650.43835894704466</v>
      </c>
      <c r="L36" s="32"/>
      <c r="M36" s="20" t="s">
        <v>46</v>
      </c>
      <c r="N36" s="31">
        <v>2.44</v>
      </c>
      <c r="O36" s="25">
        <f t="shared" ref="O36:O38" si="32">$O$33</f>
        <v>5.62</v>
      </c>
      <c r="P36" s="33">
        <f t="shared" ref="P36:P38" si="33">$S$33</f>
        <v>2.3079964061096133E-2</v>
      </c>
      <c r="Q36" s="34">
        <f t="shared" ref="Q36:Q38" si="34">(O36-N36)*P36*4000</f>
        <v>293.5771428571428</v>
      </c>
      <c r="R36" s="35">
        <v>1000</v>
      </c>
      <c r="S36" s="36">
        <f t="shared" ref="S36:S38" si="35">Q36*R36</f>
        <v>293577.14285714278</v>
      </c>
      <c r="T36" s="39">
        <f>AVERAGE(S35:S38)</f>
        <v>282267.96046720573</v>
      </c>
      <c r="U36" s="38">
        <f>STDEV(S35:S38)/SQRT(4)</f>
        <v>6242.9774056667611</v>
      </c>
    </row>
    <row r="37" spans="1:21" ht="17" thickBot="1" x14ac:dyDescent="0.25">
      <c r="A37" s="32"/>
      <c r="B37" s="20" t="s">
        <v>45</v>
      </c>
      <c r="C37" s="31">
        <v>2.86</v>
      </c>
      <c r="D37" s="25">
        <f t="shared" si="28"/>
        <v>5.62</v>
      </c>
      <c r="E37" s="33">
        <f t="shared" si="29"/>
        <v>2.3079964061096133E-2</v>
      </c>
      <c r="F37" s="34">
        <f t="shared" si="30"/>
        <v>254.80280323450134</v>
      </c>
      <c r="G37" s="35">
        <v>100</v>
      </c>
      <c r="H37" s="36">
        <f t="shared" si="31"/>
        <v>25480.280323450133</v>
      </c>
      <c r="I37" s="37" t="s">
        <v>53</v>
      </c>
      <c r="L37" s="32"/>
      <c r="M37" s="20" t="s">
        <v>47</v>
      </c>
      <c r="N37" s="31">
        <v>2.63</v>
      </c>
      <c r="O37" s="25">
        <f t="shared" si="32"/>
        <v>5.62</v>
      </c>
      <c r="P37" s="33">
        <f t="shared" si="33"/>
        <v>2.3079964061096133E-2</v>
      </c>
      <c r="Q37" s="34">
        <f t="shared" si="34"/>
        <v>276.03637017070974</v>
      </c>
      <c r="R37" s="35">
        <v>1000</v>
      </c>
      <c r="S37" s="36">
        <f t="shared" si="35"/>
        <v>276036.37017070974</v>
      </c>
      <c r="T37" s="37" t="s">
        <v>87</v>
      </c>
    </row>
    <row r="38" spans="1:21" ht="17" thickBot="1" x14ac:dyDescent="0.25">
      <c r="B38" s="20" t="s">
        <v>46</v>
      </c>
      <c r="C38" s="31">
        <v>2.46</v>
      </c>
      <c r="D38" s="25">
        <f t="shared" si="28"/>
        <v>5.62</v>
      </c>
      <c r="E38" s="33">
        <f t="shared" si="29"/>
        <v>2.3079964061096133E-2</v>
      </c>
      <c r="F38" s="34">
        <f t="shared" si="30"/>
        <v>291.73074573225517</v>
      </c>
      <c r="G38" s="35">
        <v>100</v>
      </c>
      <c r="H38" s="36">
        <f t="shared" si="31"/>
        <v>29173.074573225516</v>
      </c>
      <c r="I38" s="39">
        <f>I36/1000</f>
        <v>28.465289008685236</v>
      </c>
      <c r="J38" s="37">
        <f>J36/1000</f>
        <v>0.65043835894704471</v>
      </c>
      <c r="M38" s="20" t="s">
        <v>84</v>
      </c>
      <c r="N38" s="31">
        <v>2.46</v>
      </c>
      <c r="O38" s="25">
        <f t="shared" si="32"/>
        <v>5.62</v>
      </c>
      <c r="P38" s="33">
        <f t="shared" si="33"/>
        <v>2.3079964061096133E-2</v>
      </c>
      <c r="Q38" s="34">
        <f t="shared" si="34"/>
        <v>291.73074573225517</v>
      </c>
      <c r="R38" s="35">
        <v>1000</v>
      </c>
      <c r="S38" s="36">
        <f t="shared" si="35"/>
        <v>291730.74573225516</v>
      </c>
      <c r="T38" s="39">
        <f>T36/1000</f>
        <v>282.26796046720574</v>
      </c>
      <c r="U38" s="37">
        <f>U36/1000</f>
        <v>6.2429774056667613</v>
      </c>
    </row>
    <row r="39" spans="1:21" x14ac:dyDescent="0.2">
      <c r="A39" s="32"/>
      <c r="B39" s="20" t="s">
        <v>46</v>
      </c>
      <c r="C39" s="31">
        <v>2.65</v>
      </c>
      <c r="D39" s="25">
        <f t="shared" si="28"/>
        <v>5.62</v>
      </c>
      <c r="E39" s="33">
        <f t="shared" si="29"/>
        <v>2.3079964061096133E-2</v>
      </c>
      <c r="F39" s="34">
        <f t="shared" si="30"/>
        <v>274.18997304582211</v>
      </c>
      <c r="G39" s="35">
        <v>100</v>
      </c>
      <c r="H39" s="36">
        <f t="shared" si="31"/>
        <v>27418.997304582212</v>
      </c>
      <c r="I39" s="37"/>
      <c r="J39" s="37"/>
      <c r="L39" s="32"/>
      <c r="M39" s="20"/>
      <c r="N39" s="31"/>
      <c r="O39" s="25"/>
      <c r="P39" s="33"/>
      <c r="Q39" s="34"/>
      <c r="R39" s="35"/>
      <c r="S39" s="36"/>
      <c r="T39" s="37"/>
      <c r="U39" s="37"/>
    </row>
    <row r="40" spans="1:21" x14ac:dyDescent="0.2">
      <c r="A40" s="32"/>
      <c r="B40" s="20" t="s">
        <v>46</v>
      </c>
      <c r="C40" s="31">
        <v>2.48</v>
      </c>
      <c r="D40" s="25">
        <f t="shared" si="28"/>
        <v>5.62</v>
      </c>
      <c r="E40" s="33">
        <f t="shared" si="29"/>
        <v>2.3079964061096133E-2</v>
      </c>
      <c r="F40" s="34">
        <f t="shared" si="30"/>
        <v>289.88434860736743</v>
      </c>
      <c r="G40" s="35">
        <v>100</v>
      </c>
      <c r="H40" s="36">
        <f t="shared" si="31"/>
        <v>28988.434860736743</v>
      </c>
      <c r="I40" s="37"/>
      <c r="J40" s="37"/>
      <c r="L40" s="32"/>
      <c r="M40" s="20"/>
      <c r="N40" s="31"/>
      <c r="O40" s="25"/>
      <c r="P40" s="33"/>
      <c r="Q40" s="34"/>
      <c r="R40" s="35"/>
      <c r="S40" s="36"/>
      <c r="T40" s="37"/>
      <c r="U40" s="37"/>
    </row>
    <row r="41" spans="1:21" x14ac:dyDescent="0.2">
      <c r="B41" s="20" t="s">
        <v>47</v>
      </c>
      <c r="C41" s="31">
        <v>2.39</v>
      </c>
      <c r="D41" s="25">
        <f t="shared" si="28"/>
        <v>5.62</v>
      </c>
      <c r="E41" s="33">
        <f t="shared" si="29"/>
        <v>2.3079964061096133E-2</v>
      </c>
      <c r="F41" s="34">
        <f t="shared" si="30"/>
        <v>298.19313566936205</v>
      </c>
      <c r="G41" s="35">
        <v>100</v>
      </c>
      <c r="H41" s="36">
        <f t="shared" si="31"/>
        <v>29819.313566936205</v>
      </c>
      <c r="I41" s="37"/>
      <c r="J41" s="38"/>
      <c r="M41" s="20"/>
      <c r="N41" s="31"/>
      <c r="O41" s="25"/>
      <c r="P41" s="33"/>
      <c r="Q41" s="34"/>
      <c r="R41" s="35"/>
      <c r="S41" s="36"/>
      <c r="T41" s="37"/>
      <c r="U41" s="38"/>
    </row>
    <row r="42" spans="1:21" x14ac:dyDescent="0.2">
      <c r="A42" s="32"/>
      <c r="B42" s="20" t="s">
        <v>47</v>
      </c>
      <c r="C42" s="31">
        <v>2.21</v>
      </c>
      <c r="D42" s="25">
        <f t="shared" si="28"/>
        <v>5.62</v>
      </c>
      <c r="E42" s="33">
        <f t="shared" si="29"/>
        <v>2.3079964061096133E-2</v>
      </c>
      <c r="F42" s="34">
        <f t="shared" si="30"/>
        <v>314.81070979335129</v>
      </c>
      <c r="G42" s="35">
        <v>100</v>
      </c>
      <c r="H42" s="36">
        <f t="shared" si="31"/>
        <v>31481.070979335131</v>
      </c>
      <c r="I42" s="37"/>
      <c r="J42" s="37"/>
      <c r="L42" s="32"/>
      <c r="M42" s="20"/>
      <c r="N42" s="31"/>
      <c r="O42" s="25"/>
      <c r="P42" s="33"/>
      <c r="Q42" s="34"/>
      <c r="R42" s="35"/>
      <c r="S42" s="36"/>
      <c r="T42" s="37"/>
      <c r="U42" s="37"/>
    </row>
    <row r="43" spans="1:21" x14ac:dyDescent="0.2">
      <c r="A43" s="7"/>
      <c r="B43" s="20" t="s">
        <v>47</v>
      </c>
      <c r="C43" s="31">
        <v>2.5</v>
      </c>
      <c r="D43" s="25">
        <f t="shared" si="28"/>
        <v>5.62</v>
      </c>
      <c r="E43" s="33">
        <f t="shared" si="29"/>
        <v>2.3079964061096133E-2</v>
      </c>
      <c r="F43" s="34">
        <f t="shared" si="30"/>
        <v>288.03795148247974</v>
      </c>
      <c r="G43" s="35">
        <v>100</v>
      </c>
      <c r="H43" s="36">
        <f t="shared" si="31"/>
        <v>28803.795148247973</v>
      </c>
      <c r="L43" s="7"/>
      <c r="M43" s="20"/>
      <c r="N43" s="31"/>
      <c r="O43" s="25"/>
      <c r="P43" s="33"/>
      <c r="Q43" s="34"/>
      <c r="R43" s="35"/>
      <c r="S43" s="36"/>
    </row>
    <row r="44" spans="1:21" x14ac:dyDescent="0.2">
      <c r="A44" s="7"/>
      <c r="B44" s="20"/>
      <c r="D44" s="25"/>
      <c r="E44" s="33"/>
      <c r="L44" s="7"/>
      <c r="M44" s="20"/>
      <c r="O44" s="25"/>
      <c r="P44" s="33"/>
    </row>
    <row r="45" spans="1:21" x14ac:dyDescent="0.2">
      <c r="A45" s="10" t="s">
        <v>39</v>
      </c>
      <c r="B45" s="18" t="s">
        <v>27</v>
      </c>
      <c r="C45" s="19">
        <v>4.6100000000000003</v>
      </c>
      <c r="D45" s="20" t="s">
        <v>28</v>
      </c>
      <c r="E45" s="21" t="s">
        <v>29</v>
      </c>
      <c r="F45" s="49">
        <v>4.72</v>
      </c>
      <c r="G45" s="21" t="s">
        <v>30</v>
      </c>
      <c r="H45" s="21" t="s">
        <v>31</v>
      </c>
      <c r="I45" s="20"/>
      <c r="J45" s="23"/>
      <c r="L45" s="10" t="s">
        <v>77</v>
      </c>
      <c r="M45" s="18" t="s">
        <v>27</v>
      </c>
      <c r="N45" s="19">
        <v>4.6100000000000003</v>
      </c>
      <c r="O45" s="20" t="s">
        <v>28</v>
      </c>
      <c r="P45" s="21" t="s">
        <v>29</v>
      </c>
      <c r="Q45" s="52">
        <v>4.68</v>
      </c>
      <c r="R45" s="21" t="s">
        <v>30</v>
      </c>
      <c r="S45" s="21" t="s">
        <v>31</v>
      </c>
      <c r="T45" s="20"/>
      <c r="U45" s="23"/>
    </row>
    <row r="46" spans="1:21" x14ac:dyDescent="0.2">
      <c r="A46" s="24"/>
      <c r="B46" s="21" t="s">
        <v>32</v>
      </c>
      <c r="C46" s="22">
        <v>4.71</v>
      </c>
      <c r="D46" s="25">
        <f>AVERAGE(C45:C46)</f>
        <v>4.66</v>
      </c>
      <c r="E46" s="21" t="s">
        <v>33</v>
      </c>
      <c r="F46" s="49">
        <v>4.6900000000000004</v>
      </c>
      <c r="G46" s="26">
        <f>(F45+F46)/2</f>
        <v>4.7050000000000001</v>
      </c>
      <c r="H46" s="27">
        <f>(3.8*0.0338)/G46</f>
        <v>2.7298618490967048E-2</v>
      </c>
      <c r="I46" s="21"/>
      <c r="J46" s="23"/>
      <c r="L46" s="24"/>
      <c r="M46" s="21" t="s">
        <v>32</v>
      </c>
      <c r="N46" s="22">
        <v>4.71</v>
      </c>
      <c r="O46" s="25">
        <f>AVERAGE(N45:N46)</f>
        <v>4.66</v>
      </c>
      <c r="P46" s="21" t="s">
        <v>33</v>
      </c>
      <c r="Q46" s="52">
        <v>4.83</v>
      </c>
      <c r="R46" s="26">
        <f>(Q45+Q46)/2</f>
        <v>4.7549999999999999</v>
      </c>
      <c r="S46" s="27">
        <f>(3.8*0.0338)/R46</f>
        <v>2.7011566771819134E-2</v>
      </c>
      <c r="T46" s="21"/>
      <c r="U46" s="23"/>
    </row>
    <row r="47" spans="1:21" ht="34" x14ac:dyDescent="0.2">
      <c r="A47" s="28"/>
      <c r="B47" s="24"/>
      <c r="C47" s="24" t="s">
        <v>81</v>
      </c>
      <c r="D47" s="21" t="s">
        <v>34</v>
      </c>
      <c r="E47" s="29" t="s">
        <v>31</v>
      </c>
      <c r="F47" s="30" t="s">
        <v>35</v>
      </c>
      <c r="G47" s="21" t="s">
        <v>36</v>
      </c>
      <c r="H47" s="26" t="s">
        <v>37</v>
      </c>
      <c r="I47" s="32" t="s">
        <v>51</v>
      </c>
      <c r="J47" s="31" t="s">
        <v>38</v>
      </c>
      <c r="L47" s="28"/>
      <c r="M47" s="24"/>
      <c r="N47" s="24" t="s">
        <v>85</v>
      </c>
      <c r="O47" s="21" t="s">
        <v>34</v>
      </c>
      <c r="P47" s="29" t="s">
        <v>31</v>
      </c>
      <c r="Q47" s="30" t="s">
        <v>35</v>
      </c>
      <c r="R47" s="21" t="s">
        <v>36</v>
      </c>
      <c r="S47" s="26" t="s">
        <v>37</v>
      </c>
      <c r="T47" s="32" t="s">
        <v>51</v>
      </c>
      <c r="U47" s="31" t="s">
        <v>38</v>
      </c>
    </row>
    <row r="48" spans="1:21" ht="17" thickBot="1" x14ac:dyDescent="0.25">
      <c r="A48" s="32" t="s">
        <v>51</v>
      </c>
      <c r="B48" s="20" t="s">
        <v>48</v>
      </c>
      <c r="C48" s="31">
        <v>2.27</v>
      </c>
      <c r="D48" s="25">
        <f>$D$46</f>
        <v>4.66</v>
      </c>
      <c r="E48" s="33">
        <f>$H$46</f>
        <v>2.7298618490967048E-2</v>
      </c>
      <c r="F48" s="34">
        <f>(D48-C48)*E48*4000</f>
        <v>260.97479277364499</v>
      </c>
      <c r="G48" s="35">
        <v>100</v>
      </c>
      <c r="H48" s="36">
        <f>F48*G48</f>
        <v>26097.479277364499</v>
      </c>
      <c r="I48" t="s">
        <v>52</v>
      </c>
      <c r="L48" s="32" t="s">
        <v>51</v>
      </c>
      <c r="M48" s="20" t="s">
        <v>48</v>
      </c>
      <c r="N48" s="31">
        <v>1.63</v>
      </c>
      <c r="O48" s="25">
        <f>$O$46</f>
        <v>4.66</v>
      </c>
      <c r="P48" s="33">
        <f>$S$46</f>
        <v>2.7011566771819134E-2</v>
      </c>
      <c r="Q48" s="34">
        <f>(O48-N48)*P48*4000</f>
        <v>327.38018927444796</v>
      </c>
      <c r="R48" s="35">
        <v>1000</v>
      </c>
      <c r="S48" s="36">
        <f>Q48*R48</f>
        <v>327380.18927444797</v>
      </c>
      <c r="T48" t="s">
        <v>86</v>
      </c>
    </row>
    <row r="49" spans="1:21" ht="17" thickBot="1" x14ac:dyDescent="0.25">
      <c r="A49" s="32"/>
      <c r="B49" s="20" t="s">
        <v>48</v>
      </c>
      <c r="C49" s="31">
        <v>2.48</v>
      </c>
      <c r="D49" s="51">
        <f t="shared" ref="D49:D56" si="36">$D$46</f>
        <v>4.66</v>
      </c>
      <c r="E49" s="33">
        <f t="shared" ref="E49:E56" si="37">$H$46</f>
        <v>2.7298618490967048E-2</v>
      </c>
      <c r="F49" s="34">
        <f t="shared" ref="F49:F56" si="38">(D49-C49)*E49*4000</f>
        <v>238.04395324123269</v>
      </c>
      <c r="G49" s="35">
        <v>100</v>
      </c>
      <c r="H49" s="36">
        <f t="shared" ref="H49:H56" si="39">F49*G49</f>
        <v>23804.39532412327</v>
      </c>
      <c r="I49" s="53">
        <f>AVERAGE(H48:H56)</f>
        <v>19606.474436179004</v>
      </c>
      <c r="J49" s="38">
        <f>STDEV(H48:H56)/SQRT(9)</f>
        <v>1236.6151792166818</v>
      </c>
      <c r="L49" s="32"/>
      <c r="M49" s="20" t="s">
        <v>49</v>
      </c>
      <c r="N49" s="31">
        <v>1.67</v>
      </c>
      <c r="O49" s="25">
        <f t="shared" ref="O49:O51" si="40">$O$46</f>
        <v>4.66</v>
      </c>
      <c r="P49" s="33">
        <f t="shared" ref="P49:P51" si="41">$S$46</f>
        <v>2.7011566771819134E-2</v>
      </c>
      <c r="Q49" s="34">
        <f t="shared" ref="Q49:Q51" si="42">(O49-N49)*P49*4000</f>
        <v>323.05833859095685</v>
      </c>
      <c r="R49" s="35">
        <v>1000</v>
      </c>
      <c r="S49" s="36">
        <f t="shared" ref="S49:S51" si="43">Q49*R49</f>
        <v>323058.33859095688</v>
      </c>
      <c r="T49" s="39">
        <f>AVERAGE(S48:S51)</f>
        <v>339265.27865404839</v>
      </c>
      <c r="U49" s="38">
        <f>STDEV(S48:S51)/SQRT(4)</f>
        <v>8887.8590481500923</v>
      </c>
    </row>
    <row r="50" spans="1:21" ht="17" thickBot="1" x14ac:dyDescent="0.25">
      <c r="A50" s="32"/>
      <c r="B50" s="20" t="s">
        <v>48</v>
      </c>
      <c r="C50" s="31">
        <v>2.52</v>
      </c>
      <c r="D50" s="51">
        <f t="shared" si="36"/>
        <v>4.66</v>
      </c>
      <c r="E50" s="33">
        <f t="shared" si="37"/>
        <v>2.7298618490967048E-2</v>
      </c>
      <c r="F50" s="34">
        <f t="shared" si="38"/>
        <v>233.67617428267795</v>
      </c>
      <c r="G50" s="35">
        <v>100</v>
      </c>
      <c r="H50" s="36">
        <f t="shared" si="39"/>
        <v>23367.617428267797</v>
      </c>
      <c r="I50" s="37" t="s">
        <v>53</v>
      </c>
      <c r="L50" s="32"/>
      <c r="M50" s="20" t="s">
        <v>50</v>
      </c>
      <c r="N50" s="31">
        <v>1.47</v>
      </c>
      <c r="O50" s="25">
        <f t="shared" si="40"/>
        <v>4.66</v>
      </c>
      <c r="P50" s="33">
        <f t="shared" si="41"/>
        <v>2.7011566771819134E-2</v>
      </c>
      <c r="Q50" s="34">
        <f t="shared" si="42"/>
        <v>344.66759200841216</v>
      </c>
      <c r="R50" s="35">
        <v>1000</v>
      </c>
      <c r="S50" s="36">
        <f t="shared" si="43"/>
        <v>344667.59200841218</v>
      </c>
      <c r="T50" s="37" t="s">
        <v>87</v>
      </c>
    </row>
    <row r="51" spans="1:21" ht="17" thickBot="1" x14ac:dyDescent="0.25">
      <c r="B51" s="20" t="s">
        <v>49</v>
      </c>
      <c r="C51" s="31">
        <v>3.11</v>
      </c>
      <c r="D51" s="51">
        <f t="shared" si="36"/>
        <v>4.66</v>
      </c>
      <c r="E51" s="33">
        <f t="shared" si="37"/>
        <v>2.7298618490967048E-2</v>
      </c>
      <c r="F51" s="34">
        <f t="shared" si="38"/>
        <v>169.25143464399574</v>
      </c>
      <c r="G51" s="35">
        <v>100</v>
      </c>
      <c r="H51" s="36">
        <f t="shared" si="39"/>
        <v>16925.143464399574</v>
      </c>
      <c r="I51" s="39">
        <f>I49/1000</f>
        <v>19.606474436179003</v>
      </c>
      <c r="J51" s="37">
        <f>J49/1000</f>
        <v>1.2366151792166817</v>
      </c>
      <c r="M51" s="20" t="s">
        <v>83</v>
      </c>
      <c r="N51" s="31">
        <v>1.31</v>
      </c>
      <c r="O51" s="25">
        <f t="shared" si="40"/>
        <v>4.66</v>
      </c>
      <c r="P51" s="33">
        <f t="shared" si="41"/>
        <v>2.7011566771819134E-2</v>
      </c>
      <c r="Q51" s="34">
        <f t="shared" si="42"/>
        <v>361.95499474237641</v>
      </c>
      <c r="R51" s="35">
        <v>1000</v>
      </c>
      <c r="S51" s="36">
        <f t="shared" si="43"/>
        <v>361954.99474237644</v>
      </c>
      <c r="T51" s="39">
        <f>T49/1000</f>
        <v>339.26527865404842</v>
      </c>
      <c r="U51" s="37">
        <f>U49/1000</f>
        <v>8.8878590481500925</v>
      </c>
    </row>
    <row r="52" spans="1:21" x14ac:dyDescent="0.2">
      <c r="A52" s="32"/>
      <c r="B52" s="20" t="s">
        <v>49</v>
      </c>
      <c r="C52" s="31">
        <v>3.07</v>
      </c>
      <c r="D52" s="51">
        <f t="shared" si="36"/>
        <v>4.66</v>
      </c>
      <c r="E52" s="33">
        <f t="shared" si="37"/>
        <v>2.7298618490967048E-2</v>
      </c>
      <c r="F52" s="34">
        <f t="shared" si="38"/>
        <v>173.61921360255045</v>
      </c>
      <c r="G52" s="35">
        <v>100</v>
      </c>
      <c r="H52" s="36">
        <f t="shared" si="39"/>
        <v>17361.921360255044</v>
      </c>
      <c r="I52" s="37"/>
      <c r="J52" s="37"/>
      <c r="L52" s="32"/>
      <c r="M52" s="20"/>
      <c r="N52" s="31"/>
      <c r="O52" s="25"/>
      <c r="P52" s="33"/>
      <c r="Q52" s="34"/>
      <c r="R52" s="35"/>
      <c r="S52" s="36"/>
      <c r="T52" s="37"/>
      <c r="U52" s="37"/>
    </row>
    <row r="53" spans="1:21" x14ac:dyDescent="0.2">
      <c r="A53" s="32"/>
      <c r="B53" s="20" t="s">
        <v>49</v>
      </c>
      <c r="C53" s="31">
        <v>3.14</v>
      </c>
      <c r="D53" s="51">
        <f t="shared" si="36"/>
        <v>4.66</v>
      </c>
      <c r="E53" s="33">
        <f t="shared" si="37"/>
        <v>2.7298618490967048E-2</v>
      </c>
      <c r="F53" s="34">
        <f t="shared" si="38"/>
        <v>165.97560042507968</v>
      </c>
      <c r="G53" s="35">
        <v>100</v>
      </c>
      <c r="H53" s="36">
        <f t="shared" si="39"/>
        <v>16597.560042507968</v>
      </c>
      <c r="I53" s="37"/>
      <c r="J53" s="37"/>
      <c r="L53" s="32"/>
      <c r="M53" s="20"/>
      <c r="N53" s="31"/>
      <c r="O53" s="25"/>
      <c r="P53" s="33"/>
      <c r="Q53" s="34"/>
      <c r="R53" s="35"/>
      <c r="S53" s="36"/>
      <c r="T53" s="37"/>
      <c r="U53" s="37"/>
    </row>
    <row r="54" spans="1:21" x14ac:dyDescent="0.2">
      <c r="B54" s="20" t="s">
        <v>50</v>
      </c>
      <c r="C54" s="31">
        <v>3.08</v>
      </c>
      <c r="D54" s="51">
        <f t="shared" si="36"/>
        <v>4.66</v>
      </c>
      <c r="E54" s="33">
        <f t="shared" si="37"/>
        <v>2.7298618490967048E-2</v>
      </c>
      <c r="F54" s="34">
        <f t="shared" si="38"/>
        <v>172.52726886291174</v>
      </c>
      <c r="G54" s="35">
        <v>100</v>
      </c>
      <c r="H54" s="36">
        <f t="shared" si="39"/>
        <v>17252.726886291173</v>
      </c>
      <c r="I54" s="37"/>
      <c r="J54" s="38"/>
      <c r="M54" s="20"/>
      <c r="N54" s="31"/>
      <c r="O54" s="25"/>
      <c r="P54" s="33"/>
      <c r="Q54" s="34"/>
      <c r="R54" s="35"/>
      <c r="S54" s="36"/>
      <c r="T54" s="37"/>
      <c r="U54" s="38"/>
    </row>
    <row r="55" spans="1:21" x14ac:dyDescent="0.2">
      <c r="A55" s="32"/>
      <c r="B55" s="20" t="s">
        <v>50</v>
      </c>
      <c r="C55" s="31">
        <v>3</v>
      </c>
      <c r="D55" s="51">
        <f t="shared" si="36"/>
        <v>4.66</v>
      </c>
      <c r="E55" s="33">
        <f t="shared" si="37"/>
        <v>2.7298618490967048E-2</v>
      </c>
      <c r="F55" s="34">
        <f t="shared" si="38"/>
        <v>181.26282678002124</v>
      </c>
      <c r="G55" s="35">
        <v>100</v>
      </c>
      <c r="H55" s="36">
        <f t="shared" si="39"/>
        <v>18126.282678002124</v>
      </c>
      <c r="I55" s="37"/>
      <c r="J55" s="37"/>
      <c r="L55" s="32"/>
      <c r="M55" s="20"/>
      <c r="N55" s="31"/>
      <c r="O55" s="25"/>
      <c r="P55" s="33"/>
      <c r="Q55" s="34"/>
      <c r="R55" s="35"/>
      <c r="S55" s="36"/>
      <c r="T55" s="37"/>
      <c r="U55" s="37"/>
    </row>
    <row r="56" spans="1:21" x14ac:dyDescent="0.2">
      <c r="A56" s="7"/>
      <c r="B56" s="20" t="s">
        <v>50</v>
      </c>
      <c r="C56" s="31">
        <v>3.11</v>
      </c>
      <c r="D56" s="51">
        <f t="shared" si="36"/>
        <v>4.66</v>
      </c>
      <c r="E56" s="33">
        <f t="shared" si="37"/>
        <v>2.7298618490967048E-2</v>
      </c>
      <c r="F56" s="34">
        <f t="shared" si="38"/>
        <v>169.25143464399574</v>
      </c>
      <c r="G56" s="35">
        <v>100</v>
      </c>
      <c r="H56" s="36">
        <f t="shared" si="39"/>
        <v>16925.143464399574</v>
      </c>
      <c r="L56" s="7"/>
      <c r="M56" s="20"/>
      <c r="N56" s="31"/>
      <c r="O56" s="25"/>
      <c r="P56" s="33"/>
      <c r="Q56" s="34"/>
      <c r="R56" s="35"/>
      <c r="S56" s="36"/>
    </row>
    <row r="57" spans="1:21" x14ac:dyDescent="0.2">
      <c r="A57" s="41" t="s">
        <v>64</v>
      </c>
      <c r="B57" s="42" t="s">
        <v>27</v>
      </c>
      <c r="C57" s="43">
        <v>5.58</v>
      </c>
      <c r="D57" s="41" t="s">
        <v>28</v>
      </c>
      <c r="E57" s="44" t="s">
        <v>29</v>
      </c>
      <c r="F57" s="43">
        <v>5.6</v>
      </c>
      <c r="G57" s="44" t="s">
        <v>30</v>
      </c>
      <c r="H57" s="44" t="s">
        <v>31</v>
      </c>
      <c r="I57" s="41"/>
      <c r="L57" s="41" t="s">
        <v>82</v>
      </c>
      <c r="M57" s="42" t="s">
        <v>27</v>
      </c>
      <c r="N57" s="43">
        <v>4.95</v>
      </c>
      <c r="O57" s="41" t="s">
        <v>28</v>
      </c>
      <c r="P57" s="44" t="s">
        <v>29</v>
      </c>
      <c r="Q57" s="43">
        <v>4.95</v>
      </c>
      <c r="R57" s="44" t="s">
        <v>30</v>
      </c>
      <c r="S57" s="44" t="s">
        <v>31</v>
      </c>
      <c r="T57" s="41"/>
    </row>
    <row r="58" spans="1:21" x14ac:dyDescent="0.2">
      <c r="A58" s="45"/>
      <c r="B58" s="44" t="s">
        <v>32</v>
      </c>
      <c r="C58" s="43">
        <v>5.66</v>
      </c>
      <c r="D58" s="25">
        <f>AVERAGE(C57:C58)</f>
        <v>5.62</v>
      </c>
      <c r="E58" s="44" t="s">
        <v>33</v>
      </c>
      <c r="F58" s="43">
        <v>5.53</v>
      </c>
      <c r="G58" s="26">
        <f>(F57+F58)/2</f>
        <v>5.5649999999999995</v>
      </c>
      <c r="H58" s="27">
        <f>(3.8*0.0338)/G58</f>
        <v>2.3079964061096133E-2</v>
      </c>
      <c r="I58" s="44"/>
      <c r="J58" s="4"/>
      <c r="L58" s="45"/>
      <c r="M58" s="44" t="s">
        <v>32</v>
      </c>
      <c r="N58" s="43">
        <v>4.9000000000000004</v>
      </c>
      <c r="O58" s="25">
        <f>AVERAGE(N57:N58)</f>
        <v>4.9250000000000007</v>
      </c>
      <c r="P58" s="44" t="s">
        <v>33</v>
      </c>
      <c r="Q58" s="43">
        <v>5.0199999999999996</v>
      </c>
      <c r="R58" s="26">
        <f>(Q57+Q58)/2</f>
        <v>4.9849999999999994</v>
      </c>
      <c r="S58" s="27">
        <f>(3.8*0.0338)/R58</f>
        <v>2.5765295887662985E-2</v>
      </c>
      <c r="T58" s="44"/>
      <c r="U58" s="4"/>
    </row>
    <row r="59" spans="1:21" ht="34" x14ac:dyDescent="0.2">
      <c r="A59" s="46"/>
      <c r="B59" s="45"/>
      <c r="C59" s="45"/>
      <c r="D59" s="44" t="s">
        <v>34</v>
      </c>
      <c r="E59" s="47" t="s">
        <v>31</v>
      </c>
      <c r="F59" s="30" t="s">
        <v>35</v>
      </c>
      <c r="G59" s="21" t="s">
        <v>36</v>
      </c>
      <c r="H59" s="26" t="s">
        <v>37</v>
      </c>
      <c r="I59" s="21" t="s">
        <v>20</v>
      </c>
      <c r="J59" s="31" t="s">
        <v>38</v>
      </c>
      <c r="L59" s="46"/>
      <c r="M59" s="45"/>
      <c r="N59" s="45"/>
      <c r="O59" s="44" t="s">
        <v>34</v>
      </c>
      <c r="P59" s="47" t="s">
        <v>31</v>
      </c>
      <c r="Q59" s="30" t="s">
        <v>35</v>
      </c>
      <c r="R59" s="21" t="s">
        <v>36</v>
      </c>
      <c r="S59" s="26" t="s">
        <v>37</v>
      </c>
      <c r="T59" s="21" t="s">
        <v>20</v>
      </c>
      <c r="U59" s="31" t="s">
        <v>38</v>
      </c>
    </row>
    <row r="60" spans="1:21" ht="17" thickBot="1" x14ac:dyDescent="0.25">
      <c r="A60" s="61" t="s">
        <v>65</v>
      </c>
      <c r="B60" s="41" t="s">
        <v>66</v>
      </c>
      <c r="C60" s="48">
        <v>2.93</v>
      </c>
      <c r="D60" s="25">
        <f>$D$58</f>
        <v>5.62</v>
      </c>
      <c r="E60" s="33">
        <f>$H$58</f>
        <v>2.3079964061096133E-2</v>
      </c>
      <c r="F60" s="34">
        <f>(D60-C60)*E60*4000</f>
        <v>248.34041329739441</v>
      </c>
      <c r="G60" s="35">
        <v>50</v>
      </c>
      <c r="H60" s="36">
        <f>F60*G60</f>
        <v>12417.02066486972</v>
      </c>
      <c r="I60" t="s">
        <v>52</v>
      </c>
      <c r="L60" s="61" t="s">
        <v>65</v>
      </c>
      <c r="M60" s="41" t="s">
        <v>66</v>
      </c>
      <c r="N60" s="48">
        <v>1.7</v>
      </c>
      <c r="O60" s="25">
        <f>$O$58</f>
        <v>4.9250000000000007</v>
      </c>
      <c r="P60" s="33">
        <f>$H$58</f>
        <v>2.3079964061096133E-2</v>
      </c>
      <c r="Q60" s="34">
        <f>(O60-N60)*P60*4000</f>
        <v>297.73153638814017</v>
      </c>
      <c r="R60" s="35">
        <v>50</v>
      </c>
      <c r="S60" s="36">
        <f>Q60*R60</f>
        <v>14886.576819407008</v>
      </c>
      <c r="T60" t="s">
        <v>86</v>
      </c>
    </row>
    <row r="61" spans="1:21" ht="17" thickBot="1" x14ac:dyDescent="0.25">
      <c r="A61" s="61"/>
      <c r="B61" s="41" t="s">
        <v>67</v>
      </c>
      <c r="C61" s="48">
        <v>3.3</v>
      </c>
      <c r="D61" s="25">
        <f t="shared" ref="D61:D68" si="44">$D$58</f>
        <v>5.62</v>
      </c>
      <c r="E61" s="33">
        <f t="shared" ref="E61:E68" si="45">$H$58</f>
        <v>2.3079964061096133E-2</v>
      </c>
      <c r="F61" s="34">
        <f t="shared" ref="F61:F68" si="46">(D61-C61)*E61*4000</f>
        <v>214.18206648697213</v>
      </c>
      <c r="G61" s="35">
        <v>50</v>
      </c>
      <c r="H61" s="36">
        <f t="shared" ref="H61:H68" si="47">F61*G61</f>
        <v>10709.103324348607</v>
      </c>
      <c r="I61" s="39">
        <f>AVERAGE(H60:H68)</f>
        <v>11391.244484376559</v>
      </c>
      <c r="J61" s="38">
        <f>STDEV(H60:H68)/SQRT(9)</f>
        <v>235.97032933823564</v>
      </c>
      <c r="L61" s="61"/>
      <c r="M61" s="41" t="s">
        <v>67</v>
      </c>
      <c r="N61" s="48">
        <v>1.4</v>
      </c>
      <c r="O61" s="25">
        <f t="shared" ref="O61:O68" si="48">$O$58</f>
        <v>4.9250000000000007</v>
      </c>
      <c r="P61" s="33">
        <f t="shared" ref="P61:P68" si="49">$H$58</f>
        <v>2.3079964061096133E-2</v>
      </c>
      <c r="Q61" s="34">
        <f t="shared" ref="Q61:Q68" si="50">(O61-N61)*P61*4000</f>
        <v>325.42749326145554</v>
      </c>
      <c r="R61" s="35">
        <v>50</v>
      </c>
      <c r="S61" s="36">
        <f t="shared" ref="S61:S68" si="51">Q61*R61</f>
        <v>16271.374663072776</v>
      </c>
      <c r="T61" s="39">
        <f>AVERAGE(S60:S68)</f>
        <v>16045.703903364283</v>
      </c>
      <c r="U61" s="38">
        <f>STDEV(S60:S68)/SQRT(9)</f>
        <v>292.69467768189588</v>
      </c>
    </row>
    <row r="62" spans="1:21" ht="17" thickBot="1" x14ac:dyDescent="0.25">
      <c r="A62" s="61"/>
      <c r="B62" s="41" t="s">
        <v>68</v>
      </c>
      <c r="C62" s="48">
        <v>3.27</v>
      </c>
      <c r="D62" s="25">
        <f t="shared" si="44"/>
        <v>5.62</v>
      </c>
      <c r="E62" s="33">
        <f t="shared" si="45"/>
        <v>2.3079964061096133E-2</v>
      </c>
      <c r="F62" s="34">
        <f t="shared" si="46"/>
        <v>216.95166217430366</v>
      </c>
      <c r="G62" s="35">
        <v>50</v>
      </c>
      <c r="H62" s="36">
        <f t="shared" si="47"/>
        <v>10847.583108715184</v>
      </c>
      <c r="I62" s="37" t="s">
        <v>53</v>
      </c>
      <c r="L62" s="61"/>
      <c r="M62" s="41" t="s">
        <v>68</v>
      </c>
      <c r="N62" s="48">
        <v>1.6</v>
      </c>
      <c r="O62" s="25">
        <f t="shared" si="48"/>
        <v>4.9250000000000007</v>
      </c>
      <c r="P62" s="33">
        <f t="shared" si="49"/>
        <v>2.3079964061096133E-2</v>
      </c>
      <c r="Q62" s="34">
        <f t="shared" si="50"/>
        <v>306.96352201257866</v>
      </c>
      <c r="R62" s="35">
        <v>50</v>
      </c>
      <c r="S62" s="36">
        <f t="shared" si="51"/>
        <v>15348.176100628933</v>
      </c>
      <c r="T62" s="37" t="s">
        <v>87</v>
      </c>
    </row>
    <row r="63" spans="1:21" ht="17" thickBot="1" x14ac:dyDescent="0.25">
      <c r="A63" s="61" t="s">
        <v>69</v>
      </c>
      <c r="B63" s="41" t="s">
        <v>70</v>
      </c>
      <c r="C63" s="48">
        <v>3.06</v>
      </c>
      <c r="D63" s="25">
        <f t="shared" si="44"/>
        <v>5.62</v>
      </c>
      <c r="E63" s="33">
        <f t="shared" si="45"/>
        <v>2.3079964061096133E-2</v>
      </c>
      <c r="F63" s="34">
        <f t="shared" si="46"/>
        <v>236.33883198562441</v>
      </c>
      <c r="G63" s="35">
        <v>50</v>
      </c>
      <c r="H63" s="36">
        <f t="shared" si="47"/>
        <v>11816.941599281221</v>
      </c>
      <c r="I63" s="39">
        <f>I61/1000</f>
        <v>11.391244484376559</v>
      </c>
      <c r="J63" s="37">
        <f>J61/1000</f>
        <v>0.23597032933823564</v>
      </c>
      <c r="K63" s="6"/>
      <c r="L63" s="61" t="s">
        <v>69</v>
      </c>
      <c r="M63" s="41" t="s">
        <v>70</v>
      </c>
      <c r="N63" s="48">
        <v>1.28</v>
      </c>
      <c r="O63" s="25">
        <f t="shared" si="48"/>
        <v>4.9250000000000007</v>
      </c>
      <c r="P63" s="33">
        <f t="shared" si="49"/>
        <v>2.3079964061096133E-2</v>
      </c>
      <c r="Q63" s="34">
        <f t="shared" si="50"/>
        <v>336.50587601078166</v>
      </c>
      <c r="R63" s="35">
        <v>50</v>
      </c>
      <c r="S63" s="36">
        <f t="shared" si="51"/>
        <v>16825.293800539082</v>
      </c>
      <c r="T63" s="39">
        <f>T61/1000</f>
        <v>16.045703903364284</v>
      </c>
      <c r="U63" s="37">
        <f>U61/1000</f>
        <v>0.29269467768189589</v>
      </c>
    </row>
    <row r="64" spans="1:21" x14ac:dyDescent="0.2">
      <c r="A64" s="61"/>
      <c r="B64" s="41" t="s">
        <v>71</v>
      </c>
      <c r="C64" s="48">
        <v>3.06</v>
      </c>
      <c r="D64" s="25">
        <f t="shared" si="44"/>
        <v>5.62</v>
      </c>
      <c r="E64" s="33">
        <f t="shared" si="45"/>
        <v>2.3079964061096133E-2</v>
      </c>
      <c r="F64" s="34">
        <f t="shared" si="46"/>
        <v>236.33883198562441</v>
      </c>
      <c r="G64" s="35">
        <v>50</v>
      </c>
      <c r="H64" s="36">
        <f t="shared" si="47"/>
        <v>11816.941599281221</v>
      </c>
      <c r="I64" s="37"/>
      <c r="J64" s="2"/>
      <c r="L64" s="61"/>
      <c r="M64" s="41" t="s">
        <v>71</v>
      </c>
      <c r="N64" s="48">
        <v>1.51</v>
      </c>
      <c r="O64" s="25">
        <f t="shared" si="48"/>
        <v>4.9250000000000007</v>
      </c>
      <c r="P64" s="33">
        <f t="shared" si="49"/>
        <v>2.3079964061096133E-2</v>
      </c>
      <c r="Q64" s="34">
        <f t="shared" si="50"/>
        <v>315.27230907457329</v>
      </c>
      <c r="R64" s="35">
        <v>50</v>
      </c>
      <c r="S64" s="36">
        <f t="shared" si="51"/>
        <v>15763.615453728664</v>
      </c>
      <c r="T64" s="37"/>
      <c r="U64" s="2"/>
    </row>
    <row r="65" spans="1:21" x14ac:dyDescent="0.2">
      <c r="A65" s="61"/>
      <c r="B65" s="41" t="s">
        <v>72</v>
      </c>
      <c r="C65" s="48">
        <v>3.19</v>
      </c>
      <c r="D65" s="25">
        <f t="shared" si="44"/>
        <v>5.62</v>
      </c>
      <c r="E65" s="33">
        <f t="shared" si="45"/>
        <v>2.3079964061096133E-2</v>
      </c>
      <c r="F65" s="34">
        <f t="shared" si="46"/>
        <v>224.33725067385444</v>
      </c>
      <c r="G65" s="35">
        <v>50</v>
      </c>
      <c r="H65" s="36">
        <f t="shared" si="47"/>
        <v>11216.862533692722</v>
      </c>
      <c r="I65" s="37"/>
      <c r="J65" s="2"/>
      <c r="L65" s="61"/>
      <c r="M65" s="41" t="s">
        <v>72</v>
      </c>
      <c r="N65" s="48">
        <v>1.26</v>
      </c>
      <c r="O65" s="25">
        <f t="shared" si="48"/>
        <v>4.9250000000000007</v>
      </c>
      <c r="P65" s="33">
        <f t="shared" si="49"/>
        <v>2.3079964061096133E-2</v>
      </c>
      <c r="Q65" s="34">
        <f t="shared" si="50"/>
        <v>338.35227313566941</v>
      </c>
      <c r="R65" s="35">
        <v>50</v>
      </c>
      <c r="S65" s="36">
        <f t="shared" si="51"/>
        <v>16917.613656783469</v>
      </c>
      <c r="T65" s="37"/>
      <c r="U65" s="2"/>
    </row>
    <row r="66" spans="1:21" x14ac:dyDescent="0.2">
      <c r="A66" s="61" t="s">
        <v>73</v>
      </c>
      <c r="B66" s="41" t="s">
        <v>74</v>
      </c>
      <c r="C66" s="48">
        <v>3</v>
      </c>
      <c r="D66" s="25">
        <f t="shared" si="44"/>
        <v>5.62</v>
      </c>
      <c r="E66" s="33">
        <f t="shared" si="45"/>
        <v>2.3079964061096133E-2</v>
      </c>
      <c r="F66" s="34">
        <f t="shared" si="46"/>
        <v>241.8780233602875</v>
      </c>
      <c r="G66" s="35">
        <v>50</v>
      </c>
      <c r="H66" s="36">
        <f t="shared" si="47"/>
        <v>12093.901168014376</v>
      </c>
      <c r="I66" s="37"/>
      <c r="J66" s="2"/>
      <c r="L66" s="61" t="s">
        <v>73</v>
      </c>
      <c r="M66" s="41" t="s">
        <v>74</v>
      </c>
      <c r="N66" s="48">
        <v>1.72</v>
      </c>
      <c r="O66" s="25">
        <f t="shared" si="48"/>
        <v>4.9250000000000007</v>
      </c>
      <c r="P66" s="33">
        <f t="shared" si="49"/>
        <v>2.3079964061096133E-2</v>
      </c>
      <c r="Q66" s="34">
        <f t="shared" si="50"/>
        <v>295.88513926325248</v>
      </c>
      <c r="R66" s="35">
        <v>50</v>
      </c>
      <c r="S66" s="36">
        <f t="shared" si="51"/>
        <v>14794.256963162625</v>
      </c>
      <c r="T66" s="37"/>
      <c r="U66" s="2"/>
    </row>
    <row r="67" spans="1:21" x14ac:dyDescent="0.2">
      <c r="A67" s="61"/>
      <c r="B67" s="41" t="s">
        <v>75</v>
      </c>
      <c r="C67" s="48">
        <v>3.4</v>
      </c>
      <c r="D67" s="25">
        <f t="shared" si="44"/>
        <v>5.62</v>
      </c>
      <c r="E67" s="33">
        <f t="shared" si="45"/>
        <v>2.3079964061096133E-2</v>
      </c>
      <c r="F67" s="34">
        <f t="shared" si="46"/>
        <v>204.9500808625337</v>
      </c>
      <c r="G67" s="35">
        <v>50</v>
      </c>
      <c r="H67" s="36">
        <f t="shared" si="47"/>
        <v>10247.504043126684</v>
      </c>
      <c r="I67" s="37"/>
      <c r="L67" s="61"/>
      <c r="M67" s="41" t="s">
        <v>75</v>
      </c>
      <c r="N67" s="48">
        <v>1.34</v>
      </c>
      <c r="O67" s="25">
        <f t="shared" si="48"/>
        <v>4.9250000000000007</v>
      </c>
      <c r="P67" s="33">
        <f t="shared" si="49"/>
        <v>2.3079964061096133E-2</v>
      </c>
      <c r="Q67" s="34">
        <f t="shared" si="50"/>
        <v>330.9666846361186</v>
      </c>
      <c r="R67" s="35">
        <v>50</v>
      </c>
      <c r="S67" s="36">
        <f t="shared" si="51"/>
        <v>16548.334231805929</v>
      </c>
      <c r="T67" s="37"/>
    </row>
    <row r="68" spans="1:21" x14ac:dyDescent="0.2">
      <c r="A68" s="61"/>
      <c r="B68" s="41" t="s">
        <v>76</v>
      </c>
      <c r="C68" s="48">
        <v>3.16</v>
      </c>
      <c r="D68" s="25">
        <f t="shared" si="44"/>
        <v>5.62</v>
      </c>
      <c r="E68" s="33">
        <f t="shared" si="45"/>
        <v>2.3079964061096133E-2</v>
      </c>
      <c r="F68" s="34">
        <f t="shared" si="46"/>
        <v>227.10684636118594</v>
      </c>
      <c r="G68" s="35">
        <v>50</v>
      </c>
      <c r="H68" s="36">
        <f t="shared" si="47"/>
        <v>11355.342318059298</v>
      </c>
      <c r="I68" s="37"/>
      <c r="L68" s="61"/>
      <c r="M68" s="41" t="s">
        <v>76</v>
      </c>
      <c r="N68" s="48">
        <v>1.23</v>
      </c>
      <c r="O68" s="25">
        <f t="shared" si="48"/>
        <v>4.9250000000000007</v>
      </c>
      <c r="P68" s="33">
        <f t="shared" si="49"/>
        <v>2.3079964061096133E-2</v>
      </c>
      <c r="Q68" s="34">
        <f t="shared" si="50"/>
        <v>341.12186882300097</v>
      </c>
      <c r="R68" s="35">
        <v>50</v>
      </c>
      <c r="S68" s="36">
        <f t="shared" si="51"/>
        <v>17056.093441150049</v>
      </c>
      <c r="T68" s="37"/>
    </row>
    <row r="69" spans="1:21" x14ac:dyDescent="0.2">
      <c r="A69" s="41"/>
      <c r="B69" s="42"/>
      <c r="C69" s="43"/>
      <c r="D69" s="41"/>
      <c r="E69" s="44"/>
      <c r="F69" s="43"/>
      <c r="G69" s="44"/>
      <c r="H69" s="44"/>
      <c r="I69" s="41"/>
    </row>
    <row r="70" spans="1:21" x14ac:dyDescent="0.2">
      <c r="B70" s="12" t="s">
        <v>15</v>
      </c>
      <c r="C70" s="12"/>
      <c r="D70" s="12" t="s">
        <v>16</v>
      </c>
      <c r="E70" s="12"/>
      <c r="F70" s="12" t="s">
        <v>17</v>
      </c>
      <c r="G70" s="12"/>
      <c r="H70" s="2"/>
      <c r="I70" s="7"/>
    </row>
    <row r="71" spans="1:21" x14ac:dyDescent="0.2">
      <c r="B71" s="12" t="s">
        <v>18</v>
      </c>
      <c r="C71" s="13"/>
      <c r="D71" s="12" t="s">
        <v>18</v>
      </c>
      <c r="E71" s="13"/>
      <c r="F71" s="12" t="s">
        <v>18</v>
      </c>
      <c r="G71" s="13"/>
      <c r="H71" s="2"/>
      <c r="I71" s="7"/>
    </row>
    <row r="72" spans="1:21" x14ac:dyDescent="0.2">
      <c r="B72" s="12">
        <v>2</v>
      </c>
      <c r="C72" s="14">
        <v>3990000</v>
      </c>
      <c r="D72" s="12">
        <v>2</v>
      </c>
      <c r="E72" s="14">
        <v>3270000.0000000005</v>
      </c>
      <c r="F72" s="12">
        <v>2</v>
      </c>
      <c r="G72" s="14">
        <v>93300</v>
      </c>
      <c r="H72" s="2"/>
      <c r="I72" s="7"/>
      <c r="J72">
        <v>11391.244484376559</v>
      </c>
    </row>
    <row r="73" spans="1:21" x14ac:dyDescent="0.2">
      <c r="B73" s="12">
        <v>3</v>
      </c>
      <c r="C73" s="14">
        <v>8704000</v>
      </c>
      <c r="D73" s="12">
        <v>3</v>
      </c>
      <c r="E73" s="14">
        <v>4786000</v>
      </c>
      <c r="F73" s="12">
        <v>3</v>
      </c>
      <c r="G73" s="14">
        <v>488400</v>
      </c>
      <c r="H73" s="2"/>
    </row>
    <row r="74" spans="1:21" x14ac:dyDescent="0.2">
      <c r="B74" s="12">
        <v>4</v>
      </c>
      <c r="C74" s="14">
        <v>9080000</v>
      </c>
      <c r="D74" s="12">
        <v>4</v>
      </c>
      <c r="E74" s="14">
        <v>7670000</v>
      </c>
      <c r="F74" s="12">
        <v>4</v>
      </c>
      <c r="G74" s="14">
        <v>1986300</v>
      </c>
      <c r="I74" s="6"/>
    </row>
    <row r="75" spans="1:21" x14ac:dyDescent="0.2">
      <c r="B75" t="s">
        <v>20</v>
      </c>
      <c r="C75" s="14">
        <v>300</v>
      </c>
      <c r="D75" t="s">
        <v>20</v>
      </c>
      <c r="E75" s="14">
        <v>0</v>
      </c>
      <c r="F75" t="s">
        <v>20</v>
      </c>
      <c r="G75" s="14">
        <v>101000</v>
      </c>
      <c r="I75" s="2"/>
    </row>
    <row r="76" spans="1:21" x14ac:dyDescent="0.2">
      <c r="A76" s="15"/>
      <c r="B76" s="15"/>
      <c r="C76" s="15"/>
      <c r="I76" s="2"/>
    </row>
    <row r="77" spans="1:21" x14ac:dyDescent="0.2">
      <c r="B77" s="5"/>
      <c r="D77" s="1"/>
      <c r="I77" s="2"/>
    </row>
    <row r="78" spans="1:21" x14ac:dyDescent="0.2">
      <c r="B78" s="2"/>
      <c r="C78" s="2"/>
      <c r="D78" s="7"/>
      <c r="E78" s="2"/>
    </row>
    <row r="79" spans="1:21" x14ac:dyDescent="0.2">
      <c r="B79" s="2"/>
      <c r="C79" s="2"/>
      <c r="D79" s="7"/>
      <c r="E79" s="2"/>
    </row>
    <row r="80" spans="1:21" x14ac:dyDescent="0.2">
      <c r="B80" s="2"/>
      <c r="C80" s="2"/>
      <c r="D80" s="7"/>
      <c r="E80" s="2"/>
    </row>
    <row r="81" spans="1:18" x14ac:dyDescent="0.2">
      <c r="B81" s="2"/>
      <c r="C81" s="2"/>
      <c r="D81" s="7"/>
      <c r="E81" s="2"/>
      <c r="O81" t="s">
        <v>106</v>
      </c>
      <c r="P81" t="s">
        <v>107</v>
      </c>
      <c r="Q81" t="s">
        <v>108</v>
      </c>
      <c r="R81" t="s">
        <v>109</v>
      </c>
    </row>
    <row r="82" spans="1:18" x14ac:dyDescent="0.2">
      <c r="B82" s="2"/>
      <c r="C82" s="2"/>
      <c r="D82" s="7"/>
      <c r="E82" s="2"/>
      <c r="O82">
        <v>28.137218230691261</v>
      </c>
      <c r="P82">
        <v>0.45000000000000284</v>
      </c>
      <c r="Q82">
        <v>3.2026788019052521</v>
      </c>
      <c r="R82">
        <v>35.549999999999997</v>
      </c>
    </row>
    <row r="83" spans="1:18" x14ac:dyDescent="0.2">
      <c r="B83" s="2"/>
      <c r="C83" s="2"/>
      <c r="D83" s="7"/>
      <c r="E83" s="2"/>
    </row>
    <row r="84" spans="1:18" x14ac:dyDescent="0.2">
      <c r="F84" t="s">
        <v>101</v>
      </c>
      <c r="H84" t="s">
        <v>102</v>
      </c>
    </row>
    <row r="85" spans="1:18" x14ac:dyDescent="0.2">
      <c r="A85" t="s">
        <v>88</v>
      </c>
      <c r="B85" t="s">
        <v>89</v>
      </c>
      <c r="C85" t="s">
        <v>90</v>
      </c>
      <c r="D85" t="s">
        <v>91</v>
      </c>
      <c r="E85" t="s">
        <v>99</v>
      </c>
      <c r="F85" t="s">
        <v>106</v>
      </c>
      <c r="G85" t="s">
        <v>107</v>
      </c>
      <c r="H85" t="s">
        <v>108</v>
      </c>
      <c r="I85" t="s">
        <v>109</v>
      </c>
      <c r="J85" t="s">
        <v>100</v>
      </c>
    </row>
    <row r="86" spans="1:18" x14ac:dyDescent="0.2">
      <c r="A86" t="s">
        <v>96</v>
      </c>
      <c r="B86">
        <v>37</v>
      </c>
      <c r="C86">
        <v>0.5</v>
      </c>
      <c r="D86">
        <v>0</v>
      </c>
      <c r="E86" t="s">
        <v>7</v>
      </c>
      <c r="F86" s="25">
        <f>$O4</f>
        <v>28.137218230691261</v>
      </c>
      <c r="G86" s="8">
        <f t="shared" ref="G86:G117" si="52">36-I86</f>
        <v>0.45000000000000284</v>
      </c>
      <c r="H86">
        <v>3.2026788019052521</v>
      </c>
      <c r="I86" s="48">
        <v>35.549999999999997</v>
      </c>
      <c r="J86">
        <f>((F86*G86)+(H86*I86))/(G86+I86)</f>
        <v>3.5143605447650792</v>
      </c>
    </row>
    <row r="87" spans="1:18" x14ac:dyDescent="0.2">
      <c r="A87" t="s">
        <v>97</v>
      </c>
      <c r="B87">
        <v>37</v>
      </c>
      <c r="C87">
        <v>0.5</v>
      </c>
      <c r="D87">
        <v>0</v>
      </c>
      <c r="E87" t="s">
        <v>7</v>
      </c>
      <c r="F87" s="2">
        <f>O7</f>
        <v>6.4907799015741752</v>
      </c>
      <c r="G87" s="8">
        <f t="shared" si="52"/>
        <v>1.9399999999999977</v>
      </c>
      <c r="H87">
        <v>3.2026788019052521</v>
      </c>
      <c r="I87" s="48">
        <v>34.06</v>
      </c>
      <c r="J87">
        <f t="shared" ref="J87:J94" si="53">((F87*G87)+(H87*I87))/(G87+I87)</f>
        <v>3.3798709167207441</v>
      </c>
    </row>
    <row r="88" spans="1:18" x14ac:dyDescent="0.2">
      <c r="A88" s="41" t="s">
        <v>98</v>
      </c>
      <c r="B88">
        <v>37</v>
      </c>
      <c r="C88">
        <v>0.5</v>
      </c>
      <c r="D88">
        <v>0</v>
      </c>
      <c r="E88" t="s">
        <v>7</v>
      </c>
      <c r="F88" s="2">
        <f>O10</f>
        <v>13.243496875457138</v>
      </c>
      <c r="G88" s="8">
        <f t="shared" si="52"/>
        <v>0.95000000000000284</v>
      </c>
      <c r="H88">
        <v>3.2026788019052521</v>
      </c>
      <c r="I88" s="48">
        <v>35.049999999999997</v>
      </c>
      <c r="J88">
        <f t="shared" si="53"/>
        <v>3.4676448344017614</v>
      </c>
    </row>
    <row r="89" spans="1:18" x14ac:dyDescent="0.2">
      <c r="A89" t="s">
        <v>96</v>
      </c>
      <c r="B89">
        <v>37</v>
      </c>
      <c r="C89">
        <v>2</v>
      </c>
      <c r="D89">
        <v>0</v>
      </c>
      <c r="E89" t="s">
        <v>7</v>
      </c>
      <c r="F89" s="25">
        <f>$O4</f>
        <v>28.137218230691261</v>
      </c>
      <c r="G89" s="8">
        <f t="shared" si="52"/>
        <v>1.7899999999999991</v>
      </c>
      <c r="H89">
        <v>3.2026788019052521</v>
      </c>
      <c r="I89" s="48">
        <v>34.21</v>
      </c>
      <c r="J89">
        <f t="shared" si="53"/>
        <v>4.4424795123921115</v>
      </c>
    </row>
    <row r="90" spans="1:18" x14ac:dyDescent="0.2">
      <c r="A90" t="s">
        <v>97</v>
      </c>
      <c r="B90">
        <v>37</v>
      </c>
      <c r="C90">
        <v>2</v>
      </c>
      <c r="D90">
        <v>0</v>
      </c>
      <c r="E90" t="s">
        <v>7</v>
      </c>
      <c r="F90" s="2">
        <f>O7</f>
        <v>6.4907799015741752</v>
      </c>
      <c r="G90" s="8">
        <f t="shared" si="52"/>
        <v>7.7600000000000016</v>
      </c>
      <c r="H90">
        <v>3.2026788019052521</v>
      </c>
      <c r="I90" s="48">
        <v>28.24</v>
      </c>
      <c r="J90">
        <f t="shared" si="53"/>
        <v>3.9114472611672202</v>
      </c>
    </row>
    <row r="91" spans="1:18" x14ac:dyDescent="0.2">
      <c r="A91" s="41" t="s">
        <v>98</v>
      </c>
      <c r="B91">
        <v>37</v>
      </c>
      <c r="C91">
        <v>2</v>
      </c>
      <c r="D91">
        <v>0</v>
      </c>
      <c r="E91" t="s">
        <v>7</v>
      </c>
      <c r="F91" s="2">
        <f>O10</f>
        <v>13.243496875457138</v>
      </c>
      <c r="G91" s="8">
        <f t="shared" si="52"/>
        <v>3.8100000000000023</v>
      </c>
      <c r="H91">
        <v>3.2026788019052521</v>
      </c>
      <c r="I91" s="48">
        <v>32.19</v>
      </c>
      <c r="J91">
        <f t="shared" si="53"/>
        <v>4.2653320480228274</v>
      </c>
    </row>
    <row r="92" spans="1:18" x14ac:dyDescent="0.2">
      <c r="A92" t="s">
        <v>96</v>
      </c>
      <c r="B92">
        <v>37</v>
      </c>
      <c r="C92" s="41">
        <v>3.5</v>
      </c>
      <c r="D92">
        <v>0</v>
      </c>
      <c r="E92" t="s">
        <v>7</v>
      </c>
      <c r="F92" s="34">
        <f>O4</f>
        <v>28.137218230691261</v>
      </c>
      <c r="G92" s="8">
        <f t="shared" si="52"/>
        <v>3.1300000000000026</v>
      </c>
      <c r="H92">
        <v>3.2026788019052521</v>
      </c>
      <c r="I92" s="48">
        <v>32.869999999999997</v>
      </c>
      <c r="J92">
        <f t="shared" si="53"/>
        <v>5.3705984800191482</v>
      </c>
      <c r="K92" s="31"/>
    </row>
    <row r="93" spans="1:18" x14ac:dyDescent="0.2">
      <c r="A93" t="s">
        <v>97</v>
      </c>
      <c r="B93">
        <v>37</v>
      </c>
      <c r="C93" s="41">
        <v>3.5</v>
      </c>
      <c r="D93">
        <v>0</v>
      </c>
      <c r="E93" t="s">
        <v>7</v>
      </c>
      <c r="F93" s="2">
        <f>O7</f>
        <v>6.4907799015741752</v>
      </c>
      <c r="G93" s="8">
        <f t="shared" si="52"/>
        <v>13.59</v>
      </c>
      <c r="H93">
        <v>3.2026788019052521</v>
      </c>
      <c r="I93" s="48">
        <v>22.41</v>
      </c>
      <c r="J93">
        <f t="shared" si="53"/>
        <v>4.4439369670302709</v>
      </c>
      <c r="K93" s="31"/>
    </row>
    <row r="94" spans="1:18" x14ac:dyDescent="0.2">
      <c r="A94" s="41" t="s">
        <v>98</v>
      </c>
      <c r="B94">
        <v>37</v>
      </c>
      <c r="C94" s="41">
        <v>3.5</v>
      </c>
      <c r="D94">
        <v>0</v>
      </c>
      <c r="E94" t="s">
        <v>7</v>
      </c>
      <c r="F94" s="2">
        <f>O10</f>
        <v>13.243496875457138</v>
      </c>
      <c r="G94" s="8">
        <f t="shared" si="52"/>
        <v>6.66</v>
      </c>
      <c r="H94">
        <v>3.2026788019052521</v>
      </c>
      <c r="I94" s="48">
        <v>29.34</v>
      </c>
      <c r="J94">
        <f t="shared" si="53"/>
        <v>5.0602301455123513</v>
      </c>
      <c r="K94" s="31"/>
    </row>
    <row r="95" spans="1:18" x14ac:dyDescent="0.2">
      <c r="A95" t="s">
        <v>96</v>
      </c>
      <c r="B95">
        <v>37</v>
      </c>
      <c r="C95">
        <v>0.5</v>
      </c>
      <c r="D95">
        <v>0</v>
      </c>
      <c r="E95" t="s">
        <v>93</v>
      </c>
      <c r="F95" s="25">
        <f>I23</f>
        <v>144511.88222923235</v>
      </c>
      <c r="G95" s="8">
        <f t="shared" si="52"/>
        <v>0.45000000000000284</v>
      </c>
      <c r="H95">
        <v>11391.244484376559</v>
      </c>
      <c r="I95" s="48">
        <v>35.549999999999997</v>
      </c>
      <c r="J95">
        <f>((F95*G95)+(H95*I95))/(G95+I95)</f>
        <v>13055.252456187267</v>
      </c>
    </row>
    <row r="96" spans="1:18" x14ac:dyDescent="0.2">
      <c r="A96" t="s">
        <v>97</v>
      </c>
      <c r="B96">
        <v>37</v>
      </c>
      <c r="C96">
        <v>0.5</v>
      </c>
      <c r="D96">
        <v>0</v>
      </c>
      <c r="E96" t="s">
        <v>93</v>
      </c>
      <c r="F96" s="2">
        <f>I36</f>
        <v>28465.289008685235</v>
      </c>
      <c r="G96" s="8">
        <f t="shared" si="52"/>
        <v>1.9399999999999977</v>
      </c>
      <c r="H96">
        <v>11391.244484376559</v>
      </c>
      <c r="I96" s="48">
        <v>34.06</v>
      </c>
      <c r="J96">
        <f t="shared" ref="J96:J103" si="54">((F96*G96)+(H96*I96))/(G96+I96)</f>
        <v>12311.34577263097</v>
      </c>
    </row>
    <row r="97" spans="1:10" x14ac:dyDescent="0.2">
      <c r="A97" s="41" t="s">
        <v>98</v>
      </c>
      <c r="B97">
        <v>37</v>
      </c>
      <c r="C97">
        <v>0.5</v>
      </c>
      <c r="D97">
        <v>0</v>
      </c>
      <c r="E97" t="s">
        <v>93</v>
      </c>
      <c r="F97" s="2">
        <f>I49</f>
        <v>19606.474436179004</v>
      </c>
      <c r="G97" s="8">
        <f t="shared" si="52"/>
        <v>0.95000000000000284</v>
      </c>
      <c r="H97">
        <v>11391.244484376559</v>
      </c>
      <c r="I97" s="48">
        <v>35.049999999999997</v>
      </c>
      <c r="J97">
        <f t="shared" si="54"/>
        <v>11608.035274771346</v>
      </c>
    </row>
    <row r="98" spans="1:10" x14ac:dyDescent="0.2">
      <c r="A98" t="s">
        <v>96</v>
      </c>
      <c r="B98">
        <v>37</v>
      </c>
      <c r="C98">
        <v>2</v>
      </c>
      <c r="D98">
        <v>0</v>
      </c>
      <c r="E98" t="s">
        <v>93</v>
      </c>
      <c r="F98" s="25">
        <f>I23</f>
        <v>144511.88222923235</v>
      </c>
      <c r="G98" s="8">
        <f t="shared" si="52"/>
        <v>1.7899999999999991</v>
      </c>
      <c r="H98">
        <v>11391.244484376559</v>
      </c>
      <c r="I98" s="48">
        <v>34.21</v>
      </c>
      <c r="J98">
        <f t="shared" si="54"/>
        <v>18010.298416690217</v>
      </c>
    </row>
    <row r="99" spans="1:10" x14ac:dyDescent="0.2">
      <c r="A99" t="s">
        <v>97</v>
      </c>
      <c r="B99">
        <v>37</v>
      </c>
      <c r="C99">
        <v>2</v>
      </c>
      <c r="D99">
        <v>0</v>
      </c>
      <c r="E99" t="s">
        <v>93</v>
      </c>
      <c r="F99" s="2">
        <f>I36</f>
        <v>28465.289008685235</v>
      </c>
      <c r="G99" s="8">
        <f t="shared" si="52"/>
        <v>7.7600000000000016</v>
      </c>
      <c r="H99">
        <v>11391.244484376559</v>
      </c>
      <c r="I99" s="48">
        <v>28.24</v>
      </c>
      <c r="J99">
        <f t="shared" si="54"/>
        <v>15071.64963739421</v>
      </c>
    </row>
    <row r="100" spans="1:10" x14ac:dyDescent="0.2">
      <c r="A100" s="41" t="s">
        <v>98</v>
      </c>
      <c r="B100">
        <v>37</v>
      </c>
      <c r="C100">
        <v>2</v>
      </c>
      <c r="D100">
        <v>0</v>
      </c>
      <c r="E100" t="s">
        <v>93</v>
      </c>
      <c r="F100" s="2">
        <f>I49</f>
        <v>19606.474436179004</v>
      </c>
      <c r="G100" s="8">
        <f t="shared" si="52"/>
        <v>3.8100000000000023</v>
      </c>
      <c r="H100">
        <v>11391.244484376559</v>
      </c>
      <c r="I100" s="48">
        <v>32.19</v>
      </c>
      <c r="J100">
        <f t="shared" si="54"/>
        <v>12260.689654275651</v>
      </c>
    </row>
    <row r="101" spans="1:10" x14ac:dyDescent="0.2">
      <c r="A101" t="s">
        <v>96</v>
      </c>
      <c r="B101">
        <v>37</v>
      </c>
      <c r="C101" s="41">
        <v>3.5</v>
      </c>
      <c r="D101">
        <v>0</v>
      </c>
      <c r="E101" t="s">
        <v>93</v>
      </c>
      <c r="F101" s="34">
        <f>I23</f>
        <v>144511.88222923235</v>
      </c>
      <c r="G101" s="8">
        <f t="shared" si="52"/>
        <v>3.1300000000000026</v>
      </c>
      <c r="H101">
        <v>11391.244484376559</v>
      </c>
      <c r="I101" s="48">
        <v>32.869999999999997</v>
      </c>
      <c r="J101">
        <f t="shared" si="54"/>
        <v>22965.3443771932</v>
      </c>
    </row>
    <row r="102" spans="1:10" x14ac:dyDescent="0.2">
      <c r="A102" t="s">
        <v>97</v>
      </c>
      <c r="B102">
        <v>37</v>
      </c>
      <c r="C102" s="41">
        <v>3.5</v>
      </c>
      <c r="D102">
        <v>0</v>
      </c>
      <c r="E102" t="s">
        <v>93</v>
      </c>
      <c r="F102" s="2">
        <f>I36</f>
        <v>28465.289008685235</v>
      </c>
      <c r="G102" s="8">
        <f t="shared" si="52"/>
        <v>13.59</v>
      </c>
      <c r="H102">
        <v>11391.244484376559</v>
      </c>
      <c r="I102" s="48">
        <v>22.41</v>
      </c>
      <c r="J102">
        <f t="shared" si="54"/>
        <v>17836.696292303081</v>
      </c>
    </row>
    <row r="103" spans="1:10" x14ac:dyDescent="0.2">
      <c r="A103" s="41" t="s">
        <v>98</v>
      </c>
      <c r="B103">
        <v>37</v>
      </c>
      <c r="C103" s="41">
        <v>3.5</v>
      </c>
      <c r="D103">
        <v>0</v>
      </c>
      <c r="E103" t="s">
        <v>93</v>
      </c>
      <c r="F103" s="2">
        <f>I49</f>
        <v>19606.474436179004</v>
      </c>
      <c r="G103" s="8">
        <f t="shared" si="52"/>
        <v>6.66</v>
      </c>
      <c r="H103">
        <v>11391.244484376559</v>
      </c>
      <c r="I103" s="48">
        <v>29.34</v>
      </c>
      <c r="J103">
        <f t="shared" si="54"/>
        <v>12911.062025460013</v>
      </c>
    </row>
    <row r="104" spans="1:10" x14ac:dyDescent="0.2">
      <c r="A104" t="s">
        <v>96</v>
      </c>
      <c r="B104">
        <v>37</v>
      </c>
      <c r="C104">
        <v>0.5</v>
      </c>
      <c r="D104">
        <v>0</v>
      </c>
      <c r="E104" t="s">
        <v>94</v>
      </c>
      <c r="F104" s="14">
        <v>3270000.0000000005</v>
      </c>
      <c r="G104" s="8">
        <f t="shared" si="52"/>
        <v>0.45000000000000284</v>
      </c>
      <c r="H104" s="14">
        <v>0</v>
      </c>
      <c r="I104" s="48">
        <v>35.549999999999997</v>
      </c>
      <c r="J104">
        <f>((F104*G104)+(H104*I104))/(G104+I104)</f>
        <v>40875.000000000262</v>
      </c>
    </row>
    <row r="105" spans="1:10" x14ac:dyDescent="0.2">
      <c r="A105" t="s">
        <v>97</v>
      </c>
      <c r="B105">
        <v>37</v>
      </c>
      <c r="C105">
        <v>0.5</v>
      </c>
      <c r="D105">
        <v>0</v>
      </c>
      <c r="E105" t="s">
        <v>94</v>
      </c>
      <c r="F105" s="14">
        <v>4786000</v>
      </c>
      <c r="G105" s="8">
        <f t="shared" si="52"/>
        <v>1.9399999999999977</v>
      </c>
      <c r="H105" s="14">
        <v>0</v>
      </c>
      <c r="I105" s="48">
        <v>34.06</v>
      </c>
      <c r="J105">
        <f t="shared" ref="J105:J112" si="55">((F105*G105)+(H105*I105))/(G105+I105)</f>
        <v>257912.2222222219</v>
      </c>
    </row>
    <row r="106" spans="1:10" x14ac:dyDescent="0.2">
      <c r="A106" s="41" t="s">
        <v>98</v>
      </c>
      <c r="B106">
        <v>37</v>
      </c>
      <c r="C106">
        <v>0.5</v>
      </c>
      <c r="D106">
        <v>0</v>
      </c>
      <c r="E106" t="s">
        <v>94</v>
      </c>
      <c r="F106" s="14">
        <v>7670000</v>
      </c>
      <c r="G106" s="8">
        <f t="shared" si="52"/>
        <v>0.95000000000000284</v>
      </c>
      <c r="H106" s="14">
        <v>0</v>
      </c>
      <c r="I106" s="48">
        <v>35.049999999999997</v>
      </c>
      <c r="J106">
        <f t="shared" si="55"/>
        <v>202402.77777777836</v>
      </c>
    </row>
    <row r="107" spans="1:10" x14ac:dyDescent="0.2">
      <c r="A107" t="s">
        <v>96</v>
      </c>
      <c r="B107">
        <v>37</v>
      </c>
      <c r="C107">
        <v>2</v>
      </c>
      <c r="D107">
        <v>0</v>
      </c>
      <c r="E107" t="s">
        <v>94</v>
      </c>
      <c r="F107" s="14">
        <v>3270000.0000000005</v>
      </c>
      <c r="G107" s="8">
        <f t="shared" si="52"/>
        <v>1.7899999999999991</v>
      </c>
      <c r="H107" s="14">
        <v>0</v>
      </c>
      <c r="I107" s="48">
        <v>34.21</v>
      </c>
      <c r="J107">
        <f t="shared" si="55"/>
        <v>162591.66666666663</v>
      </c>
    </row>
    <row r="108" spans="1:10" x14ac:dyDescent="0.2">
      <c r="A108" t="s">
        <v>97</v>
      </c>
      <c r="B108">
        <v>37</v>
      </c>
      <c r="C108">
        <v>2</v>
      </c>
      <c r="D108">
        <v>0</v>
      </c>
      <c r="E108" t="s">
        <v>94</v>
      </c>
      <c r="F108" s="14">
        <v>4786000</v>
      </c>
      <c r="G108" s="8">
        <f t="shared" si="52"/>
        <v>7.7600000000000016</v>
      </c>
      <c r="H108" s="14">
        <v>0</v>
      </c>
      <c r="I108" s="48">
        <v>28.24</v>
      </c>
      <c r="J108">
        <f t="shared" si="55"/>
        <v>1031648.8888888891</v>
      </c>
    </row>
    <row r="109" spans="1:10" x14ac:dyDescent="0.2">
      <c r="A109" s="41" t="s">
        <v>98</v>
      </c>
      <c r="B109">
        <v>37</v>
      </c>
      <c r="C109">
        <v>2</v>
      </c>
      <c r="D109">
        <v>0</v>
      </c>
      <c r="E109" t="s">
        <v>94</v>
      </c>
      <c r="F109" s="14">
        <v>7670000</v>
      </c>
      <c r="G109" s="8">
        <f t="shared" si="52"/>
        <v>3.8100000000000023</v>
      </c>
      <c r="H109" s="14">
        <v>0</v>
      </c>
      <c r="I109" s="48">
        <v>32.19</v>
      </c>
      <c r="J109">
        <f t="shared" si="55"/>
        <v>811741.66666666721</v>
      </c>
    </row>
    <row r="110" spans="1:10" x14ac:dyDescent="0.2">
      <c r="A110" t="s">
        <v>96</v>
      </c>
      <c r="B110">
        <v>37</v>
      </c>
      <c r="C110" s="41">
        <v>3.5</v>
      </c>
      <c r="D110">
        <v>0</v>
      </c>
      <c r="E110" t="s">
        <v>94</v>
      </c>
      <c r="F110" s="14">
        <v>3270000.0000000005</v>
      </c>
      <c r="G110" s="8">
        <f t="shared" si="52"/>
        <v>3.1300000000000026</v>
      </c>
      <c r="H110" s="14">
        <v>0</v>
      </c>
      <c r="I110" s="48">
        <v>32.869999999999997</v>
      </c>
      <c r="J110">
        <f t="shared" si="55"/>
        <v>284308.3333333336</v>
      </c>
    </row>
    <row r="111" spans="1:10" x14ac:dyDescent="0.2">
      <c r="A111" t="s">
        <v>97</v>
      </c>
      <c r="B111">
        <v>37</v>
      </c>
      <c r="C111" s="41">
        <v>3.5</v>
      </c>
      <c r="D111">
        <v>0</v>
      </c>
      <c r="E111" t="s">
        <v>94</v>
      </c>
      <c r="F111" s="14">
        <v>4786000</v>
      </c>
      <c r="G111" s="8">
        <f t="shared" si="52"/>
        <v>13.59</v>
      </c>
      <c r="H111" s="14">
        <v>0</v>
      </c>
      <c r="I111" s="48">
        <v>22.41</v>
      </c>
      <c r="J111">
        <f t="shared" si="55"/>
        <v>1806715</v>
      </c>
    </row>
    <row r="112" spans="1:10" x14ac:dyDescent="0.2">
      <c r="A112" s="41" t="s">
        <v>98</v>
      </c>
      <c r="B112">
        <v>37</v>
      </c>
      <c r="C112" s="41">
        <v>3.5</v>
      </c>
      <c r="D112">
        <v>0</v>
      </c>
      <c r="E112" t="s">
        <v>94</v>
      </c>
      <c r="F112" s="14">
        <v>7670000</v>
      </c>
      <c r="G112" s="8">
        <f t="shared" si="52"/>
        <v>6.66</v>
      </c>
      <c r="H112" s="14">
        <v>0</v>
      </c>
      <c r="I112" s="48">
        <v>29.34</v>
      </c>
      <c r="J112">
        <f t="shared" si="55"/>
        <v>1418950</v>
      </c>
    </row>
    <row r="113" spans="1:10" x14ac:dyDescent="0.2">
      <c r="A113" t="s">
        <v>96</v>
      </c>
      <c r="B113">
        <v>37</v>
      </c>
      <c r="C113">
        <v>0.5</v>
      </c>
      <c r="D113">
        <v>0</v>
      </c>
      <c r="E113" t="s">
        <v>15</v>
      </c>
      <c r="F113" s="14">
        <v>3990000</v>
      </c>
      <c r="G113" s="8">
        <f t="shared" si="52"/>
        <v>0.45000000000000284</v>
      </c>
      <c r="H113" s="14">
        <v>300</v>
      </c>
      <c r="I113" s="48">
        <v>35.549999999999997</v>
      </c>
      <c r="J113">
        <f>((F113*G113)+(H113*I113))/(G113+I113)</f>
        <v>50171.25000000032</v>
      </c>
    </row>
    <row r="114" spans="1:10" x14ac:dyDescent="0.2">
      <c r="A114" t="s">
        <v>97</v>
      </c>
      <c r="B114">
        <v>37</v>
      </c>
      <c r="C114">
        <v>0.5</v>
      </c>
      <c r="D114">
        <v>0</v>
      </c>
      <c r="E114" t="s">
        <v>15</v>
      </c>
      <c r="F114" s="14">
        <v>8704000</v>
      </c>
      <c r="G114" s="8">
        <f t="shared" si="52"/>
        <v>1.9399999999999977</v>
      </c>
      <c r="H114" s="14">
        <v>300</v>
      </c>
      <c r="I114" s="48">
        <v>34.06</v>
      </c>
      <c r="J114">
        <f t="shared" ref="J114:J121" si="56">((F114*G114)+(H114*I114))/(G114+I114)</f>
        <v>469332.72222222172</v>
      </c>
    </row>
    <row r="115" spans="1:10" x14ac:dyDescent="0.2">
      <c r="A115" s="41" t="s">
        <v>98</v>
      </c>
      <c r="B115">
        <v>37</v>
      </c>
      <c r="C115">
        <v>0.5</v>
      </c>
      <c r="D115">
        <v>0</v>
      </c>
      <c r="E115" t="s">
        <v>15</v>
      </c>
      <c r="F115" s="14">
        <v>9080000</v>
      </c>
      <c r="G115" s="8">
        <f t="shared" si="52"/>
        <v>0.95000000000000284</v>
      </c>
      <c r="H115" s="14">
        <v>300</v>
      </c>
      <c r="I115" s="48">
        <v>35.049999999999997</v>
      </c>
      <c r="J115">
        <f t="shared" si="56"/>
        <v>239903.19444444517</v>
      </c>
    </row>
    <row r="116" spans="1:10" x14ac:dyDescent="0.2">
      <c r="A116" t="s">
        <v>96</v>
      </c>
      <c r="B116">
        <v>37</v>
      </c>
      <c r="C116">
        <v>2</v>
      </c>
      <c r="D116">
        <v>0</v>
      </c>
      <c r="E116" t="s">
        <v>15</v>
      </c>
      <c r="F116" s="14">
        <v>3990000</v>
      </c>
      <c r="G116" s="8">
        <f t="shared" si="52"/>
        <v>1.7899999999999991</v>
      </c>
      <c r="H116" s="14">
        <v>300</v>
      </c>
      <c r="I116" s="48">
        <v>34.21</v>
      </c>
      <c r="J116">
        <f t="shared" si="56"/>
        <v>198676.74999999988</v>
      </c>
    </row>
    <row r="117" spans="1:10" x14ac:dyDescent="0.2">
      <c r="A117" t="s">
        <v>97</v>
      </c>
      <c r="B117">
        <v>37</v>
      </c>
      <c r="C117">
        <v>2</v>
      </c>
      <c r="D117">
        <v>0</v>
      </c>
      <c r="E117" t="s">
        <v>15</v>
      </c>
      <c r="F117" s="14">
        <v>8704000</v>
      </c>
      <c r="G117" s="8">
        <f t="shared" si="52"/>
        <v>7.7600000000000016</v>
      </c>
      <c r="H117" s="14">
        <v>300</v>
      </c>
      <c r="I117" s="48">
        <v>28.24</v>
      </c>
      <c r="J117">
        <f t="shared" si="56"/>
        <v>1876430.8888888892</v>
      </c>
    </row>
    <row r="118" spans="1:10" x14ac:dyDescent="0.2">
      <c r="A118" s="41" t="s">
        <v>98</v>
      </c>
      <c r="B118">
        <v>37</v>
      </c>
      <c r="C118">
        <v>2</v>
      </c>
      <c r="D118">
        <v>0</v>
      </c>
      <c r="E118" t="s">
        <v>15</v>
      </c>
      <c r="F118" s="14">
        <v>9080000</v>
      </c>
      <c r="G118" s="8">
        <f t="shared" ref="G118:G148" si="57">36-I118</f>
        <v>3.8100000000000023</v>
      </c>
      <c r="H118" s="14">
        <v>300</v>
      </c>
      <c r="I118" s="48">
        <v>32.19</v>
      </c>
      <c r="J118">
        <f t="shared" si="56"/>
        <v>961234.91666666733</v>
      </c>
    </row>
    <row r="119" spans="1:10" x14ac:dyDescent="0.2">
      <c r="A119" t="s">
        <v>96</v>
      </c>
      <c r="B119">
        <v>37</v>
      </c>
      <c r="C119" s="41">
        <v>3.5</v>
      </c>
      <c r="D119">
        <v>0</v>
      </c>
      <c r="E119" t="s">
        <v>15</v>
      </c>
      <c r="F119" s="14">
        <v>3990000</v>
      </c>
      <c r="G119" s="8">
        <f t="shared" si="57"/>
        <v>3.1300000000000026</v>
      </c>
      <c r="H119" s="14">
        <v>300</v>
      </c>
      <c r="I119" s="48">
        <v>32.869999999999997</v>
      </c>
      <c r="J119">
        <f t="shared" si="56"/>
        <v>347182.25000000023</v>
      </c>
    </row>
    <row r="120" spans="1:10" x14ac:dyDescent="0.2">
      <c r="A120" t="s">
        <v>97</v>
      </c>
      <c r="B120">
        <v>37</v>
      </c>
      <c r="C120" s="41">
        <v>3.5</v>
      </c>
      <c r="D120">
        <v>0</v>
      </c>
      <c r="E120" t="s">
        <v>15</v>
      </c>
      <c r="F120" s="14">
        <v>8704000</v>
      </c>
      <c r="G120" s="8">
        <f t="shared" si="57"/>
        <v>13.59</v>
      </c>
      <c r="H120" s="14">
        <v>300</v>
      </c>
      <c r="I120" s="48">
        <v>22.41</v>
      </c>
      <c r="J120">
        <f t="shared" si="56"/>
        <v>3285946.75</v>
      </c>
    </row>
    <row r="121" spans="1:10" x14ac:dyDescent="0.2">
      <c r="A121" s="41" t="s">
        <v>98</v>
      </c>
      <c r="B121">
        <v>37</v>
      </c>
      <c r="C121" s="41">
        <v>3.5</v>
      </c>
      <c r="D121">
        <v>0</v>
      </c>
      <c r="E121" t="s">
        <v>15</v>
      </c>
      <c r="F121" s="14">
        <v>9080000</v>
      </c>
      <c r="G121" s="8">
        <f t="shared" si="57"/>
        <v>6.66</v>
      </c>
      <c r="H121" s="14">
        <v>300</v>
      </c>
      <c r="I121" s="48">
        <v>29.34</v>
      </c>
      <c r="J121">
        <f t="shared" si="56"/>
        <v>1680044.5</v>
      </c>
    </row>
    <row r="122" spans="1:10" x14ac:dyDescent="0.2">
      <c r="A122" t="s">
        <v>96</v>
      </c>
      <c r="B122">
        <v>37</v>
      </c>
      <c r="C122">
        <v>0.5</v>
      </c>
      <c r="D122">
        <v>0</v>
      </c>
      <c r="E122" t="s">
        <v>95</v>
      </c>
      <c r="F122" s="14">
        <v>93300</v>
      </c>
      <c r="G122" s="8">
        <f t="shared" si="57"/>
        <v>0.45000000000000284</v>
      </c>
      <c r="H122" s="14">
        <v>101000</v>
      </c>
      <c r="I122" s="48">
        <v>35.549999999999997</v>
      </c>
      <c r="J122">
        <f>((F122*G122)+(H122*I122))/(G122+I122)</f>
        <v>100903.75</v>
      </c>
    </row>
    <row r="123" spans="1:10" x14ac:dyDescent="0.2">
      <c r="A123" t="s">
        <v>97</v>
      </c>
      <c r="B123">
        <v>37</v>
      </c>
      <c r="C123">
        <v>0.5</v>
      </c>
      <c r="D123">
        <v>0</v>
      </c>
      <c r="E123" t="s">
        <v>95</v>
      </c>
      <c r="F123" s="14">
        <v>488400</v>
      </c>
      <c r="G123" s="8">
        <f t="shared" si="57"/>
        <v>1.9399999999999977</v>
      </c>
      <c r="H123" s="14">
        <v>101000</v>
      </c>
      <c r="I123" s="48">
        <v>34.06</v>
      </c>
      <c r="J123">
        <f t="shared" ref="J123:J130" si="58">((F123*G123)+(H123*I123))/(G123+I123)</f>
        <v>121876.55555555553</v>
      </c>
    </row>
    <row r="124" spans="1:10" x14ac:dyDescent="0.2">
      <c r="A124" s="41" t="s">
        <v>98</v>
      </c>
      <c r="B124">
        <v>37</v>
      </c>
      <c r="C124">
        <v>0.5</v>
      </c>
      <c r="D124">
        <v>0</v>
      </c>
      <c r="E124" t="s">
        <v>95</v>
      </c>
      <c r="F124" s="14">
        <v>1986300</v>
      </c>
      <c r="G124" s="8">
        <f t="shared" si="57"/>
        <v>0.95000000000000284</v>
      </c>
      <c r="H124" s="14">
        <v>101000</v>
      </c>
      <c r="I124" s="48">
        <v>35.049999999999997</v>
      </c>
      <c r="J124">
        <f t="shared" si="58"/>
        <v>150750.97222222236</v>
      </c>
    </row>
    <row r="125" spans="1:10" x14ac:dyDescent="0.2">
      <c r="A125" t="s">
        <v>96</v>
      </c>
      <c r="B125">
        <v>37</v>
      </c>
      <c r="C125">
        <v>2</v>
      </c>
      <c r="D125">
        <v>0</v>
      </c>
      <c r="E125" t="s">
        <v>95</v>
      </c>
      <c r="F125" s="14">
        <v>93300</v>
      </c>
      <c r="G125" s="8">
        <f t="shared" si="57"/>
        <v>1.7899999999999991</v>
      </c>
      <c r="H125" s="14">
        <v>101000</v>
      </c>
      <c r="I125" s="48">
        <v>34.21</v>
      </c>
      <c r="J125">
        <f t="shared" si="58"/>
        <v>100617.13888888889</v>
      </c>
    </row>
    <row r="126" spans="1:10" x14ac:dyDescent="0.2">
      <c r="A126" t="s">
        <v>97</v>
      </c>
      <c r="B126">
        <v>37</v>
      </c>
      <c r="C126">
        <v>2</v>
      </c>
      <c r="D126">
        <v>0</v>
      </c>
      <c r="E126" t="s">
        <v>95</v>
      </c>
      <c r="F126" s="14">
        <v>488400</v>
      </c>
      <c r="G126" s="8">
        <f t="shared" si="57"/>
        <v>7.7600000000000016</v>
      </c>
      <c r="H126" s="14">
        <v>101000</v>
      </c>
      <c r="I126" s="48">
        <v>28.24</v>
      </c>
      <c r="J126">
        <f t="shared" si="58"/>
        <v>184506.22222222225</v>
      </c>
    </row>
    <row r="127" spans="1:10" x14ac:dyDescent="0.2">
      <c r="A127" s="41" t="s">
        <v>98</v>
      </c>
      <c r="B127">
        <v>37</v>
      </c>
      <c r="C127">
        <v>2</v>
      </c>
      <c r="D127">
        <v>0</v>
      </c>
      <c r="E127" t="s">
        <v>95</v>
      </c>
      <c r="F127" s="14">
        <v>1986300</v>
      </c>
      <c r="G127" s="8">
        <f t="shared" si="57"/>
        <v>3.8100000000000023</v>
      </c>
      <c r="H127" s="14">
        <v>101000</v>
      </c>
      <c r="I127" s="48">
        <v>32.19</v>
      </c>
      <c r="J127">
        <f t="shared" si="58"/>
        <v>300527.58333333343</v>
      </c>
    </row>
    <row r="128" spans="1:10" x14ac:dyDescent="0.2">
      <c r="A128" t="s">
        <v>96</v>
      </c>
      <c r="B128">
        <v>37</v>
      </c>
      <c r="C128" s="41">
        <v>3.5</v>
      </c>
      <c r="D128">
        <v>0</v>
      </c>
      <c r="E128" t="s">
        <v>95</v>
      </c>
      <c r="F128" s="14">
        <v>93300</v>
      </c>
      <c r="G128" s="8">
        <f t="shared" si="57"/>
        <v>3.1300000000000026</v>
      </c>
      <c r="H128" s="14">
        <v>101000</v>
      </c>
      <c r="I128" s="48">
        <v>32.869999999999997</v>
      </c>
      <c r="J128">
        <f t="shared" si="58"/>
        <v>100330.52777777778</v>
      </c>
    </row>
    <row r="129" spans="1:13" x14ac:dyDescent="0.2">
      <c r="A129" t="s">
        <v>97</v>
      </c>
      <c r="B129">
        <v>37</v>
      </c>
      <c r="C129" s="41">
        <v>3.5</v>
      </c>
      <c r="D129">
        <v>0</v>
      </c>
      <c r="E129" t="s">
        <v>95</v>
      </c>
      <c r="F129" s="14">
        <v>488400</v>
      </c>
      <c r="G129" s="8">
        <f t="shared" si="57"/>
        <v>13.59</v>
      </c>
      <c r="H129" s="14">
        <v>101000</v>
      </c>
      <c r="I129" s="48">
        <v>22.41</v>
      </c>
      <c r="J129">
        <f t="shared" si="58"/>
        <v>247243.5</v>
      </c>
      <c r="M129">
        <v>370</v>
      </c>
    </row>
    <row r="130" spans="1:13" x14ac:dyDescent="0.2">
      <c r="A130" s="41" t="s">
        <v>98</v>
      </c>
      <c r="B130">
        <v>37</v>
      </c>
      <c r="C130" s="41">
        <v>3.5</v>
      </c>
      <c r="D130">
        <v>0</v>
      </c>
      <c r="E130" t="s">
        <v>95</v>
      </c>
      <c r="F130" s="14">
        <v>1986300</v>
      </c>
      <c r="G130" s="8">
        <f t="shared" si="57"/>
        <v>6.66</v>
      </c>
      <c r="H130" s="14">
        <v>101000</v>
      </c>
      <c r="I130" s="48">
        <v>29.34</v>
      </c>
      <c r="J130">
        <f t="shared" si="58"/>
        <v>449780.5</v>
      </c>
    </row>
    <row r="131" spans="1:13" x14ac:dyDescent="0.2">
      <c r="A131" t="s">
        <v>96</v>
      </c>
      <c r="B131">
        <v>37</v>
      </c>
      <c r="C131">
        <v>0.5</v>
      </c>
      <c r="D131">
        <v>0</v>
      </c>
      <c r="E131" t="s">
        <v>92</v>
      </c>
      <c r="F131">
        <v>370</v>
      </c>
      <c r="G131" s="8">
        <f t="shared" si="57"/>
        <v>0.45000000000000284</v>
      </c>
      <c r="H131" s="14">
        <v>2000</v>
      </c>
      <c r="I131" s="48">
        <v>35.549999999999997</v>
      </c>
      <c r="J131">
        <f>((F131*G131)+(H131*I131))/(G131+I131)</f>
        <v>1979.625</v>
      </c>
    </row>
    <row r="132" spans="1:13" x14ac:dyDescent="0.2">
      <c r="A132" t="s">
        <v>97</v>
      </c>
      <c r="B132">
        <v>37</v>
      </c>
      <c r="C132">
        <v>0.5</v>
      </c>
      <c r="D132">
        <v>0</v>
      </c>
      <c r="E132" t="s">
        <v>92</v>
      </c>
      <c r="F132">
        <v>1900</v>
      </c>
      <c r="G132" s="8">
        <f t="shared" si="57"/>
        <v>1.9399999999999977</v>
      </c>
      <c r="H132" s="14">
        <v>2000</v>
      </c>
      <c r="I132" s="48">
        <v>34.06</v>
      </c>
      <c r="J132">
        <f t="shared" ref="J132:J139" si="59">((F132*G132)+(H132*I132))/(G132+I132)</f>
        <v>1994.6111111111111</v>
      </c>
      <c r="M132">
        <v>1900</v>
      </c>
    </row>
    <row r="133" spans="1:13" x14ac:dyDescent="0.2">
      <c r="A133" s="41" t="s">
        <v>98</v>
      </c>
      <c r="B133">
        <v>37</v>
      </c>
      <c r="C133">
        <v>0.5</v>
      </c>
      <c r="D133">
        <v>0</v>
      </c>
      <c r="E133" t="s">
        <v>92</v>
      </c>
      <c r="F133">
        <v>1200</v>
      </c>
      <c r="G133" s="8">
        <f t="shared" si="57"/>
        <v>0.95000000000000284</v>
      </c>
      <c r="H133" s="14">
        <v>2000</v>
      </c>
      <c r="I133" s="48">
        <v>35.049999999999997</v>
      </c>
      <c r="J133">
        <f t="shared" si="59"/>
        <v>1978.8888888888889</v>
      </c>
    </row>
    <row r="134" spans="1:13" x14ac:dyDescent="0.2">
      <c r="A134" t="s">
        <v>96</v>
      </c>
      <c r="B134">
        <v>37</v>
      </c>
      <c r="C134">
        <v>2</v>
      </c>
      <c r="D134">
        <v>0</v>
      </c>
      <c r="E134" t="s">
        <v>92</v>
      </c>
      <c r="F134">
        <v>370</v>
      </c>
      <c r="G134" s="8">
        <f t="shared" si="57"/>
        <v>1.7899999999999991</v>
      </c>
      <c r="H134" s="14">
        <v>2000</v>
      </c>
      <c r="I134" s="48">
        <v>34.21</v>
      </c>
      <c r="J134">
        <f t="shared" si="59"/>
        <v>1918.9527777777778</v>
      </c>
    </row>
    <row r="135" spans="1:13" x14ac:dyDescent="0.2">
      <c r="A135" t="s">
        <v>97</v>
      </c>
      <c r="B135">
        <v>37</v>
      </c>
      <c r="C135">
        <v>2</v>
      </c>
      <c r="D135">
        <v>0</v>
      </c>
      <c r="E135" t="s">
        <v>92</v>
      </c>
      <c r="F135">
        <v>1900</v>
      </c>
      <c r="G135" s="8">
        <f t="shared" si="57"/>
        <v>7.7600000000000016</v>
      </c>
      <c r="H135" s="14">
        <v>2000</v>
      </c>
      <c r="I135" s="48">
        <v>28.24</v>
      </c>
      <c r="J135">
        <f t="shared" si="59"/>
        <v>1978.4444444444443</v>
      </c>
      <c r="M135">
        <v>1200</v>
      </c>
    </row>
    <row r="136" spans="1:13" x14ac:dyDescent="0.2">
      <c r="A136" s="41" t="s">
        <v>98</v>
      </c>
      <c r="B136">
        <v>37</v>
      </c>
      <c r="C136">
        <v>2</v>
      </c>
      <c r="D136">
        <v>0</v>
      </c>
      <c r="E136" t="s">
        <v>92</v>
      </c>
      <c r="F136">
        <v>1200</v>
      </c>
      <c r="G136" s="8">
        <f t="shared" si="57"/>
        <v>3.8100000000000023</v>
      </c>
      <c r="H136" s="14">
        <v>2000</v>
      </c>
      <c r="I136" s="48">
        <v>32.19</v>
      </c>
      <c r="J136">
        <f t="shared" si="59"/>
        <v>1915.3333333333333</v>
      </c>
    </row>
    <row r="137" spans="1:13" x14ac:dyDescent="0.2">
      <c r="A137" t="s">
        <v>96</v>
      </c>
      <c r="B137">
        <v>37</v>
      </c>
      <c r="C137" s="41">
        <v>3.5</v>
      </c>
      <c r="D137">
        <v>0</v>
      </c>
      <c r="E137" t="s">
        <v>92</v>
      </c>
      <c r="F137">
        <v>370</v>
      </c>
      <c r="G137" s="8">
        <f t="shared" si="57"/>
        <v>3.1300000000000026</v>
      </c>
      <c r="H137" s="14">
        <v>2000</v>
      </c>
      <c r="I137" s="48">
        <v>32.869999999999997</v>
      </c>
      <c r="J137">
        <f t="shared" si="59"/>
        <v>1858.2805555555558</v>
      </c>
    </row>
    <row r="138" spans="1:13" x14ac:dyDescent="0.2">
      <c r="A138" t="s">
        <v>97</v>
      </c>
      <c r="B138">
        <v>37</v>
      </c>
      <c r="C138" s="41">
        <v>3.5</v>
      </c>
      <c r="D138">
        <v>0</v>
      </c>
      <c r="E138" t="s">
        <v>92</v>
      </c>
      <c r="F138">
        <v>1900</v>
      </c>
      <c r="G138" s="8">
        <f t="shared" si="57"/>
        <v>13.59</v>
      </c>
      <c r="H138" s="14">
        <v>2000</v>
      </c>
      <c r="I138" s="48">
        <v>22.41</v>
      </c>
      <c r="J138">
        <f t="shared" si="59"/>
        <v>1962.25</v>
      </c>
    </row>
    <row r="139" spans="1:13" x14ac:dyDescent="0.2">
      <c r="A139" s="41" t="s">
        <v>98</v>
      </c>
      <c r="B139">
        <v>37</v>
      </c>
      <c r="C139" s="41">
        <v>3.5</v>
      </c>
      <c r="D139">
        <v>0</v>
      </c>
      <c r="E139" t="s">
        <v>92</v>
      </c>
      <c r="F139">
        <v>1200</v>
      </c>
      <c r="G139" s="8">
        <f t="shared" si="57"/>
        <v>6.66</v>
      </c>
      <c r="H139" s="14">
        <v>2000</v>
      </c>
      <c r="I139" s="48">
        <v>29.34</v>
      </c>
      <c r="J139">
        <f t="shared" si="59"/>
        <v>1852</v>
      </c>
    </row>
    <row r="140" spans="1:13" x14ac:dyDescent="0.2">
      <c r="A140" t="s">
        <v>96</v>
      </c>
      <c r="B140">
        <v>37</v>
      </c>
      <c r="C140">
        <v>0.5</v>
      </c>
      <c r="D140">
        <v>0</v>
      </c>
      <c r="E140" t="s">
        <v>6</v>
      </c>
      <c r="F140" s="25">
        <f>N4</f>
        <v>34.535818497584216</v>
      </c>
      <c r="G140" s="8">
        <f t="shared" si="57"/>
        <v>0.45000000000000284</v>
      </c>
      <c r="H140" s="2">
        <f>N14</f>
        <v>5.5774006338181836</v>
      </c>
      <c r="I140" s="48">
        <v>35.549999999999997</v>
      </c>
      <c r="J140">
        <f>((F140*G140)+(H140*I140))/(G140+I140)</f>
        <v>5.9393808571152613</v>
      </c>
    </row>
    <row r="141" spans="1:13" x14ac:dyDescent="0.2">
      <c r="A141" t="s">
        <v>97</v>
      </c>
      <c r="B141">
        <v>37</v>
      </c>
      <c r="C141">
        <v>0.5</v>
      </c>
      <c r="D141">
        <v>0</v>
      </c>
      <c r="E141" t="s">
        <v>6</v>
      </c>
      <c r="F141" s="2">
        <f>N7</f>
        <v>8.2841582300292824</v>
      </c>
      <c r="G141" s="8">
        <f t="shared" si="57"/>
        <v>1.9399999999999977</v>
      </c>
      <c r="H141" s="2">
        <f>N14</f>
        <v>5.5774006338181836</v>
      </c>
      <c r="I141" s="48">
        <v>34.06</v>
      </c>
      <c r="J141">
        <f t="shared" ref="J141:J148" si="60">((F141*G141)+(H141*I141))/(G141+I141)</f>
        <v>5.7232647931695588</v>
      </c>
    </row>
    <row r="142" spans="1:13" x14ac:dyDescent="0.2">
      <c r="A142" s="41" t="s">
        <v>98</v>
      </c>
      <c r="B142">
        <v>37</v>
      </c>
      <c r="C142">
        <v>0.5</v>
      </c>
      <c r="D142">
        <v>0</v>
      </c>
      <c r="E142" t="s">
        <v>6</v>
      </c>
      <c r="F142" s="2">
        <f>N10</f>
        <v>16.42072159253286</v>
      </c>
      <c r="G142" s="8">
        <f t="shared" si="57"/>
        <v>0.95000000000000284</v>
      </c>
      <c r="H142" s="2">
        <f>N14</f>
        <v>5.5774006338181836</v>
      </c>
      <c r="I142" s="48">
        <v>35.049999999999997</v>
      </c>
      <c r="J142">
        <f t="shared" si="60"/>
        <v>5.8635438257842658</v>
      </c>
    </row>
    <row r="143" spans="1:13" x14ac:dyDescent="0.2">
      <c r="A143" t="s">
        <v>96</v>
      </c>
      <c r="B143">
        <v>37</v>
      </c>
      <c r="C143">
        <v>2</v>
      </c>
      <c r="D143">
        <v>0</v>
      </c>
      <c r="E143" t="s">
        <v>6</v>
      </c>
      <c r="F143" s="25">
        <f>N4</f>
        <v>34.535818497584216</v>
      </c>
      <c r="G143" s="8">
        <f t="shared" si="57"/>
        <v>1.7899999999999991</v>
      </c>
      <c r="H143" s="2">
        <f>N14</f>
        <v>5.5774006338181836</v>
      </c>
      <c r="I143" s="48">
        <v>34.21</v>
      </c>
      <c r="J143">
        <f t="shared" si="60"/>
        <v>7.0172775220443278</v>
      </c>
    </row>
    <row r="144" spans="1:13" x14ac:dyDescent="0.2">
      <c r="A144" t="s">
        <v>97</v>
      </c>
      <c r="B144">
        <v>37</v>
      </c>
      <c r="C144">
        <v>2</v>
      </c>
      <c r="D144">
        <v>0</v>
      </c>
      <c r="E144" t="s">
        <v>6</v>
      </c>
      <c r="F144" s="2">
        <f>N7</f>
        <v>8.2841582300292824</v>
      </c>
      <c r="G144" s="8">
        <f t="shared" si="57"/>
        <v>7.7600000000000016</v>
      </c>
      <c r="H144" s="2">
        <f>N14</f>
        <v>5.5774006338181836</v>
      </c>
      <c r="I144" s="48">
        <v>28.24</v>
      </c>
      <c r="J144">
        <f t="shared" si="60"/>
        <v>6.1608572712236871</v>
      </c>
    </row>
    <row r="145" spans="1:13" x14ac:dyDescent="0.2">
      <c r="A145" s="41" t="s">
        <v>98</v>
      </c>
      <c r="B145">
        <v>37</v>
      </c>
      <c r="C145">
        <v>2</v>
      </c>
      <c r="D145">
        <v>0</v>
      </c>
      <c r="E145" t="s">
        <v>6</v>
      </c>
      <c r="F145" s="2">
        <f>N10</f>
        <v>16.42072159253286</v>
      </c>
      <c r="G145" s="8">
        <f t="shared" si="57"/>
        <v>3.8100000000000023</v>
      </c>
      <c r="H145" s="2">
        <f>N14</f>
        <v>5.5774006338181836</v>
      </c>
      <c r="I145" s="48">
        <v>32.19</v>
      </c>
      <c r="J145">
        <f t="shared" si="60"/>
        <v>6.7249854352821536</v>
      </c>
      <c r="M145">
        <v>7.97</v>
      </c>
    </row>
    <row r="146" spans="1:13" x14ac:dyDescent="0.2">
      <c r="A146" t="s">
        <v>96</v>
      </c>
      <c r="B146">
        <v>37</v>
      </c>
      <c r="C146" s="41">
        <v>3.5</v>
      </c>
      <c r="D146">
        <v>0</v>
      </c>
      <c r="E146" t="s">
        <v>6</v>
      </c>
      <c r="F146" s="34">
        <f>N4</f>
        <v>34.535818497584216</v>
      </c>
      <c r="G146" s="8">
        <f t="shared" si="57"/>
        <v>3.1300000000000026</v>
      </c>
      <c r="H146" s="2">
        <f>N14</f>
        <v>5.5774006338181836</v>
      </c>
      <c r="I146" s="48">
        <v>32.869999999999997</v>
      </c>
      <c r="J146">
        <f t="shared" si="60"/>
        <v>8.0951741869733986</v>
      </c>
    </row>
    <row r="147" spans="1:13" x14ac:dyDescent="0.2">
      <c r="A147" t="s">
        <v>97</v>
      </c>
      <c r="B147">
        <v>37</v>
      </c>
      <c r="C147" s="41">
        <v>3.5</v>
      </c>
      <c r="D147">
        <v>0</v>
      </c>
      <c r="E147" t="s">
        <v>6</v>
      </c>
      <c r="F147" s="2">
        <f>N7</f>
        <v>8.2841582300292824</v>
      </c>
      <c r="G147" s="8">
        <f t="shared" si="57"/>
        <v>13.59</v>
      </c>
      <c r="H147" s="2">
        <f>N14</f>
        <v>5.5774006338181836</v>
      </c>
      <c r="I147" s="48">
        <v>22.41</v>
      </c>
      <c r="J147">
        <f t="shared" si="60"/>
        <v>6.599201626387873</v>
      </c>
    </row>
    <row r="148" spans="1:13" x14ac:dyDescent="0.2">
      <c r="A148" s="41" t="s">
        <v>98</v>
      </c>
      <c r="B148">
        <v>37</v>
      </c>
      <c r="C148" s="41">
        <v>3.5</v>
      </c>
      <c r="D148">
        <v>0</v>
      </c>
      <c r="E148" t="s">
        <v>6</v>
      </c>
      <c r="F148" s="2">
        <f>N10</f>
        <v>16.42072159253286</v>
      </c>
      <c r="G148" s="8">
        <f t="shared" si="57"/>
        <v>6.66</v>
      </c>
      <c r="H148" s="2">
        <f>N14</f>
        <v>5.5774006338181836</v>
      </c>
      <c r="I148" s="48">
        <v>29.34</v>
      </c>
      <c r="J148">
        <f t="shared" si="60"/>
        <v>7.5834150111803984</v>
      </c>
    </row>
    <row r="149" spans="1:13" x14ac:dyDescent="0.2">
      <c r="A149" t="s">
        <v>96</v>
      </c>
      <c r="B149">
        <v>37</v>
      </c>
      <c r="C149">
        <v>0.5</v>
      </c>
      <c r="D149">
        <v>0</v>
      </c>
      <c r="E149" t="s">
        <v>19</v>
      </c>
      <c r="F149" s="25"/>
      <c r="G149" s="8">
        <f t="shared" ref="G149:G157" si="61">36-I149</f>
        <v>0.45000000000000284</v>
      </c>
      <c r="H149" s="2"/>
      <c r="I149" s="48">
        <v>35.549999999999997</v>
      </c>
      <c r="J149">
        <v>7.97</v>
      </c>
    </row>
    <row r="150" spans="1:13" x14ac:dyDescent="0.2">
      <c r="A150" t="s">
        <v>97</v>
      </c>
      <c r="B150">
        <v>37</v>
      </c>
      <c r="C150">
        <v>0.5</v>
      </c>
      <c r="D150">
        <v>0</v>
      </c>
      <c r="E150" t="s">
        <v>19</v>
      </c>
      <c r="F150" s="2"/>
      <c r="G150" s="8">
        <f t="shared" si="61"/>
        <v>1.9399999999999977</v>
      </c>
      <c r="H150" s="2"/>
      <c r="I150" s="48">
        <v>34.06</v>
      </c>
      <c r="J150">
        <v>7.97</v>
      </c>
    </row>
    <row r="151" spans="1:13" x14ac:dyDescent="0.2">
      <c r="A151" s="41" t="s">
        <v>98</v>
      </c>
      <c r="B151">
        <v>37</v>
      </c>
      <c r="C151">
        <v>0.5</v>
      </c>
      <c r="D151">
        <v>0</v>
      </c>
      <c r="E151" t="s">
        <v>19</v>
      </c>
      <c r="F151" s="2"/>
      <c r="G151" s="8">
        <f t="shared" si="61"/>
        <v>0.95000000000000284</v>
      </c>
      <c r="H151" s="2"/>
      <c r="I151" s="48">
        <v>35.049999999999997</v>
      </c>
      <c r="J151">
        <v>7.97</v>
      </c>
    </row>
    <row r="152" spans="1:13" x14ac:dyDescent="0.2">
      <c r="A152" t="s">
        <v>96</v>
      </c>
      <c r="B152">
        <v>37</v>
      </c>
      <c r="C152">
        <v>2</v>
      </c>
      <c r="D152">
        <v>0</v>
      </c>
      <c r="E152" t="s">
        <v>19</v>
      </c>
      <c r="F152" s="25"/>
      <c r="G152" s="8">
        <f t="shared" si="61"/>
        <v>1.7899999999999991</v>
      </c>
      <c r="H152" s="2"/>
      <c r="I152" s="48">
        <v>34.21</v>
      </c>
      <c r="J152">
        <v>7.97</v>
      </c>
    </row>
    <row r="153" spans="1:13" x14ac:dyDescent="0.2">
      <c r="A153" t="s">
        <v>97</v>
      </c>
      <c r="B153">
        <v>37</v>
      </c>
      <c r="C153">
        <v>2</v>
      </c>
      <c r="D153">
        <v>0</v>
      </c>
      <c r="E153" t="s">
        <v>19</v>
      </c>
      <c r="F153" s="2"/>
      <c r="G153" s="8">
        <f t="shared" si="61"/>
        <v>7.7600000000000016</v>
      </c>
      <c r="H153" s="2"/>
      <c r="I153" s="48">
        <v>28.24</v>
      </c>
      <c r="J153">
        <v>7.97</v>
      </c>
    </row>
    <row r="154" spans="1:13" x14ac:dyDescent="0.2">
      <c r="A154" s="41" t="s">
        <v>98</v>
      </c>
      <c r="B154">
        <v>37</v>
      </c>
      <c r="C154">
        <v>2</v>
      </c>
      <c r="D154">
        <v>0</v>
      </c>
      <c r="E154" t="s">
        <v>19</v>
      </c>
      <c r="F154" s="2"/>
      <c r="G154" s="8">
        <f t="shared" si="61"/>
        <v>3.8100000000000023</v>
      </c>
      <c r="H154" s="2"/>
      <c r="I154" s="48">
        <v>32.19</v>
      </c>
      <c r="J154">
        <v>7.97</v>
      </c>
    </row>
    <row r="155" spans="1:13" x14ac:dyDescent="0.2">
      <c r="A155" t="s">
        <v>96</v>
      </c>
      <c r="B155">
        <v>37</v>
      </c>
      <c r="C155" s="41">
        <v>3.5</v>
      </c>
      <c r="D155">
        <v>0</v>
      </c>
      <c r="E155" t="s">
        <v>19</v>
      </c>
      <c r="F155" s="34"/>
      <c r="G155" s="8">
        <f t="shared" si="61"/>
        <v>3.1300000000000026</v>
      </c>
      <c r="H155" s="2"/>
      <c r="I155" s="48">
        <v>32.869999999999997</v>
      </c>
      <c r="J155">
        <v>7.97</v>
      </c>
    </row>
    <row r="156" spans="1:13" x14ac:dyDescent="0.2">
      <c r="A156" t="s">
        <v>97</v>
      </c>
      <c r="B156">
        <v>37</v>
      </c>
      <c r="C156" s="41">
        <v>3.5</v>
      </c>
      <c r="D156">
        <v>0</v>
      </c>
      <c r="E156" t="s">
        <v>19</v>
      </c>
      <c r="F156" s="2"/>
      <c r="G156" s="8">
        <f t="shared" si="61"/>
        <v>13.59</v>
      </c>
      <c r="H156" s="2"/>
      <c r="I156" s="48">
        <v>22.41</v>
      </c>
      <c r="J156">
        <v>7.97</v>
      </c>
    </row>
    <row r="157" spans="1:13" x14ac:dyDescent="0.2">
      <c r="A157" s="41" t="s">
        <v>98</v>
      </c>
      <c r="B157">
        <v>37</v>
      </c>
      <c r="C157" s="41">
        <v>3.5</v>
      </c>
      <c r="D157">
        <v>0</v>
      </c>
      <c r="E157" t="s">
        <v>19</v>
      </c>
      <c r="F157" s="2"/>
      <c r="G157" s="8">
        <f t="shared" si="61"/>
        <v>6.66</v>
      </c>
      <c r="H157" s="2"/>
      <c r="I157" s="48">
        <v>29.34</v>
      </c>
      <c r="J157">
        <v>7.97</v>
      </c>
    </row>
  </sheetData>
  <mergeCells count="44">
    <mergeCell ref="L60:L62"/>
    <mergeCell ref="L63:L65"/>
    <mergeCell ref="L66:L68"/>
    <mergeCell ref="A60:A62"/>
    <mergeCell ref="A63:A65"/>
    <mergeCell ref="A66:A68"/>
    <mergeCell ref="R14:R16"/>
    <mergeCell ref="S14:S16"/>
    <mergeCell ref="S10:S12"/>
    <mergeCell ref="T4:T6"/>
    <mergeCell ref="T7:T9"/>
    <mergeCell ref="T10:T12"/>
    <mergeCell ref="T14:T16"/>
    <mergeCell ref="R4:R6"/>
    <mergeCell ref="S4:S6"/>
    <mergeCell ref="R7:R9"/>
    <mergeCell ref="S7:S9"/>
    <mergeCell ref="R10:R12"/>
    <mergeCell ref="Q4:Q6"/>
    <mergeCell ref="Q7:Q9"/>
    <mergeCell ref="Q10:Q12"/>
    <mergeCell ref="F14:F16"/>
    <mergeCell ref="J14:J16"/>
    <mergeCell ref="N14:N16"/>
    <mergeCell ref="O14:O16"/>
    <mergeCell ref="Q14:Q16"/>
    <mergeCell ref="P10:P12"/>
    <mergeCell ref="P14:P16"/>
    <mergeCell ref="P4:P6"/>
    <mergeCell ref="F7:F9"/>
    <mergeCell ref="J7:J9"/>
    <mergeCell ref="N7:N9"/>
    <mergeCell ref="O7:O9"/>
    <mergeCell ref="P7:P9"/>
    <mergeCell ref="F10:F12"/>
    <mergeCell ref="J10:J12"/>
    <mergeCell ref="N10:N12"/>
    <mergeCell ref="O10:O12"/>
    <mergeCell ref="A1:O1"/>
    <mergeCell ref="A2:O2"/>
    <mergeCell ref="F4:F6"/>
    <mergeCell ref="J4:J6"/>
    <mergeCell ref="N4:N6"/>
    <mergeCell ref="O4:O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5046-4307-2047-916B-E6081D2FB787}">
  <dimension ref="A1:J85"/>
  <sheetViews>
    <sheetView tabSelected="1" topLeftCell="A62" workbookViewId="0">
      <selection activeCell="E77" sqref="E77:E85"/>
    </sheetView>
  </sheetViews>
  <sheetFormatPr baseColWidth="10" defaultRowHeight="16" x14ac:dyDescent="0.2"/>
  <sheetData>
    <row r="1" spans="1:10" x14ac:dyDescent="0.2">
      <c r="A1" s="41" t="s">
        <v>103</v>
      </c>
    </row>
    <row r="2" spans="1:10" x14ac:dyDescent="0.2">
      <c r="A2" s="41" t="s">
        <v>104</v>
      </c>
    </row>
    <row r="3" spans="1:10" x14ac:dyDescent="0.2">
      <c r="A3" s="41" t="s">
        <v>105</v>
      </c>
    </row>
    <row r="4" spans="1:10" x14ac:dyDescent="0.2">
      <c r="A4" t="s">
        <v>88</v>
      </c>
      <c r="B4" t="s">
        <v>89</v>
      </c>
      <c r="C4" t="s">
        <v>90</v>
      </c>
      <c r="D4" t="s">
        <v>91</v>
      </c>
      <c r="E4" t="s">
        <v>99</v>
      </c>
      <c r="F4" t="s">
        <v>106</v>
      </c>
      <c r="G4" t="s">
        <v>107</v>
      </c>
      <c r="H4" t="s">
        <v>108</v>
      </c>
      <c r="I4" t="s">
        <v>109</v>
      </c>
      <c r="J4" t="s">
        <v>100</v>
      </c>
    </row>
    <row r="5" spans="1:10" x14ac:dyDescent="0.2">
      <c r="A5" t="s">
        <v>96</v>
      </c>
      <c r="B5">
        <v>37</v>
      </c>
      <c r="C5">
        <v>0.5</v>
      </c>
      <c r="D5">
        <v>0</v>
      </c>
      <c r="E5" t="s">
        <v>7</v>
      </c>
      <c r="F5" s="25">
        <v>28.137218230691261</v>
      </c>
      <c r="G5" s="8">
        <v>0.45000000000000284</v>
      </c>
      <c r="H5">
        <v>3.2026788019052521</v>
      </c>
      <c r="I5" s="48">
        <v>35.549999999999997</v>
      </c>
      <c r="J5">
        <v>3.5143605447650792</v>
      </c>
    </row>
    <row r="6" spans="1:10" x14ac:dyDescent="0.2">
      <c r="A6" t="s">
        <v>97</v>
      </c>
      <c r="B6">
        <v>37</v>
      </c>
      <c r="C6">
        <v>0.5</v>
      </c>
      <c r="D6">
        <v>0</v>
      </c>
      <c r="E6" t="s">
        <v>7</v>
      </c>
      <c r="F6" s="2">
        <v>6.4907799015741752</v>
      </c>
      <c r="G6" s="8">
        <v>1.9399999999999977</v>
      </c>
      <c r="H6">
        <v>3.2026788019052521</v>
      </c>
      <c r="I6" s="48">
        <v>34.06</v>
      </c>
      <c r="J6">
        <v>3.3798709167207441</v>
      </c>
    </row>
    <row r="7" spans="1:10" x14ac:dyDescent="0.2">
      <c r="A7" s="41" t="s">
        <v>98</v>
      </c>
      <c r="B7">
        <v>37</v>
      </c>
      <c r="C7">
        <v>0.5</v>
      </c>
      <c r="D7">
        <v>0</v>
      </c>
      <c r="E7" t="s">
        <v>7</v>
      </c>
      <c r="F7" s="2">
        <v>13.243496875457138</v>
      </c>
      <c r="G7" s="8">
        <v>0.95000000000000284</v>
      </c>
      <c r="H7">
        <v>3.2026788019052521</v>
      </c>
      <c r="I7" s="48">
        <v>35.049999999999997</v>
      </c>
      <c r="J7">
        <v>3.4676448344017614</v>
      </c>
    </row>
    <row r="8" spans="1:10" x14ac:dyDescent="0.2">
      <c r="A8" t="s">
        <v>96</v>
      </c>
      <c r="B8">
        <v>37</v>
      </c>
      <c r="C8">
        <v>2</v>
      </c>
      <c r="D8">
        <v>0</v>
      </c>
      <c r="E8" t="s">
        <v>7</v>
      </c>
      <c r="F8" s="25">
        <v>28.137218230691261</v>
      </c>
      <c r="G8" s="8">
        <v>1.7899999999999991</v>
      </c>
      <c r="H8">
        <v>3.2026788019052521</v>
      </c>
      <c r="I8" s="48">
        <v>34.21</v>
      </c>
      <c r="J8">
        <v>4.4424795123921115</v>
      </c>
    </row>
    <row r="9" spans="1:10" x14ac:dyDescent="0.2">
      <c r="A9" t="s">
        <v>97</v>
      </c>
      <c r="B9">
        <v>37</v>
      </c>
      <c r="C9">
        <v>2</v>
      </c>
      <c r="D9">
        <v>0</v>
      </c>
      <c r="E9" t="s">
        <v>7</v>
      </c>
      <c r="F9" s="2">
        <v>6.4907799015741752</v>
      </c>
      <c r="G9" s="8">
        <v>7.7600000000000016</v>
      </c>
      <c r="H9">
        <v>3.2026788019052521</v>
      </c>
      <c r="I9" s="48">
        <v>28.24</v>
      </c>
      <c r="J9">
        <v>3.9114472611672202</v>
      </c>
    </row>
    <row r="10" spans="1:10" x14ac:dyDescent="0.2">
      <c r="A10" s="41" t="s">
        <v>98</v>
      </c>
      <c r="B10">
        <v>37</v>
      </c>
      <c r="C10">
        <v>2</v>
      </c>
      <c r="D10">
        <v>0</v>
      </c>
      <c r="E10" t="s">
        <v>7</v>
      </c>
      <c r="F10" s="2">
        <v>13.243496875457138</v>
      </c>
      <c r="G10" s="8">
        <v>3.8100000000000023</v>
      </c>
      <c r="H10">
        <v>3.2026788019052521</v>
      </c>
      <c r="I10" s="48">
        <v>32.19</v>
      </c>
      <c r="J10">
        <v>4.2653320480228274</v>
      </c>
    </row>
    <row r="11" spans="1:10" x14ac:dyDescent="0.2">
      <c r="A11" t="s">
        <v>96</v>
      </c>
      <c r="B11">
        <v>37</v>
      </c>
      <c r="C11" s="41">
        <v>3.5</v>
      </c>
      <c r="D11">
        <v>0</v>
      </c>
      <c r="E11" t="s">
        <v>7</v>
      </c>
      <c r="F11" s="34">
        <v>28.137218230691261</v>
      </c>
      <c r="G11" s="8">
        <v>3.1300000000000026</v>
      </c>
      <c r="H11">
        <v>3.2026788019052521</v>
      </c>
      <c r="I11" s="48">
        <v>32.869999999999997</v>
      </c>
      <c r="J11">
        <v>5.3705984800191482</v>
      </c>
    </row>
    <row r="12" spans="1:10" x14ac:dyDescent="0.2">
      <c r="A12" t="s">
        <v>97</v>
      </c>
      <c r="B12">
        <v>37</v>
      </c>
      <c r="C12" s="41">
        <v>3.5</v>
      </c>
      <c r="D12">
        <v>0</v>
      </c>
      <c r="E12" t="s">
        <v>7</v>
      </c>
      <c r="F12" s="2">
        <v>6.4907799015741752</v>
      </c>
      <c r="G12" s="8">
        <v>13.59</v>
      </c>
      <c r="H12">
        <v>3.2026788019052521</v>
      </c>
      <c r="I12" s="48">
        <v>22.41</v>
      </c>
      <c r="J12">
        <v>4.4439369670302709</v>
      </c>
    </row>
    <row r="13" spans="1:10" x14ac:dyDescent="0.2">
      <c r="A13" s="41" t="s">
        <v>98</v>
      </c>
      <c r="B13">
        <v>37</v>
      </c>
      <c r="C13" s="41">
        <v>3.5</v>
      </c>
      <c r="D13">
        <v>0</v>
      </c>
      <c r="E13" t="s">
        <v>7</v>
      </c>
      <c r="F13" s="2">
        <v>13.243496875457138</v>
      </c>
      <c r="G13" s="8">
        <v>6.66</v>
      </c>
      <c r="H13">
        <v>3.2026788019052521</v>
      </c>
      <c r="I13" s="48">
        <v>29.34</v>
      </c>
      <c r="J13">
        <v>5.0602301455123513</v>
      </c>
    </row>
    <row r="14" spans="1:10" x14ac:dyDescent="0.2">
      <c r="A14" t="s">
        <v>96</v>
      </c>
      <c r="B14">
        <v>37</v>
      </c>
      <c r="C14">
        <v>0.5</v>
      </c>
      <c r="D14">
        <v>0</v>
      </c>
      <c r="E14" t="s">
        <v>93</v>
      </c>
      <c r="F14" s="25">
        <v>144511.88222923235</v>
      </c>
      <c r="G14" s="8">
        <v>0.45000000000000284</v>
      </c>
      <c r="H14">
        <v>11391.244484376559</v>
      </c>
      <c r="I14" s="48">
        <v>35.549999999999997</v>
      </c>
      <c r="J14">
        <v>13055.252456187267</v>
      </c>
    </row>
    <row r="15" spans="1:10" x14ac:dyDescent="0.2">
      <c r="A15" t="s">
        <v>97</v>
      </c>
      <c r="B15">
        <v>37</v>
      </c>
      <c r="C15">
        <v>0.5</v>
      </c>
      <c r="D15">
        <v>0</v>
      </c>
      <c r="E15" t="s">
        <v>93</v>
      </c>
      <c r="F15" s="2">
        <v>28465.289008685235</v>
      </c>
      <c r="G15" s="8">
        <v>1.9399999999999977</v>
      </c>
      <c r="H15">
        <v>11391.244484376559</v>
      </c>
      <c r="I15" s="48">
        <v>34.06</v>
      </c>
      <c r="J15">
        <v>12311.34577263097</v>
      </c>
    </row>
    <row r="16" spans="1:10" x14ac:dyDescent="0.2">
      <c r="A16" s="41" t="s">
        <v>98</v>
      </c>
      <c r="B16">
        <v>37</v>
      </c>
      <c r="C16">
        <v>0.5</v>
      </c>
      <c r="D16">
        <v>0</v>
      </c>
      <c r="E16" t="s">
        <v>93</v>
      </c>
      <c r="F16" s="2">
        <v>19606.474436179004</v>
      </c>
      <c r="G16" s="8">
        <v>0.95000000000000284</v>
      </c>
      <c r="H16">
        <v>11391.244484376559</v>
      </c>
      <c r="I16" s="48">
        <v>35.049999999999997</v>
      </c>
      <c r="J16">
        <v>11608.035274771346</v>
      </c>
    </row>
    <row r="17" spans="1:10" x14ac:dyDescent="0.2">
      <c r="A17" t="s">
        <v>96</v>
      </c>
      <c r="B17">
        <v>37</v>
      </c>
      <c r="C17">
        <v>2</v>
      </c>
      <c r="D17">
        <v>0</v>
      </c>
      <c r="E17" t="s">
        <v>93</v>
      </c>
      <c r="F17" s="25">
        <v>144511.88222923235</v>
      </c>
      <c r="G17" s="8">
        <v>1.7899999999999991</v>
      </c>
      <c r="H17">
        <v>11391.244484376559</v>
      </c>
      <c r="I17" s="48">
        <v>34.21</v>
      </c>
      <c r="J17">
        <v>18010.298416690217</v>
      </c>
    </row>
    <row r="18" spans="1:10" x14ac:dyDescent="0.2">
      <c r="A18" t="s">
        <v>97</v>
      </c>
      <c r="B18">
        <v>37</v>
      </c>
      <c r="C18">
        <v>2</v>
      </c>
      <c r="D18">
        <v>0</v>
      </c>
      <c r="E18" t="s">
        <v>93</v>
      </c>
      <c r="F18" s="2">
        <v>28465.289008685235</v>
      </c>
      <c r="G18" s="8">
        <v>7.7600000000000016</v>
      </c>
      <c r="H18">
        <v>11391.244484376559</v>
      </c>
      <c r="I18" s="48">
        <v>28.24</v>
      </c>
      <c r="J18">
        <v>15071.64963739421</v>
      </c>
    </row>
    <row r="19" spans="1:10" x14ac:dyDescent="0.2">
      <c r="A19" s="41" t="s">
        <v>98</v>
      </c>
      <c r="B19">
        <v>37</v>
      </c>
      <c r="C19">
        <v>2</v>
      </c>
      <c r="D19">
        <v>0</v>
      </c>
      <c r="E19" t="s">
        <v>93</v>
      </c>
      <c r="F19" s="2">
        <v>19606.474436179004</v>
      </c>
      <c r="G19" s="8">
        <v>3.8100000000000023</v>
      </c>
      <c r="H19">
        <v>11391.244484376559</v>
      </c>
      <c r="I19" s="48">
        <v>32.19</v>
      </c>
      <c r="J19">
        <v>12260.689654275651</v>
      </c>
    </row>
    <row r="20" spans="1:10" x14ac:dyDescent="0.2">
      <c r="A20" t="s">
        <v>96</v>
      </c>
      <c r="B20">
        <v>37</v>
      </c>
      <c r="C20" s="41">
        <v>3.5</v>
      </c>
      <c r="D20">
        <v>0</v>
      </c>
      <c r="E20" t="s">
        <v>93</v>
      </c>
      <c r="F20" s="34">
        <v>144511.88222923235</v>
      </c>
      <c r="G20" s="8">
        <v>3.1300000000000026</v>
      </c>
      <c r="H20">
        <v>11391.244484376559</v>
      </c>
      <c r="I20" s="48">
        <v>32.869999999999997</v>
      </c>
      <c r="J20">
        <v>22965.3443771932</v>
      </c>
    </row>
    <row r="21" spans="1:10" x14ac:dyDescent="0.2">
      <c r="A21" t="s">
        <v>97</v>
      </c>
      <c r="B21">
        <v>37</v>
      </c>
      <c r="C21" s="41">
        <v>3.5</v>
      </c>
      <c r="D21">
        <v>0</v>
      </c>
      <c r="E21" t="s">
        <v>93</v>
      </c>
      <c r="F21" s="2">
        <v>28465.289008685235</v>
      </c>
      <c r="G21" s="8">
        <v>13.59</v>
      </c>
      <c r="H21">
        <v>11391.244484376559</v>
      </c>
      <c r="I21" s="48">
        <v>22.41</v>
      </c>
      <c r="J21">
        <v>17836.696292303081</v>
      </c>
    </row>
    <row r="22" spans="1:10" x14ac:dyDescent="0.2">
      <c r="A22" s="41" t="s">
        <v>98</v>
      </c>
      <c r="B22">
        <v>37</v>
      </c>
      <c r="C22" s="41">
        <v>3.5</v>
      </c>
      <c r="D22">
        <v>0</v>
      </c>
      <c r="E22" t="s">
        <v>93</v>
      </c>
      <c r="F22" s="2">
        <v>19606.474436179004</v>
      </c>
      <c r="G22" s="8">
        <v>6.66</v>
      </c>
      <c r="H22">
        <v>11391.244484376559</v>
      </c>
      <c r="I22" s="48">
        <v>29.34</v>
      </c>
      <c r="J22">
        <v>12911.062025460013</v>
      </c>
    </row>
    <row r="23" spans="1:10" x14ac:dyDescent="0.2">
      <c r="A23" t="s">
        <v>96</v>
      </c>
      <c r="B23">
        <v>37</v>
      </c>
      <c r="C23">
        <v>0.5</v>
      </c>
      <c r="D23">
        <v>0</v>
      </c>
      <c r="E23" t="s">
        <v>94</v>
      </c>
      <c r="F23" s="14">
        <v>3270000.0000000005</v>
      </c>
      <c r="G23" s="8">
        <v>0.45000000000000284</v>
      </c>
      <c r="H23" s="14">
        <v>0</v>
      </c>
      <c r="I23" s="48">
        <v>35.549999999999997</v>
      </c>
      <c r="J23">
        <v>40875.000000000262</v>
      </c>
    </row>
    <row r="24" spans="1:10" x14ac:dyDescent="0.2">
      <c r="A24" t="s">
        <v>97</v>
      </c>
      <c r="B24">
        <v>37</v>
      </c>
      <c r="C24">
        <v>0.5</v>
      </c>
      <c r="D24">
        <v>0</v>
      </c>
      <c r="E24" t="s">
        <v>94</v>
      </c>
      <c r="F24" s="14">
        <v>4786000</v>
      </c>
      <c r="G24" s="8">
        <v>1.9399999999999977</v>
      </c>
      <c r="H24" s="14">
        <v>0</v>
      </c>
      <c r="I24" s="48">
        <v>34.06</v>
      </c>
      <c r="J24">
        <v>257912.2222222219</v>
      </c>
    </row>
    <row r="25" spans="1:10" x14ac:dyDescent="0.2">
      <c r="A25" s="41" t="s">
        <v>98</v>
      </c>
      <c r="B25">
        <v>37</v>
      </c>
      <c r="C25">
        <v>0.5</v>
      </c>
      <c r="D25">
        <v>0</v>
      </c>
      <c r="E25" t="s">
        <v>94</v>
      </c>
      <c r="F25" s="14">
        <v>7670000</v>
      </c>
      <c r="G25" s="8">
        <v>0.95000000000000284</v>
      </c>
      <c r="H25" s="14">
        <v>0</v>
      </c>
      <c r="I25" s="48">
        <v>35.049999999999997</v>
      </c>
      <c r="J25">
        <v>202402.77777777836</v>
      </c>
    </row>
    <row r="26" spans="1:10" x14ac:dyDescent="0.2">
      <c r="A26" t="s">
        <v>96</v>
      </c>
      <c r="B26">
        <v>37</v>
      </c>
      <c r="C26">
        <v>2</v>
      </c>
      <c r="D26">
        <v>0</v>
      </c>
      <c r="E26" t="s">
        <v>94</v>
      </c>
      <c r="F26" s="14">
        <v>3270000.0000000005</v>
      </c>
      <c r="G26" s="8">
        <v>1.7899999999999991</v>
      </c>
      <c r="H26" s="14">
        <v>0</v>
      </c>
      <c r="I26" s="48">
        <v>34.21</v>
      </c>
      <c r="J26">
        <v>162591.66666666663</v>
      </c>
    </row>
    <row r="27" spans="1:10" x14ac:dyDescent="0.2">
      <c r="A27" t="s">
        <v>97</v>
      </c>
      <c r="B27">
        <v>37</v>
      </c>
      <c r="C27">
        <v>2</v>
      </c>
      <c r="D27">
        <v>0</v>
      </c>
      <c r="E27" t="s">
        <v>94</v>
      </c>
      <c r="F27" s="14">
        <v>4786000</v>
      </c>
      <c r="G27" s="8">
        <v>7.7600000000000016</v>
      </c>
      <c r="H27" s="14">
        <v>0</v>
      </c>
      <c r="I27" s="48">
        <v>28.24</v>
      </c>
      <c r="J27">
        <v>1031648.8888888891</v>
      </c>
    </row>
    <row r="28" spans="1:10" x14ac:dyDescent="0.2">
      <c r="A28" s="41" t="s">
        <v>98</v>
      </c>
      <c r="B28">
        <v>37</v>
      </c>
      <c r="C28">
        <v>2</v>
      </c>
      <c r="D28">
        <v>0</v>
      </c>
      <c r="E28" t="s">
        <v>94</v>
      </c>
      <c r="F28" s="14">
        <v>7670000</v>
      </c>
      <c r="G28" s="8">
        <v>3.8100000000000023</v>
      </c>
      <c r="H28" s="14">
        <v>0</v>
      </c>
      <c r="I28" s="48">
        <v>32.19</v>
      </c>
      <c r="J28">
        <v>811741.66666666721</v>
      </c>
    </row>
    <row r="29" spans="1:10" x14ac:dyDescent="0.2">
      <c r="A29" t="s">
        <v>96</v>
      </c>
      <c r="B29">
        <v>37</v>
      </c>
      <c r="C29" s="41">
        <v>3.5</v>
      </c>
      <c r="D29">
        <v>0</v>
      </c>
      <c r="E29" t="s">
        <v>94</v>
      </c>
      <c r="F29" s="14">
        <v>3270000.0000000005</v>
      </c>
      <c r="G29" s="8">
        <v>3.1300000000000026</v>
      </c>
      <c r="H29" s="14">
        <v>0</v>
      </c>
      <c r="I29" s="48">
        <v>32.869999999999997</v>
      </c>
      <c r="J29">
        <v>284308.3333333336</v>
      </c>
    </row>
    <row r="30" spans="1:10" x14ac:dyDescent="0.2">
      <c r="A30" t="s">
        <v>97</v>
      </c>
      <c r="B30">
        <v>37</v>
      </c>
      <c r="C30" s="41">
        <v>3.5</v>
      </c>
      <c r="D30">
        <v>0</v>
      </c>
      <c r="E30" t="s">
        <v>94</v>
      </c>
      <c r="F30" s="14">
        <v>4786000</v>
      </c>
      <c r="G30" s="8">
        <v>13.59</v>
      </c>
      <c r="H30" s="14">
        <v>0</v>
      </c>
      <c r="I30" s="48">
        <v>22.41</v>
      </c>
      <c r="J30">
        <v>1806715</v>
      </c>
    </row>
    <row r="31" spans="1:10" x14ac:dyDescent="0.2">
      <c r="A31" s="41" t="s">
        <v>98</v>
      </c>
      <c r="B31">
        <v>37</v>
      </c>
      <c r="C31" s="41">
        <v>3.5</v>
      </c>
      <c r="D31">
        <v>0</v>
      </c>
      <c r="E31" t="s">
        <v>94</v>
      </c>
      <c r="F31" s="14">
        <v>7670000</v>
      </c>
      <c r="G31" s="8">
        <v>6.66</v>
      </c>
      <c r="H31" s="14">
        <v>0</v>
      </c>
      <c r="I31" s="48">
        <v>29.34</v>
      </c>
      <c r="J31">
        <v>1418950</v>
      </c>
    </row>
    <row r="32" spans="1:10" x14ac:dyDescent="0.2">
      <c r="A32" t="s">
        <v>96</v>
      </c>
      <c r="B32">
        <v>37</v>
      </c>
      <c r="C32">
        <v>0.5</v>
      </c>
      <c r="D32">
        <v>0</v>
      </c>
      <c r="E32" t="s">
        <v>15</v>
      </c>
      <c r="F32" s="14">
        <v>3990000</v>
      </c>
      <c r="G32" s="8">
        <v>0.45000000000000284</v>
      </c>
      <c r="H32" s="14">
        <v>300</v>
      </c>
      <c r="I32" s="48">
        <v>35.549999999999997</v>
      </c>
      <c r="J32">
        <v>50171.25000000032</v>
      </c>
    </row>
    <row r="33" spans="1:10" x14ac:dyDescent="0.2">
      <c r="A33" t="s">
        <v>97</v>
      </c>
      <c r="B33">
        <v>37</v>
      </c>
      <c r="C33">
        <v>0.5</v>
      </c>
      <c r="D33">
        <v>0</v>
      </c>
      <c r="E33" t="s">
        <v>15</v>
      </c>
      <c r="F33" s="14">
        <v>8704000</v>
      </c>
      <c r="G33" s="8">
        <v>1.9399999999999977</v>
      </c>
      <c r="H33" s="14">
        <v>300</v>
      </c>
      <c r="I33" s="48">
        <v>34.06</v>
      </c>
      <c r="J33">
        <v>469332.72222222172</v>
      </c>
    </row>
    <row r="34" spans="1:10" x14ac:dyDescent="0.2">
      <c r="A34" s="41" t="s">
        <v>98</v>
      </c>
      <c r="B34">
        <v>37</v>
      </c>
      <c r="C34">
        <v>0.5</v>
      </c>
      <c r="D34">
        <v>0</v>
      </c>
      <c r="E34" t="s">
        <v>15</v>
      </c>
      <c r="F34" s="14">
        <v>9080000</v>
      </c>
      <c r="G34" s="8">
        <v>0.95000000000000284</v>
      </c>
      <c r="H34" s="14">
        <v>300</v>
      </c>
      <c r="I34" s="48">
        <v>35.049999999999997</v>
      </c>
      <c r="J34">
        <v>239903.19444444517</v>
      </c>
    </row>
    <row r="35" spans="1:10" x14ac:dyDescent="0.2">
      <c r="A35" t="s">
        <v>96</v>
      </c>
      <c r="B35">
        <v>37</v>
      </c>
      <c r="C35">
        <v>2</v>
      </c>
      <c r="D35">
        <v>0</v>
      </c>
      <c r="E35" t="s">
        <v>15</v>
      </c>
      <c r="F35" s="14">
        <v>3990000</v>
      </c>
      <c r="G35" s="8">
        <v>1.7899999999999991</v>
      </c>
      <c r="H35" s="14">
        <v>300</v>
      </c>
      <c r="I35" s="48">
        <v>34.21</v>
      </c>
      <c r="J35">
        <v>198676.74999999988</v>
      </c>
    </row>
    <row r="36" spans="1:10" x14ac:dyDescent="0.2">
      <c r="A36" t="s">
        <v>97</v>
      </c>
      <c r="B36">
        <v>37</v>
      </c>
      <c r="C36">
        <v>2</v>
      </c>
      <c r="D36">
        <v>0</v>
      </c>
      <c r="E36" t="s">
        <v>15</v>
      </c>
      <c r="F36" s="14">
        <v>8704000</v>
      </c>
      <c r="G36" s="8">
        <v>7.7600000000000016</v>
      </c>
      <c r="H36" s="14">
        <v>300</v>
      </c>
      <c r="I36" s="48">
        <v>28.24</v>
      </c>
      <c r="J36">
        <v>1876430.8888888892</v>
      </c>
    </row>
    <row r="37" spans="1:10" x14ac:dyDescent="0.2">
      <c r="A37" s="41" t="s">
        <v>98</v>
      </c>
      <c r="B37">
        <v>37</v>
      </c>
      <c r="C37">
        <v>2</v>
      </c>
      <c r="D37">
        <v>0</v>
      </c>
      <c r="E37" t="s">
        <v>15</v>
      </c>
      <c r="F37" s="14">
        <v>9080000</v>
      </c>
      <c r="G37" s="8">
        <v>3.8100000000000023</v>
      </c>
      <c r="H37" s="14">
        <v>300</v>
      </c>
      <c r="I37" s="48">
        <v>32.19</v>
      </c>
      <c r="J37">
        <v>961234.91666666733</v>
      </c>
    </row>
    <row r="38" spans="1:10" x14ac:dyDescent="0.2">
      <c r="A38" t="s">
        <v>96</v>
      </c>
      <c r="B38">
        <v>37</v>
      </c>
      <c r="C38" s="41">
        <v>3.5</v>
      </c>
      <c r="D38">
        <v>0</v>
      </c>
      <c r="E38" t="s">
        <v>15</v>
      </c>
      <c r="F38" s="14">
        <v>3990000</v>
      </c>
      <c r="G38" s="8">
        <v>3.1300000000000026</v>
      </c>
      <c r="H38" s="14">
        <v>300</v>
      </c>
      <c r="I38" s="48">
        <v>32.869999999999997</v>
      </c>
      <c r="J38">
        <v>347182.25000000023</v>
      </c>
    </row>
    <row r="39" spans="1:10" x14ac:dyDescent="0.2">
      <c r="A39" t="s">
        <v>97</v>
      </c>
      <c r="B39">
        <v>37</v>
      </c>
      <c r="C39" s="41">
        <v>3.5</v>
      </c>
      <c r="D39">
        <v>0</v>
      </c>
      <c r="E39" t="s">
        <v>15</v>
      </c>
      <c r="F39" s="14">
        <v>8704000</v>
      </c>
      <c r="G39" s="8">
        <v>13.59</v>
      </c>
      <c r="H39" s="14">
        <v>300</v>
      </c>
      <c r="I39" s="48">
        <v>22.41</v>
      </c>
      <c r="J39">
        <v>3285946.75</v>
      </c>
    </row>
    <row r="40" spans="1:10" x14ac:dyDescent="0.2">
      <c r="A40" s="41" t="s">
        <v>98</v>
      </c>
      <c r="B40">
        <v>37</v>
      </c>
      <c r="C40" s="41">
        <v>3.5</v>
      </c>
      <c r="D40">
        <v>0</v>
      </c>
      <c r="E40" t="s">
        <v>15</v>
      </c>
      <c r="F40" s="14">
        <v>9080000</v>
      </c>
      <c r="G40" s="8">
        <v>6.66</v>
      </c>
      <c r="H40" s="14">
        <v>300</v>
      </c>
      <c r="I40" s="48">
        <v>29.34</v>
      </c>
      <c r="J40">
        <v>1680044.5</v>
      </c>
    </row>
    <row r="41" spans="1:10" x14ac:dyDescent="0.2">
      <c r="A41" t="s">
        <v>96</v>
      </c>
      <c r="B41">
        <v>37</v>
      </c>
      <c r="C41">
        <v>0.5</v>
      </c>
      <c r="D41">
        <v>0</v>
      </c>
      <c r="E41" t="s">
        <v>95</v>
      </c>
      <c r="F41" s="14">
        <v>93300</v>
      </c>
      <c r="G41" s="8">
        <v>0.45000000000000284</v>
      </c>
      <c r="H41" s="14">
        <v>101000</v>
      </c>
      <c r="I41" s="48">
        <v>35.549999999999997</v>
      </c>
      <c r="J41">
        <v>100903.75</v>
      </c>
    </row>
    <row r="42" spans="1:10" x14ac:dyDescent="0.2">
      <c r="A42" t="s">
        <v>97</v>
      </c>
      <c r="B42">
        <v>37</v>
      </c>
      <c r="C42">
        <v>0.5</v>
      </c>
      <c r="D42">
        <v>0</v>
      </c>
      <c r="E42" t="s">
        <v>95</v>
      </c>
      <c r="F42" s="14">
        <v>488400</v>
      </c>
      <c r="G42" s="8">
        <v>1.9399999999999977</v>
      </c>
      <c r="H42" s="14">
        <v>101000</v>
      </c>
      <c r="I42" s="48">
        <v>34.06</v>
      </c>
      <c r="J42">
        <v>121876.55555555553</v>
      </c>
    </row>
    <row r="43" spans="1:10" x14ac:dyDescent="0.2">
      <c r="A43" s="41" t="s">
        <v>98</v>
      </c>
      <c r="B43">
        <v>37</v>
      </c>
      <c r="C43">
        <v>0.5</v>
      </c>
      <c r="D43">
        <v>0</v>
      </c>
      <c r="E43" t="s">
        <v>95</v>
      </c>
      <c r="F43" s="14">
        <v>1986300</v>
      </c>
      <c r="G43" s="8">
        <v>0.95000000000000284</v>
      </c>
      <c r="H43" s="14">
        <v>101000</v>
      </c>
      <c r="I43" s="48">
        <v>35.049999999999997</v>
      </c>
      <c r="J43">
        <v>150750.97222222236</v>
      </c>
    </row>
    <row r="44" spans="1:10" x14ac:dyDescent="0.2">
      <c r="A44" t="s">
        <v>96</v>
      </c>
      <c r="B44">
        <v>37</v>
      </c>
      <c r="C44">
        <v>2</v>
      </c>
      <c r="D44">
        <v>0</v>
      </c>
      <c r="E44" t="s">
        <v>95</v>
      </c>
      <c r="F44" s="14">
        <v>93300</v>
      </c>
      <c r="G44" s="8">
        <v>1.7899999999999991</v>
      </c>
      <c r="H44" s="14">
        <v>101000</v>
      </c>
      <c r="I44" s="48">
        <v>34.21</v>
      </c>
      <c r="J44">
        <v>100617.13888888889</v>
      </c>
    </row>
    <row r="45" spans="1:10" x14ac:dyDescent="0.2">
      <c r="A45" t="s">
        <v>97</v>
      </c>
      <c r="B45">
        <v>37</v>
      </c>
      <c r="C45">
        <v>2</v>
      </c>
      <c r="D45">
        <v>0</v>
      </c>
      <c r="E45" t="s">
        <v>95</v>
      </c>
      <c r="F45" s="14">
        <v>488400</v>
      </c>
      <c r="G45" s="8">
        <v>7.7600000000000016</v>
      </c>
      <c r="H45" s="14">
        <v>101000</v>
      </c>
      <c r="I45" s="48">
        <v>28.24</v>
      </c>
      <c r="J45">
        <v>184506.22222222225</v>
      </c>
    </row>
    <row r="46" spans="1:10" x14ac:dyDescent="0.2">
      <c r="A46" s="41" t="s">
        <v>98</v>
      </c>
      <c r="B46">
        <v>37</v>
      </c>
      <c r="C46">
        <v>2</v>
      </c>
      <c r="D46">
        <v>0</v>
      </c>
      <c r="E46" t="s">
        <v>95</v>
      </c>
      <c r="F46" s="14">
        <v>1986300</v>
      </c>
      <c r="G46" s="8">
        <v>3.8100000000000023</v>
      </c>
      <c r="H46" s="14">
        <v>101000</v>
      </c>
      <c r="I46" s="48">
        <v>32.19</v>
      </c>
      <c r="J46">
        <v>300527.58333333343</v>
      </c>
    </row>
    <row r="47" spans="1:10" x14ac:dyDescent="0.2">
      <c r="A47" t="s">
        <v>96</v>
      </c>
      <c r="B47">
        <v>37</v>
      </c>
      <c r="C47" s="41">
        <v>3.5</v>
      </c>
      <c r="D47">
        <v>0</v>
      </c>
      <c r="E47" t="s">
        <v>95</v>
      </c>
      <c r="F47" s="14">
        <v>93300</v>
      </c>
      <c r="G47" s="8">
        <v>3.1300000000000026</v>
      </c>
      <c r="H47" s="14">
        <v>101000</v>
      </c>
      <c r="I47" s="48">
        <v>32.869999999999997</v>
      </c>
      <c r="J47">
        <v>100330.52777777778</v>
      </c>
    </row>
    <row r="48" spans="1:10" x14ac:dyDescent="0.2">
      <c r="A48" t="s">
        <v>97</v>
      </c>
      <c r="B48">
        <v>37</v>
      </c>
      <c r="C48" s="41">
        <v>3.5</v>
      </c>
      <c r="D48">
        <v>0</v>
      </c>
      <c r="E48" t="s">
        <v>95</v>
      </c>
      <c r="F48" s="14">
        <v>488400</v>
      </c>
      <c r="G48" s="8">
        <v>13.59</v>
      </c>
      <c r="H48" s="14">
        <v>101000</v>
      </c>
      <c r="I48" s="48">
        <v>22.41</v>
      </c>
      <c r="J48">
        <v>247243.5</v>
      </c>
    </row>
    <row r="49" spans="1:10" x14ac:dyDescent="0.2">
      <c r="A49" s="41" t="s">
        <v>98</v>
      </c>
      <c r="B49">
        <v>37</v>
      </c>
      <c r="C49" s="41">
        <v>3.5</v>
      </c>
      <c r="D49">
        <v>0</v>
      </c>
      <c r="E49" t="s">
        <v>95</v>
      </c>
      <c r="F49" s="14">
        <v>1986300</v>
      </c>
      <c r="G49" s="8">
        <v>6.66</v>
      </c>
      <c r="H49" s="14">
        <v>101000</v>
      </c>
      <c r="I49" s="48">
        <v>29.34</v>
      </c>
      <c r="J49">
        <v>449780.5</v>
      </c>
    </row>
    <row r="50" spans="1:10" x14ac:dyDescent="0.2">
      <c r="A50" t="s">
        <v>96</v>
      </c>
      <c r="B50">
        <v>37</v>
      </c>
      <c r="C50">
        <v>0.5</v>
      </c>
      <c r="D50">
        <v>0</v>
      </c>
      <c r="E50" t="s">
        <v>92</v>
      </c>
      <c r="F50">
        <v>370</v>
      </c>
      <c r="G50" s="8">
        <v>0.45000000000000284</v>
      </c>
      <c r="H50" s="14">
        <v>2000</v>
      </c>
      <c r="I50" s="48">
        <v>35.549999999999997</v>
      </c>
      <c r="J50">
        <v>1979.625</v>
      </c>
    </row>
    <row r="51" spans="1:10" x14ac:dyDescent="0.2">
      <c r="A51" t="s">
        <v>97</v>
      </c>
      <c r="B51">
        <v>37</v>
      </c>
      <c r="C51">
        <v>0.5</v>
      </c>
      <c r="D51">
        <v>0</v>
      </c>
      <c r="E51" t="s">
        <v>92</v>
      </c>
      <c r="F51">
        <v>1900</v>
      </c>
      <c r="G51" s="8">
        <v>1.9399999999999977</v>
      </c>
      <c r="H51" s="14">
        <v>2000</v>
      </c>
      <c r="I51" s="48">
        <v>34.06</v>
      </c>
      <c r="J51">
        <v>1994.6111111111111</v>
      </c>
    </row>
    <row r="52" spans="1:10" x14ac:dyDescent="0.2">
      <c r="A52" s="41" t="s">
        <v>98</v>
      </c>
      <c r="B52">
        <v>37</v>
      </c>
      <c r="C52">
        <v>0.5</v>
      </c>
      <c r="D52">
        <v>0</v>
      </c>
      <c r="E52" t="s">
        <v>92</v>
      </c>
      <c r="F52">
        <v>1200</v>
      </c>
      <c r="G52" s="8">
        <v>0.95000000000000284</v>
      </c>
      <c r="H52" s="14">
        <v>2000</v>
      </c>
      <c r="I52" s="48">
        <v>35.049999999999997</v>
      </c>
      <c r="J52">
        <v>1978.8888888888889</v>
      </c>
    </row>
    <row r="53" spans="1:10" x14ac:dyDescent="0.2">
      <c r="A53" t="s">
        <v>96</v>
      </c>
      <c r="B53">
        <v>37</v>
      </c>
      <c r="C53">
        <v>2</v>
      </c>
      <c r="D53">
        <v>0</v>
      </c>
      <c r="E53" t="s">
        <v>92</v>
      </c>
      <c r="F53">
        <v>370</v>
      </c>
      <c r="G53" s="8">
        <v>1.7899999999999991</v>
      </c>
      <c r="H53" s="14">
        <v>2000</v>
      </c>
      <c r="I53" s="48">
        <v>34.21</v>
      </c>
      <c r="J53">
        <v>1918.9527777777778</v>
      </c>
    </row>
    <row r="54" spans="1:10" x14ac:dyDescent="0.2">
      <c r="A54" t="s">
        <v>97</v>
      </c>
      <c r="B54">
        <v>37</v>
      </c>
      <c r="C54">
        <v>2</v>
      </c>
      <c r="D54">
        <v>0</v>
      </c>
      <c r="E54" t="s">
        <v>92</v>
      </c>
      <c r="F54">
        <v>1900</v>
      </c>
      <c r="G54" s="8">
        <v>7.7600000000000016</v>
      </c>
      <c r="H54" s="14">
        <v>2000</v>
      </c>
      <c r="I54" s="48">
        <v>28.24</v>
      </c>
      <c r="J54">
        <v>1978.4444444444443</v>
      </c>
    </row>
    <row r="55" spans="1:10" x14ac:dyDescent="0.2">
      <c r="A55" s="41" t="s">
        <v>98</v>
      </c>
      <c r="B55">
        <v>37</v>
      </c>
      <c r="C55">
        <v>2</v>
      </c>
      <c r="D55">
        <v>0</v>
      </c>
      <c r="E55" t="s">
        <v>92</v>
      </c>
      <c r="F55">
        <v>1200</v>
      </c>
      <c r="G55" s="8">
        <v>3.8100000000000023</v>
      </c>
      <c r="H55" s="14">
        <v>2000</v>
      </c>
      <c r="I55" s="48">
        <v>32.19</v>
      </c>
      <c r="J55">
        <v>1915.3333333333333</v>
      </c>
    </row>
    <row r="56" spans="1:10" x14ac:dyDescent="0.2">
      <c r="A56" t="s">
        <v>96</v>
      </c>
      <c r="B56">
        <v>37</v>
      </c>
      <c r="C56" s="41">
        <v>3.5</v>
      </c>
      <c r="D56">
        <v>0</v>
      </c>
      <c r="E56" t="s">
        <v>92</v>
      </c>
      <c r="F56">
        <v>370</v>
      </c>
      <c r="G56" s="8">
        <v>3.1300000000000026</v>
      </c>
      <c r="H56" s="14">
        <v>2000</v>
      </c>
      <c r="I56" s="48">
        <v>32.869999999999997</v>
      </c>
      <c r="J56">
        <v>1858.2805555555558</v>
      </c>
    </row>
    <row r="57" spans="1:10" x14ac:dyDescent="0.2">
      <c r="A57" t="s">
        <v>97</v>
      </c>
      <c r="B57">
        <v>37</v>
      </c>
      <c r="C57" s="41">
        <v>3.5</v>
      </c>
      <c r="D57">
        <v>0</v>
      </c>
      <c r="E57" t="s">
        <v>92</v>
      </c>
      <c r="F57">
        <v>1900</v>
      </c>
      <c r="G57" s="8">
        <v>13.59</v>
      </c>
      <c r="H57" s="14">
        <v>2000</v>
      </c>
      <c r="I57" s="48">
        <v>22.41</v>
      </c>
      <c r="J57">
        <v>1962.25</v>
      </c>
    </row>
    <row r="58" spans="1:10" x14ac:dyDescent="0.2">
      <c r="A58" s="41" t="s">
        <v>98</v>
      </c>
      <c r="B58">
        <v>37</v>
      </c>
      <c r="C58" s="41">
        <v>3.5</v>
      </c>
      <c r="D58">
        <v>0</v>
      </c>
      <c r="E58" t="s">
        <v>92</v>
      </c>
      <c r="F58">
        <v>1200</v>
      </c>
      <c r="G58" s="8">
        <v>6.66</v>
      </c>
      <c r="H58" s="14">
        <v>2000</v>
      </c>
      <c r="I58" s="48">
        <v>29.34</v>
      </c>
      <c r="J58">
        <v>1852</v>
      </c>
    </row>
    <row r="59" spans="1:10" x14ac:dyDescent="0.2">
      <c r="A59" t="s">
        <v>96</v>
      </c>
      <c r="B59">
        <v>37</v>
      </c>
      <c r="C59">
        <v>0.5</v>
      </c>
      <c r="D59">
        <v>0</v>
      </c>
      <c r="E59" t="s">
        <v>6</v>
      </c>
      <c r="F59" s="25">
        <v>34.535818497584216</v>
      </c>
      <c r="G59" s="8">
        <v>0.45000000000000284</v>
      </c>
      <c r="H59" s="2">
        <v>5.5774006338181836</v>
      </c>
      <c r="I59" s="48">
        <v>35.549999999999997</v>
      </c>
      <c r="J59">
        <v>5.9393808571152613</v>
      </c>
    </row>
    <row r="60" spans="1:10" x14ac:dyDescent="0.2">
      <c r="A60" t="s">
        <v>97</v>
      </c>
      <c r="B60">
        <v>37</v>
      </c>
      <c r="C60">
        <v>0.5</v>
      </c>
      <c r="D60">
        <v>0</v>
      </c>
      <c r="E60" t="s">
        <v>6</v>
      </c>
      <c r="F60" s="2">
        <v>8.2841582300292824</v>
      </c>
      <c r="G60" s="8">
        <v>1.9399999999999977</v>
      </c>
      <c r="H60" s="2">
        <v>5.5774006338181836</v>
      </c>
      <c r="I60" s="48">
        <v>34.06</v>
      </c>
      <c r="J60">
        <v>5.7232647931695588</v>
      </c>
    </row>
    <row r="61" spans="1:10" x14ac:dyDescent="0.2">
      <c r="A61" s="41" t="s">
        <v>98</v>
      </c>
      <c r="B61">
        <v>37</v>
      </c>
      <c r="C61">
        <v>0.5</v>
      </c>
      <c r="D61">
        <v>0</v>
      </c>
      <c r="E61" t="s">
        <v>6</v>
      </c>
      <c r="F61" s="2">
        <v>16.42072159253286</v>
      </c>
      <c r="G61" s="8">
        <v>0.95000000000000284</v>
      </c>
      <c r="H61" s="2">
        <v>5.5774006338181836</v>
      </c>
      <c r="I61" s="48">
        <v>35.049999999999997</v>
      </c>
      <c r="J61">
        <v>5.8635438257842658</v>
      </c>
    </row>
    <row r="62" spans="1:10" x14ac:dyDescent="0.2">
      <c r="A62" t="s">
        <v>96</v>
      </c>
      <c r="B62">
        <v>37</v>
      </c>
      <c r="C62">
        <v>2</v>
      </c>
      <c r="D62">
        <v>0</v>
      </c>
      <c r="E62" t="s">
        <v>6</v>
      </c>
      <c r="F62" s="25">
        <v>34.535818497584216</v>
      </c>
      <c r="G62" s="8">
        <v>1.7899999999999991</v>
      </c>
      <c r="H62" s="2">
        <v>5.5774006338181836</v>
      </c>
      <c r="I62" s="48">
        <v>34.21</v>
      </c>
      <c r="J62">
        <v>7.0172775220443278</v>
      </c>
    </row>
    <row r="63" spans="1:10" x14ac:dyDescent="0.2">
      <c r="A63" t="s">
        <v>97</v>
      </c>
      <c r="B63">
        <v>37</v>
      </c>
      <c r="C63">
        <v>2</v>
      </c>
      <c r="D63">
        <v>0</v>
      </c>
      <c r="E63" t="s">
        <v>6</v>
      </c>
      <c r="F63" s="2">
        <v>8.2841582300292824</v>
      </c>
      <c r="G63" s="8">
        <v>7.7600000000000016</v>
      </c>
      <c r="H63" s="2">
        <v>5.5774006338181836</v>
      </c>
      <c r="I63" s="48">
        <v>28.24</v>
      </c>
      <c r="J63">
        <v>6.1608572712236871</v>
      </c>
    </row>
    <row r="64" spans="1:10" x14ac:dyDescent="0.2">
      <c r="A64" s="41" t="s">
        <v>98</v>
      </c>
      <c r="B64">
        <v>37</v>
      </c>
      <c r="C64">
        <v>2</v>
      </c>
      <c r="D64">
        <v>0</v>
      </c>
      <c r="E64" t="s">
        <v>6</v>
      </c>
      <c r="F64" s="2">
        <v>16.42072159253286</v>
      </c>
      <c r="G64" s="8">
        <v>3.8100000000000023</v>
      </c>
      <c r="H64" s="2">
        <v>5.5774006338181836</v>
      </c>
      <c r="I64" s="48">
        <v>32.19</v>
      </c>
      <c r="J64">
        <v>6.7249854352821536</v>
      </c>
    </row>
    <row r="65" spans="1:10" x14ac:dyDescent="0.2">
      <c r="A65" t="s">
        <v>96</v>
      </c>
      <c r="B65">
        <v>37</v>
      </c>
      <c r="C65" s="41">
        <v>3.5</v>
      </c>
      <c r="D65">
        <v>0</v>
      </c>
      <c r="E65" t="s">
        <v>6</v>
      </c>
      <c r="F65" s="34">
        <v>34.535818497584216</v>
      </c>
      <c r="G65" s="8">
        <v>3.1300000000000026</v>
      </c>
      <c r="H65" s="2">
        <v>5.5774006338181836</v>
      </c>
      <c r="I65" s="48">
        <v>32.869999999999997</v>
      </c>
      <c r="J65">
        <v>8.0951741869733986</v>
      </c>
    </row>
    <row r="66" spans="1:10" x14ac:dyDescent="0.2">
      <c r="A66" t="s">
        <v>97</v>
      </c>
      <c r="B66">
        <v>37</v>
      </c>
      <c r="C66" s="41">
        <v>3.5</v>
      </c>
      <c r="D66">
        <v>0</v>
      </c>
      <c r="E66" t="s">
        <v>6</v>
      </c>
      <c r="F66" s="2">
        <v>8.2841582300292824</v>
      </c>
      <c r="G66" s="8">
        <v>13.59</v>
      </c>
      <c r="H66" s="2">
        <v>5.5774006338181836</v>
      </c>
      <c r="I66" s="48">
        <v>22.41</v>
      </c>
      <c r="J66">
        <v>6.599201626387873</v>
      </c>
    </row>
    <row r="67" spans="1:10" x14ac:dyDescent="0.2">
      <c r="A67" s="41" t="s">
        <v>98</v>
      </c>
      <c r="B67">
        <v>37</v>
      </c>
      <c r="C67" s="41">
        <v>3.5</v>
      </c>
      <c r="D67">
        <v>0</v>
      </c>
      <c r="E67" t="s">
        <v>6</v>
      </c>
      <c r="F67" s="2">
        <v>16.42072159253286</v>
      </c>
      <c r="G67" s="8">
        <v>6.66</v>
      </c>
      <c r="H67" s="2">
        <v>5.5774006338181836</v>
      </c>
      <c r="I67" s="48">
        <v>29.34</v>
      </c>
      <c r="J67">
        <v>7.5834150111803984</v>
      </c>
    </row>
    <row r="68" spans="1:10" x14ac:dyDescent="0.2">
      <c r="A68" t="s">
        <v>96</v>
      </c>
      <c r="B68">
        <v>37</v>
      </c>
      <c r="C68">
        <v>0.5</v>
      </c>
      <c r="D68">
        <v>0</v>
      </c>
      <c r="E68" t="s">
        <v>19</v>
      </c>
      <c r="F68" s="25"/>
      <c r="G68" s="8">
        <v>0.45000000000000284</v>
      </c>
      <c r="H68" s="2"/>
      <c r="I68" s="48">
        <v>35.549999999999997</v>
      </c>
      <c r="J68">
        <v>7.97</v>
      </c>
    </row>
    <row r="69" spans="1:10" x14ac:dyDescent="0.2">
      <c r="A69" t="s">
        <v>97</v>
      </c>
      <c r="B69">
        <v>37</v>
      </c>
      <c r="C69">
        <v>0.5</v>
      </c>
      <c r="D69">
        <v>0</v>
      </c>
      <c r="E69" t="s">
        <v>19</v>
      </c>
      <c r="F69" s="2"/>
      <c r="G69" s="8">
        <v>1.9399999999999977</v>
      </c>
      <c r="H69" s="2"/>
      <c r="I69" s="48">
        <v>34.06</v>
      </c>
      <c r="J69">
        <v>7.97</v>
      </c>
    </row>
    <row r="70" spans="1:10" x14ac:dyDescent="0.2">
      <c r="A70" s="41" t="s">
        <v>98</v>
      </c>
      <c r="B70">
        <v>37</v>
      </c>
      <c r="C70">
        <v>0.5</v>
      </c>
      <c r="D70">
        <v>0</v>
      </c>
      <c r="E70" t="s">
        <v>19</v>
      </c>
      <c r="F70" s="2"/>
      <c r="G70" s="8">
        <v>0.95000000000000284</v>
      </c>
      <c r="H70" s="2"/>
      <c r="I70" s="48">
        <v>35.049999999999997</v>
      </c>
      <c r="J70">
        <v>7.97</v>
      </c>
    </row>
    <row r="71" spans="1:10" x14ac:dyDescent="0.2">
      <c r="A71" t="s">
        <v>96</v>
      </c>
      <c r="B71">
        <v>37</v>
      </c>
      <c r="C71">
        <v>2</v>
      </c>
      <c r="D71">
        <v>0</v>
      </c>
      <c r="E71" t="s">
        <v>19</v>
      </c>
      <c r="F71" s="25"/>
      <c r="G71" s="8">
        <v>1.7899999999999991</v>
      </c>
      <c r="H71" s="2"/>
      <c r="I71" s="48">
        <v>34.21</v>
      </c>
      <c r="J71">
        <v>7.97</v>
      </c>
    </row>
    <row r="72" spans="1:10" x14ac:dyDescent="0.2">
      <c r="A72" t="s">
        <v>97</v>
      </c>
      <c r="B72">
        <v>37</v>
      </c>
      <c r="C72">
        <v>2</v>
      </c>
      <c r="D72">
        <v>0</v>
      </c>
      <c r="E72" t="s">
        <v>19</v>
      </c>
      <c r="F72" s="2"/>
      <c r="G72" s="8">
        <v>7.7600000000000016</v>
      </c>
      <c r="H72" s="2"/>
      <c r="I72" s="48">
        <v>28.24</v>
      </c>
      <c r="J72">
        <v>7.97</v>
      </c>
    </row>
    <row r="73" spans="1:10" x14ac:dyDescent="0.2">
      <c r="A73" s="41" t="s">
        <v>98</v>
      </c>
      <c r="B73">
        <v>37</v>
      </c>
      <c r="C73">
        <v>2</v>
      </c>
      <c r="D73">
        <v>0</v>
      </c>
      <c r="E73" t="s">
        <v>19</v>
      </c>
      <c r="F73" s="2"/>
      <c r="G73" s="8">
        <v>3.8100000000000023</v>
      </c>
      <c r="H73" s="2"/>
      <c r="I73" s="48">
        <v>32.19</v>
      </c>
      <c r="J73">
        <v>7.97</v>
      </c>
    </row>
    <row r="74" spans="1:10" x14ac:dyDescent="0.2">
      <c r="A74" t="s">
        <v>96</v>
      </c>
      <c r="B74">
        <v>37</v>
      </c>
      <c r="C74" s="41">
        <v>3.5</v>
      </c>
      <c r="D74">
        <v>0</v>
      </c>
      <c r="E74" t="s">
        <v>19</v>
      </c>
      <c r="F74" s="34"/>
      <c r="G74" s="8">
        <v>3.1300000000000026</v>
      </c>
      <c r="H74" s="2"/>
      <c r="I74" s="48">
        <v>32.869999999999997</v>
      </c>
      <c r="J74">
        <v>7.97</v>
      </c>
    </row>
    <row r="75" spans="1:10" x14ac:dyDescent="0.2">
      <c r="A75" t="s">
        <v>97</v>
      </c>
      <c r="B75">
        <v>37</v>
      </c>
      <c r="C75" s="41">
        <v>3.5</v>
      </c>
      <c r="D75">
        <v>0</v>
      </c>
      <c r="E75" t="s">
        <v>19</v>
      </c>
      <c r="F75" s="2"/>
      <c r="G75" s="8">
        <v>13.59</v>
      </c>
      <c r="H75" s="2"/>
      <c r="I75" s="48">
        <v>22.41</v>
      </c>
      <c r="J75">
        <v>7.97</v>
      </c>
    </row>
    <row r="76" spans="1:10" x14ac:dyDescent="0.2">
      <c r="A76" s="41" t="s">
        <v>98</v>
      </c>
      <c r="B76">
        <v>37</v>
      </c>
      <c r="C76" s="41">
        <v>3.5</v>
      </c>
      <c r="D76">
        <v>0</v>
      </c>
      <c r="E76" t="s">
        <v>19</v>
      </c>
      <c r="F76" s="2"/>
      <c r="G76" s="8">
        <v>6.66</v>
      </c>
      <c r="H76" s="2"/>
      <c r="I76" s="48">
        <v>29.34</v>
      </c>
      <c r="J76">
        <v>7.97</v>
      </c>
    </row>
    <row r="77" spans="1:10" x14ac:dyDescent="0.2">
      <c r="A77" t="s">
        <v>96</v>
      </c>
      <c r="B77">
        <v>37</v>
      </c>
      <c r="C77">
        <v>0.5</v>
      </c>
      <c r="D77">
        <v>0</v>
      </c>
      <c r="E77" t="s">
        <v>110</v>
      </c>
      <c r="F77" s="25"/>
      <c r="G77" s="8">
        <v>0.45000000000000284</v>
      </c>
      <c r="H77" s="2"/>
      <c r="I77" s="48">
        <v>35.549999999999997</v>
      </c>
      <c r="J77">
        <v>0</v>
      </c>
    </row>
    <row r="78" spans="1:10" x14ac:dyDescent="0.2">
      <c r="A78" t="s">
        <v>97</v>
      </c>
      <c r="B78">
        <v>37</v>
      </c>
      <c r="C78">
        <v>0.5</v>
      </c>
      <c r="D78">
        <v>0</v>
      </c>
      <c r="E78" t="s">
        <v>110</v>
      </c>
      <c r="F78" s="2"/>
      <c r="G78" s="8">
        <v>1.9399999999999977</v>
      </c>
      <c r="H78" s="2"/>
      <c r="I78" s="48">
        <v>34.06</v>
      </c>
      <c r="J78">
        <v>0</v>
      </c>
    </row>
    <row r="79" spans="1:10" x14ac:dyDescent="0.2">
      <c r="A79" s="41" t="s">
        <v>98</v>
      </c>
      <c r="B79">
        <v>37</v>
      </c>
      <c r="C79">
        <v>0.5</v>
      </c>
      <c r="D79">
        <v>0</v>
      </c>
      <c r="E79" t="s">
        <v>110</v>
      </c>
      <c r="F79" s="2"/>
      <c r="G79" s="8">
        <v>0.95000000000000284</v>
      </c>
      <c r="H79" s="2"/>
      <c r="I79" s="48">
        <v>35.049999999999997</v>
      </c>
      <c r="J79">
        <v>0</v>
      </c>
    </row>
    <row r="80" spans="1:10" x14ac:dyDescent="0.2">
      <c r="A80" t="s">
        <v>96</v>
      </c>
      <c r="B80">
        <v>37</v>
      </c>
      <c r="C80">
        <v>2</v>
      </c>
      <c r="D80">
        <v>0</v>
      </c>
      <c r="E80" t="s">
        <v>110</v>
      </c>
      <c r="F80" s="25"/>
      <c r="G80" s="8">
        <v>1.7899999999999991</v>
      </c>
      <c r="H80" s="2"/>
      <c r="I80" s="48">
        <v>34.21</v>
      </c>
      <c r="J80">
        <v>0</v>
      </c>
    </row>
    <row r="81" spans="1:10" x14ac:dyDescent="0.2">
      <c r="A81" t="s">
        <v>97</v>
      </c>
      <c r="B81">
        <v>37</v>
      </c>
      <c r="C81">
        <v>2</v>
      </c>
      <c r="D81">
        <v>0</v>
      </c>
      <c r="E81" t="s">
        <v>110</v>
      </c>
      <c r="F81" s="2"/>
      <c r="G81" s="8">
        <v>7.7600000000000016</v>
      </c>
      <c r="H81" s="2"/>
      <c r="I81" s="48">
        <v>28.24</v>
      </c>
      <c r="J81">
        <v>0</v>
      </c>
    </row>
    <row r="82" spans="1:10" x14ac:dyDescent="0.2">
      <c r="A82" s="41" t="s">
        <v>98</v>
      </c>
      <c r="B82">
        <v>37</v>
      </c>
      <c r="C82">
        <v>2</v>
      </c>
      <c r="D82">
        <v>0</v>
      </c>
      <c r="E82" t="s">
        <v>110</v>
      </c>
      <c r="F82" s="2"/>
      <c r="G82" s="8">
        <v>3.8100000000000023</v>
      </c>
      <c r="H82" s="2"/>
      <c r="I82" s="48">
        <v>32.19</v>
      </c>
      <c r="J82">
        <v>0</v>
      </c>
    </row>
    <row r="83" spans="1:10" x14ac:dyDescent="0.2">
      <c r="A83" t="s">
        <v>96</v>
      </c>
      <c r="B83">
        <v>37</v>
      </c>
      <c r="C83" s="41">
        <v>3.5</v>
      </c>
      <c r="D83">
        <v>0</v>
      </c>
      <c r="E83" t="s">
        <v>110</v>
      </c>
      <c r="F83" s="34"/>
      <c r="G83" s="8">
        <v>3.1300000000000026</v>
      </c>
      <c r="H83" s="2"/>
      <c r="I83" s="48">
        <v>32.869999999999997</v>
      </c>
      <c r="J83">
        <v>0</v>
      </c>
    </row>
    <row r="84" spans="1:10" x14ac:dyDescent="0.2">
      <c r="A84" t="s">
        <v>97</v>
      </c>
      <c r="B84">
        <v>37</v>
      </c>
      <c r="C84" s="41">
        <v>3.5</v>
      </c>
      <c r="D84">
        <v>0</v>
      </c>
      <c r="E84" t="s">
        <v>110</v>
      </c>
      <c r="F84" s="2"/>
      <c r="G84" s="8">
        <v>13.59</v>
      </c>
      <c r="H84" s="2"/>
      <c r="I84" s="48">
        <v>22.41</v>
      </c>
      <c r="J84">
        <v>0</v>
      </c>
    </row>
    <row r="85" spans="1:10" x14ac:dyDescent="0.2">
      <c r="A85" s="41" t="s">
        <v>98</v>
      </c>
      <c r="B85">
        <v>37</v>
      </c>
      <c r="C85" s="41">
        <v>3.5</v>
      </c>
      <c r="D85">
        <v>0</v>
      </c>
      <c r="E85" t="s">
        <v>110</v>
      </c>
      <c r="F85" s="2"/>
      <c r="G85" s="8">
        <v>6.66</v>
      </c>
      <c r="H85" s="2"/>
      <c r="I85" s="48">
        <v>29.34</v>
      </c>
      <c r="J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Day TS&amp;VS</vt:lpstr>
      <vt:lpstr>day0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Nolan</dc:creator>
  <cp:lastModifiedBy>WATERS, NICHOLAS</cp:lastModifiedBy>
  <dcterms:created xsi:type="dcterms:W3CDTF">2016-07-28T14:41:56Z</dcterms:created>
  <dcterms:modified xsi:type="dcterms:W3CDTF">2019-05-03T08:57:06Z</dcterms:modified>
</cp:coreProperties>
</file>