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ENG612\Foil_Activation\"/>
    </mc:Choice>
  </mc:AlternateContent>
  <xr:revisionPtr revIDLastSave="0" documentId="10_ncr:8100000_{BD372D7E-8EE8-4F43-83BD-893FCC9706A9}" xr6:coauthVersionLast="34" xr6:coauthVersionMax="34" xr10:uidLastSave="{00000000-0000-0000-0000-000000000000}"/>
  <bookViews>
    <workbookView xWindow="0" yWindow="0" windowWidth="17256" windowHeight="5652" firstSheet="6" activeTab="7" xr2:uid="{A54BA526-0B45-47AA-953D-39C722521EAC}"/>
  </bookViews>
  <sheets>
    <sheet name="Geometry" sheetId="1" r:id="rId1"/>
    <sheet name="Decay Information_Old" sheetId="4" r:id="rId2"/>
    <sheet name="Reactions_old" sheetId="2" r:id="rId3"/>
    <sheet name="Decay Information Updated" sheetId="5" r:id="rId4"/>
    <sheet name="ReactionsUpdated_old" sheetId="3" r:id="rId5"/>
    <sheet name="ReactionsUpdated New " sheetId="6" r:id="rId6"/>
    <sheet name="Flux Spectra" sheetId="7" r:id="rId7"/>
    <sheet name="Consolidated Data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8" l="1"/>
  <c r="B19" i="8"/>
  <c r="B12" i="8"/>
  <c r="B10" i="8"/>
  <c r="J5" i="8" s="1"/>
  <c r="H5" i="8"/>
  <c r="B5" i="8"/>
  <c r="D5" i="8" s="1"/>
  <c r="H4" i="8"/>
  <c r="D4" i="8"/>
  <c r="F4" i="8" s="1"/>
  <c r="G4" i="8" s="1"/>
  <c r="J7" i="8"/>
  <c r="H7" i="8"/>
  <c r="F7" i="8"/>
  <c r="G7" i="8" s="1"/>
  <c r="D7" i="8"/>
  <c r="E7" i="8" s="1"/>
  <c r="D6" i="8"/>
  <c r="F6" i="8" s="1"/>
  <c r="G6" i="8" s="1"/>
  <c r="B6" i="8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4" i="6"/>
  <c r="E25" i="6"/>
  <c r="K13" i="6" s="1"/>
  <c r="H11" i="6"/>
  <c r="J11" i="6" s="1"/>
  <c r="H10" i="6"/>
  <c r="J10" i="6" s="1"/>
  <c r="J20" i="6"/>
  <c r="E20" i="6"/>
  <c r="F20" i="6"/>
  <c r="G20" i="6" s="1"/>
  <c r="H20" i="6"/>
  <c r="D20" i="6"/>
  <c r="C11" i="3"/>
  <c r="J4" i="6"/>
  <c r="J5" i="6"/>
  <c r="J6" i="6"/>
  <c r="J7" i="6"/>
  <c r="J8" i="6"/>
  <c r="J9" i="6"/>
  <c r="J12" i="6"/>
  <c r="J13" i="6"/>
  <c r="J14" i="6"/>
  <c r="J15" i="6"/>
  <c r="J16" i="6"/>
  <c r="J17" i="6"/>
  <c r="F3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2" i="7"/>
  <c r="J18" i="6"/>
  <c r="J19" i="6"/>
  <c r="H5" i="6"/>
  <c r="H6" i="6"/>
  <c r="H7" i="6"/>
  <c r="H9" i="6"/>
  <c r="H12" i="6"/>
  <c r="H13" i="6"/>
  <c r="H14" i="6"/>
  <c r="H15" i="6"/>
  <c r="H16" i="6"/>
  <c r="H17" i="6"/>
  <c r="H19" i="6"/>
  <c r="H18" i="6"/>
  <c r="G17" i="6"/>
  <c r="G18" i="6"/>
  <c r="G19" i="6"/>
  <c r="F17" i="6"/>
  <c r="F18" i="6"/>
  <c r="F19" i="6"/>
  <c r="E18" i="6"/>
  <c r="E19" i="6"/>
  <c r="D19" i="6"/>
  <c r="D18" i="6"/>
  <c r="B18" i="6"/>
  <c r="B19" i="6"/>
  <c r="E23" i="6"/>
  <c r="B18" i="5"/>
  <c r="B17" i="5"/>
  <c r="O6" i="3"/>
  <c r="G6" i="3"/>
  <c r="L6" i="3"/>
  <c r="K7" i="8" l="1"/>
  <c r="L7" i="8" s="1"/>
  <c r="F5" i="8"/>
  <c r="G5" i="8" s="1"/>
  <c r="E5" i="8"/>
  <c r="K5" i="8"/>
  <c r="E6" i="8"/>
  <c r="E4" i="8"/>
  <c r="J6" i="8"/>
  <c r="J4" i="8"/>
  <c r="K12" i="6"/>
  <c r="K9" i="6"/>
  <c r="K18" i="6"/>
  <c r="K19" i="6"/>
  <c r="K8" i="6"/>
  <c r="K17" i="6"/>
  <c r="K7" i="6"/>
  <c r="K20" i="6"/>
  <c r="K16" i="6"/>
  <c r="K15" i="6"/>
  <c r="K5" i="6"/>
  <c r="K10" i="6"/>
  <c r="K6" i="6"/>
  <c r="K14" i="6"/>
  <c r="K4" i="6"/>
  <c r="K11" i="6"/>
  <c r="E17" i="6"/>
  <c r="D17" i="6"/>
  <c r="G5" i="6"/>
  <c r="G6" i="6"/>
  <c r="G7" i="6"/>
  <c r="G8" i="6"/>
  <c r="G9" i="6"/>
  <c r="G10" i="6"/>
  <c r="G11" i="6"/>
  <c r="G12" i="6"/>
  <c r="G13" i="6"/>
  <c r="G14" i="6"/>
  <c r="G15" i="6"/>
  <c r="G16" i="6"/>
  <c r="G4" i="6"/>
  <c r="F5" i="6"/>
  <c r="F6" i="6"/>
  <c r="F7" i="6"/>
  <c r="F8" i="6"/>
  <c r="F9" i="6"/>
  <c r="F10" i="6"/>
  <c r="F11" i="6"/>
  <c r="F12" i="6"/>
  <c r="F13" i="6"/>
  <c r="F14" i="6"/>
  <c r="F15" i="6"/>
  <c r="F16" i="6"/>
  <c r="F4" i="6"/>
  <c r="E5" i="6"/>
  <c r="E6" i="6"/>
  <c r="E7" i="6"/>
  <c r="E8" i="6"/>
  <c r="E9" i="6"/>
  <c r="E10" i="6"/>
  <c r="E11" i="6"/>
  <c r="E12" i="6"/>
  <c r="E13" i="6"/>
  <c r="E14" i="6"/>
  <c r="E15" i="6"/>
  <c r="E16" i="6"/>
  <c r="E4" i="6"/>
  <c r="D15" i="6"/>
  <c r="D14" i="6"/>
  <c r="D16" i="6"/>
  <c r="D13" i="6"/>
  <c r="D12" i="6"/>
  <c r="D11" i="6"/>
  <c r="D10" i="6"/>
  <c r="D9" i="6"/>
  <c r="D8" i="6"/>
  <c r="D7" i="6"/>
  <c r="D6" i="6"/>
  <c r="D5" i="6"/>
  <c r="D4" i="6"/>
  <c r="B9" i="6"/>
  <c r="B8" i="6"/>
  <c r="B5" i="6"/>
  <c r="B4" i="6"/>
  <c r="B8" i="5"/>
  <c r="B7" i="5"/>
  <c r="B4" i="5"/>
  <c r="B3" i="5"/>
  <c r="J19" i="1"/>
  <c r="J18" i="1"/>
  <c r="L5" i="3"/>
  <c r="L7" i="3"/>
  <c r="N7" i="3" s="1"/>
  <c r="L8" i="3"/>
  <c r="L9" i="3"/>
  <c r="L10" i="3"/>
  <c r="N10" i="3" s="1"/>
  <c r="L11" i="3"/>
  <c r="L12" i="3"/>
  <c r="L13" i="3"/>
  <c r="L4" i="3"/>
  <c r="N4" i="3" s="1"/>
  <c r="D6" i="3"/>
  <c r="N5" i="3"/>
  <c r="N8" i="3"/>
  <c r="N9" i="3"/>
  <c r="N12" i="3"/>
  <c r="N13" i="3"/>
  <c r="M7" i="8" l="1"/>
  <c r="K6" i="8"/>
  <c r="M5" i="8"/>
  <c r="L5" i="8"/>
  <c r="K4" i="8"/>
  <c r="B5" i="3"/>
  <c r="B6" i="3"/>
  <c r="B7" i="3"/>
  <c r="B8" i="3"/>
  <c r="B9" i="3"/>
  <c r="B10" i="3"/>
  <c r="B11" i="3"/>
  <c r="B12" i="3"/>
  <c r="B13" i="3"/>
  <c r="B14" i="3"/>
  <c r="B4" i="3"/>
  <c r="C22" i="1"/>
  <c r="C14" i="1"/>
  <c r="F2" i="1"/>
  <c r="E7" i="1"/>
  <c r="E2" i="1"/>
  <c r="B16" i="4"/>
  <c r="B13" i="4"/>
  <c r="B15" i="4"/>
  <c r="B17" i="4"/>
  <c r="B11" i="4"/>
  <c r="B10" i="4"/>
  <c r="B9" i="4"/>
  <c r="B8" i="4"/>
  <c r="B7" i="4"/>
  <c r="B6" i="4"/>
  <c r="B5" i="4"/>
  <c r="B4" i="4"/>
  <c r="B3" i="4"/>
  <c r="D17" i="3"/>
  <c r="D14" i="3"/>
  <c r="C14" i="3"/>
  <c r="C16" i="3"/>
  <c r="D16" i="3" s="1"/>
  <c r="C17" i="3"/>
  <c r="C18" i="3"/>
  <c r="D18" i="3" s="1"/>
  <c r="C12" i="3"/>
  <c r="D12" i="3" s="1"/>
  <c r="D11" i="3"/>
  <c r="N11" i="3" s="1"/>
  <c r="C10" i="3"/>
  <c r="D10" i="3" s="1"/>
  <c r="M13" i="3"/>
  <c r="C13" i="3"/>
  <c r="E13" i="3" s="1"/>
  <c r="F13" i="3" s="1"/>
  <c r="M9" i="3"/>
  <c r="C9" i="3"/>
  <c r="D9" i="3" s="1"/>
  <c r="M8" i="3"/>
  <c r="C8" i="3"/>
  <c r="D8" i="3" s="1"/>
  <c r="M7" i="3"/>
  <c r="C7" i="3"/>
  <c r="D7" i="3" s="1"/>
  <c r="M6" i="3"/>
  <c r="N6" i="3"/>
  <c r="C6" i="3"/>
  <c r="E6" i="3" s="1"/>
  <c r="F6" i="3" s="1"/>
  <c r="M5" i="3"/>
  <c r="C5" i="3"/>
  <c r="D5" i="3" s="1"/>
  <c r="M4" i="3"/>
  <c r="C4" i="3"/>
  <c r="E4" i="3" s="1"/>
  <c r="F4" i="3" s="1"/>
  <c r="L6" i="8" l="1"/>
  <c r="M6" i="8"/>
  <c r="L4" i="8"/>
  <c r="M4" i="8"/>
  <c r="E7" i="3"/>
  <c r="F7" i="3" s="1"/>
  <c r="E5" i="3"/>
  <c r="F5" i="3" s="1"/>
  <c r="D13" i="3"/>
  <c r="E8" i="3"/>
  <c r="F8" i="3" s="1"/>
  <c r="E9" i="3"/>
  <c r="F9" i="3" s="1"/>
  <c r="D4" i="3"/>
  <c r="L5" i="2"/>
  <c r="L6" i="2"/>
  <c r="L8" i="2"/>
  <c r="L9" i="2"/>
  <c r="L10" i="2"/>
  <c r="L11" i="2"/>
  <c r="L12" i="2"/>
  <c r="L13" i="2"/>
  <c r="L14" i="2"/>
  <c r="L4" i="2"/>
  <c r="K5" i="2"/>
  <c r="K6" i="2"/>
  <c r="K8" i="2"/>
  <c r="K9" i="2"/>
  <c r="K10" i="2"/>
  <c r="K11" i="2"/>
  <c r="K12" i="2"/>
  <c r="K13" i="2"/>
  <c r="K14" i="2"/>
  <c r="K4" i="2"/>
  <c r="D16" i="2"/>
  <c r="E16" i="2" s="1"/>
  <c r="B16" i="2"/>
  <c r="C16" i="2" s="1"/>
  <c r="D15" i="2"/>
  <c r="E15" i="2" s="1"/>
  <c r="B15" i="2"/>
  <c r="C15" i="2" s="1"/>
  <c r="E5" i="2" l="1"/>
  <c r="E6" i="2"/>
  <c r="E7" i="2"/>
  <c r="E8" i="2"/>
  <c r="E9" i="2"/>
  <c r="E10" i="2"/>
  <c r="E11" i="2"/>
  <c r="E13" i="2"/>
  <c r="E14" i="2"/>
  <c r="E4" i="2"/>
  <c r="D5" i="2"/>
  <c r="D6" i="2"/>
  <c r="D7" i="2"/>
  <c r="D8" i="2"/>
  <c r="D9" i="2"/>
  <c r="D10" i="2"/>
  <c r="D11" i="2"/>
  <c r="D13" i="2"/>
  <c r="D14" i="2"/>
  <c r="D4" i="2"/>
  <c r="C5" i="2"/>
  <c r="C6" i="2"/>
  <c r="C7" i="2"/>
  <c r="C8" i="2"/>
  <c r="C9" i="2"/>
  <c r="C10" i="2"/>
  <c r="C11" i="2"/>
  <c r="C13" i="2"/>
  <c r="C14" i="2"/>
  <c r="C4" i="2"/>
  <c r="B14" i="2"/>
  <c r="B13" i="2"/>
  <c r="B11" i="2"/>
  <c r="B10" i="2"/>
  <c r="B9" i="2"/>
  <c r="B8" i="2"/>
  <c r="B7" i="2"/>
  <c r="B6" i="2"/>
  <c r="B5" i="2"/>
  <c r="B4" i="2"/>
  <c r="E3" i="1" l="1"/>
  <c r="E4" i="1" s="1"/>
  <c r="E5" i="1" s="1"/>
  <c r="I3" i="1"/>
  <c r="D3" i="1"/>
  <c r="D4" i="1" s="1"/>
  <c r="D5" i="1" s="1"/>
  <c r="D6" i="1" s="1"/>
  <c r="E6" i="1" l="1"/>
  <c r="D7" i="1" l="1"/>
</calcChain>
</file>

<file path=xl/sharedStrings.xml><?xml version="1.0" encoding="utf-8"?>
<sst xmlns="http://schemas.openxmlformats.org/spreadsheetml/2006/main" count="362" uniqueCount="158">
  <si>
    <t>Foil</t>
  </si>
  <si>
    <t>Au</t>
  </si>
  <si>
    <t>W</t>
  </si>
  <si>
    <t>Ni</t>
  </si>
  <si>
    <t>In</t>
  </si>
  <si>
    <t>x</t>
  </si>
  <si>
    <t>y</t>
  </si>
  <si>
    <t>z</t>
  </si>
  <si>
    <t>H</t>
  </si>
  <si>
    <t>R</t>
  </si>
  <si>
    <t>Cd Cover 0.0508 cm thick</t>
  </si>
  <si>
    <t xml:space="preserve">Foils are </t>
  </si>
  <si>
    <t>cm radius</t>
  </si>
  <si>
    <t>http://www.shieldwerx.com/assets/swx-155x.pdf</t>
  </si>
  <si>
    <t>Reactions of interest and are included in STAYSL</t>
  </si>
  <si>
    <t>Zr-90 (n,2n)</t>
  </si>
  <si>
    <t>Ni-58 (n,2n)</t>
  </si>
  <si>
    <t>Ni-58 (n,p)</t>
  </si>
  <si>
    <t>Ni-58 (n,np)</t>
  </si>
  <si>
    <t>In-115 (n,n')</t>
  </si>
  <si>
    <t>Au-197 (n,2n)</t>
  </si>
  <si>
    <t>Al-27 (n,alpha)</t>
  </si>
  <si>
    <t>W-186 (n,g)</t>
  </si>
  <si>
    <t xml:space="preserve">Au-197 (n,g) </t>
  </si>
  <si>
    <t>In-115 (n,g)</t>
  </si>
  <si>
    <t>Halflife</t>
  </si>
  <si>
    <t>Seconds</t>
  </si>
  <si>
    <t>Decay</t>
  </si>
  <si>
    <t>Const [s^-1]</t>
  </si>
  <si>
    <t>4 Half Lives Brings it up to ~94% of Saturation Activity</t>
  </si>
  <si>
    <t>4x HalfLives for</t>
  </si>
  <si>
    <t>Saturation in hrs</t>
  </si>
  <si>
    <t xml:space="preserve">Days </t>
  </si>
  <si>
    <t>Units</t>
  </si>
  <si>
    <t>Based on this, an irradiation time of 2 days should be okay.</t>
  </si>
  <si>
    <t>The reactions with way more time to reach saturation will not build up as much</t>
  </si>
  <si>
    <t xml:space="preserve">The reactions with less than 2 days to reach close to saturation are fine. STAYSL can account for this. </t>
  </si>
  <si>
    <t xml:space="preserve">Rxn Rate </t>
  </si>
  <si>
    <t xml:space="preserve">With </t>
  </si>
  <si>
    <t xml:space="preserve">Cd Cover </t>
  </si>
  <si>
    <t>CoveredAu-197 (n,2n)</t>
  </si>
  <si>
    <t xml:space="preserve">CoveredAu-197 (n,g) </t>
  </si>
  <si>
    <t xml:space="preserve">without </t>
  </si>
  <si>
    <t>Cover</t>
  </si>
  <si>
    <t>Rel Err</t>
  </si>
  <si>
    <t>Not in staysl or IRDFF</t>
  </si>
  <si>
    <t>Al-27 (n,p)</t>
  </si>
  <si>
    <t>Foil at bottom (Covered Au) Does not seem to be worth adding. The flux is not very thermal. And there seems to be a good amount of difference with position</t>
  </si>
  <si>
    <t xml:space="preserve">Au-Covered in Rxn Rate without Cover is Au with Cover removed. </t>
  </si>
  <si>
    <t>Notes</t>
  </si>
  <si>
    <t xml:space="preserve">Flux is not very thermal, so adding a cadmium layer (Cd Cutoff) Did not change the tally by a lot </t>
  </si>
  <si>
    <t xml:space="preserve">The inclusion of the Cadmium did not have a large impact on the local neutron population. </t>
  </si>
  <si>
    <t xml:space="preserve">Saturation </t>
  </si>
  <si>
    <t>Activity</t>
  </si>
  <si>
    <t>[Bq]</t>
  </si>
  <si>
    <t>Other Possible ones in IRDFF/STAYSL</t>
  </si>
  <si>
    <t>Mg-24</t>
  </si>
  <si>
    <t>Too low of xs</t>
  </si>
  <si>
    <t>Too high of energy</t>
  </si>
  <si>
    <t>Consider Adding</t>
  </si>
  <si>
    <t>Cobalt</t>
  </si>
  <si>
    <t>Copper</t>
  </si>
  <si>
    <t>Cadmium will not be used. Only works to distinguish below 0.5 eV</t>
  </si>
  <si>
    <t>Co-59 (n,2n)</t>
  </si>
  <si>
    <t>Co-59 (n,g)</t>
  </si>
  <si>
    <t>Co-59 (n,a)</t>
  </si>
  <si>
    <t>Cu-63(n,2n)</t>
  </si>
  <si>
    <t>Cu-63(n,g)</t>
  </si>
  <si>
    <t>Cu-63(n,a)</t>
  </si>
  <si>
    <t>Cu-65(n,2n)</t>
  </si>
  <si>
    <t xml:space="preserve">Anihillation peak. Others have this. And we want to measure the foils together. </t>
  </si>
  <si>
    <t>Too short of half life - Also has annihilation</t>
  </si>
  <si>
    <t>Hrs</t>
  </si>
  <si>
    <t>Days</t>
  </si>
  <si>
    <t>Min</t>
  </si>
  <si>
    <t>Decay Radiation [keV]</t>
  </si>
  <si>
    <t>Cu-63 (n,2n) Cu-62</t>
  </si>
  <si>
    <t>Ni-58 (n,2n) Ni-57</t>
  </si>
  <si>
    <t>Ni-58 (n,p) Co-58</t>
  </si>
  <si>
    <t>Approximate Threshold [MeV]</t>
  </si>
  <si>
    <t>Thermal</t>
  </si>
  <si>
    <t>In-115 (n,g) In-115m</t>
  </si>
  <si>
    <t>In-115 (n,n') In-116m</t>
  </si>
  <si>
    <t>Intensity</t>
  </si>
  <si>
    <t>Au-197 (n,g) Au-196</t>
  </si>
  <si>
    <t>Co-59 (n,g) Co-60</t>
  </si>
  <si>
    <t>Au-197 (n,2n) Au-196</t>
  </si>
  <si>
    <t>Co-59 (n,a) Mn-56</t>
  </si>
  <si>
    <t>W-186 (n,g) W-187</t>
  </si>
  <si>
    <t>Co-59 (n,2n) Co-58</t>
  </si>
  <si>
    <t>Cu-63 (n,a) Co-60</t>
  </si>
  <si>
    <t>Cu-63 (n,g) Cu-64</t>
  </si>
  <si>
    <t>Cu-65 (n,2n) Cu-64</t>
  </si>
  <si>
    <t xml:space="preserve">Many Annihilation peaks. The Annihilation peaks in the Cu make it so the other 3 reactions cant really </t>
  </si>
  <si>
    <t xml:space="preserve">be measured without mass spectroscopy, which we are not going to do here. </t>
  </si>
  <si>
    <t>12+</t>
  </si>
  <si>
    <t>1+</t>
  </si>
  <si>
    <t>8+</t>
  </si>
  <si>
    <t>0.33+</t>
  </si>
  <si>
    <t>10.5+</t>
  </si>
  <si>
    <t>3.5+</t>
  </si>
  <si>
    <t>Cant Use</t>
  </si>
  <si>
    <t>Caut Use</t>
  </si>
  <si>
    <t>2.5+</t>
  </si>
  <si>
    <t>Removed Al</t>
  </si>
  <si>
    <t xml:space="preserve">Cross-section too low. </t>
  </si>
  <si>
    <t>Co</t>
  </si>
  <si>
    <t>Cu</t>
  </si>
  <si>
    <t>Removed Zinc                Too high of threshold</t>
  </si>
  <si>
    <t>qs</t>
  </si>
  <si>
    <t xml:space="preserve">Halflife </t>
  </si>
  <si>
    <t>Based on the above a week of irradiaiton will be accpetable based on the half lives</t>
  </si>
  <si>
    <t>The Cu-63 Co-59(n,g) and (n,g) and Ni(n,p) reactions will be far from saturated.</t>
  </si>
  <si>
    <t>The In-115*,Co-59 reactions will be fully saturated</t>
  </si>
  <si>
    <t>Other gammas low brnach</t>
  </si>
  <si>
    <t>Atoms</t>
  </si>
  <si>
    <t>Al (n,p) Mg-27</t>
  </si>
  <si>
    <t>Al (n,a) Na-24</t>
  </si>
  <si>
    <t>Mn-55 (n,g) Mn-56</t>
  </si>
  <si>
    <t>Ta-181 (n,g) Ta-182</t>
  </si>
  <si>
    <t>Fe-54 (n,2n) Fe-53</t>
  </si>
  <si>
    <t>Fe-54 (n,p) Mn-54</t>
  </si>
  <si>
    <t>Fe-54 (n,a) Cr-51</t>
  </si>
  <si>
    <t>Fe-56 (n,p) Mn-56</t>
  </si>
  <si>
    <t>Fe-58 (n,g) Fe-59</t>
  </si>
  <si>
    <t>Reaction</t>
  </si>
  <si>
    <t>Foil Volume</t>
  </si>
  <si>
    <t>cm^3</t>
  </si>
  <si>
    <t xml:space="preserve">MCNP </t>
  </si>
  <si>
    <t xml:space="preserve">Reaction Rate </t>
  </si>
  <si>
    <t>Source</t>
  </si>
  <si>
    <t>n/s</t>
  </si>
  <si>
    <t>seconds</t>
  </si>
  <si>
    <t>Tally [#/cc-srcp]</t>
  </si>
  <si>
    <t>A_inf</t>
  </si>
  <si>
    <t>Ao</t>
  </si>
  <si>
    <t xml:space="preserve">Irradiation </t>
  </si>
  <si>
    <t xml:space="preserve">Time </t>
  </si>
  <si>
    <t>days</t>
  </si>
  <si>
    <t xml:space="preserve">All MCNP tallies under 1.5% error. </t>
  </si>
  <si>
    <t>E [MeV]</t>
  </si>
  <si>
    <t>Lower Bin</t>
  </si>
  <si>
    <t>Uncertainty</t>
  </si>
  <si>
    <t>n/cm^2-s</t>
  </si>
  <si>
    <t xml:space="preserve">Total Flux </t>
  </si>
  <si>
    <t xml:space="preserve">Use - bump up a bit </t>
  </si>
  <si>
    <t xml:space="preserve">1 hr half life- will need to bump this </t>
  </si>
  <si>
    <t xml:space="preserve">Activity after 1 </t>
  </si>
  <si>
    <t xml:space="preserve">day </t>
  </si>
  <si>
    <t>Activity after</t>
  </si>
  <si>
    <t>1 hour</t>
  </si>
  <si>
    <t>Source Irradiation Parameters</t>
  </si>
  <si>
    <t>Time</t>
  </si>
  <si>
    <t xml:space="preserve">1 day </t>
  </si>
  <si>
    <t xml:space="preserve">Decay Information </t>
  </si>
  <si>
    <t>Peak In threshold</t>
  </si>
  <si>
    <t>Indium and gold should not be counted together to avoid overlap</t>
  </si>
  <si>
    <t>Timing of foils to HPGe is extremely important. Escpecially for the HPGE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</si>
</sst>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476E7-6821-4263-8CAF-FA7A6F5D0B49}">
  <dimension ref="A1:K23"/>
  <sheetViews>
    <sheetView workbookViewId="0">
      <selection activeCell="H1" sqref="H1"/>
    </sheetView>
  </sheetViews>
  <sheetFormatPr defaultRowHeight="14.4" x14ac:dyDescent="0.3"/>
  <cols>
    <col min="1" max="1" width="13.33203125" bestFit="1" customWidth="1"/>
  </cols>
  <sheetData>
    <row r="1" spans="1:11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H1" t="s">
        <v>13</v>
      </c>
    </row>
    <row r="2" spans="1:11" x14ac:dyDescent="0.3">
      <c r="A2" t="s">
        <v>106</v>
      </c>
      <c r="B2">
        <v>68.58</v>
      </c>
      <c r="C2">
        <v>66.040000000000006</v>
      </c>
      <c r="D2">
        <v>20.04</v>
      </c>
      <c r="E2">
        <f>0.00508</f>
        <v>5.0800000000000003E-3</v>
      </c>
      <c r="F2">
        <f>F3</f>
        <v>0.63500000000000001</v>
      </c>
      <c r="H2" t="s">
        <v>10</v>
      </c>
    </row>
    <row r="3" spans="1:11" x14ac:dyDescent="0.3">
      <c r="A3" t="s">
        <v>1</v>
      </c>
      <c r="B3">
        <v>68.58</v>
      </c>
      <c r="C3">
        <v>66.040000000000006</v>
      </c>
      <c r="D3">
        <f>D2+E2</f>
        <v>20.045079999999999</v>
      </c>
      <c r="E3">
        <f>0.00508</f>
        <v>5.0800000000000003E-3</v>
      </c>
      <c r="F3">
        <v>0.63500000000000001</v>
      </c>
      <c r="H3" t="s">
        <v>11</v>
      </c>
      <c r="I3">
        <f>12.7/20</f>
        <v>0.63500000000000001</v>
      </c>
      <c r="J3" t="s">
        <v>12</v>
      </c>
    </row>
    <row r="4" spans="1:11" x14ac:dyDescent="0.3">
      <c r="A4" t="s">
        <v>2</v>
      </c>
      <c r="B4">
        <v>68.58</v>
      </c>
      <c r="C4">
        <v>66.040000000000006</v>
      </c>
      <c r="D4">
        <f t="shared" ref="D4:D7" si="0">D3+E3</f>
        <v>20.050159999999998</v>
      </c>
      <c r="E4">
        <f>(5/2)*E3</f>
        <v>1.2700000000000001E-2</v>
      </c>
      <c r="F4">
        <v>0.63500000000000001</v>
      </c>
    </row>
    <row r="5" spans="1:11" x14ac:dyDescent="0.3">
      <c r="A5" t="s">
        <v>3</v>
      </c>
      <c r="B5">
        <v>68.58</v>
      </c>
      <c r="C5">
        <v>66.040000000000006</v>
      </c>
      <c r="D5">
        <f t="shared" si="0"/>
        <v>20.062859999999997</v>
      </c>
      <c r="E5">
        <f>2*E4</f>
        <v>2.5400000000000002E-2</v>
      </c>
      <c r="F5">
        <v>0.63500000000000001</v>
      </c>
    </row>
    <row r="6" spans="1:11" x14ac:dyDescent="0.3">
      <c r="A6" t="s">
        <v>4</v>
      </c>
      <c r="B6">
        <v>68.58</v>
      </c>
      <c r="C6">
        <v>66.040000000000006</v>
      </c>
      <c r="D6">
        <f t="shared" si="0"/>
        <v>20.088259999999998</v>
      </c>
      <c r="E6">
        <f>E5/2</f>
        <v>1.2700000000000001E-2</v>
      </c>
      <c r="F6">
        <v>0.63500000000000001</v>
      </c>
    </row>
    <row r="7" spans="1:11" x14ac:dyDescent="0.3">
      <c r="A7" t="s">
        <v>107</v>
      </c>
      <c r="B7">
        <v>68.58</v>
      </c>
      <c r="C7">
        <v>66.040000000000006</v>
      </c>
      <c r="D7">
        <f t="shared" si="0"/>
        <v>20.100959999999997</v>
      </c>
      <c r="E7">
        <f>2.5*E2</f>
        <v>1.2700000000000001E-2</v>
      </c>
      <c r="F7">
        <v>0.63500000000000001</v>
      </c>
      <c r="H7" t="s">
        <v>55</v>
      </c>
    </row>
    <row r="8" spans="1:11" x14ac:dyDescent="0.3">
      <c r="H8" t="s">
        <v>56</v>
      </c>
      <c r="I8" t="s">
        <v>57</v>
      </c>
      <c r="K8" t="s">
        <v>58</v>
      </c>
    </row>
    <row r="9" spans="1:11" x14ac:dyDescent="0.3">
      <c r="H9" t="s">
        <v>59</v>
      </c>
    </row>
    <row r="10" spans="1:11" x14ac:dyDescent="0.3">
      <c r="H10" t="s">
        <v>60</v>
      </c>
    </row>
    <row r="11" spans="1:11" x14ac:dyDescent="0.3">
      <c r="H11" t="s">
        <v>61</v>
      </c>
    </row>
    <row r="14" spans="1:11" x14ac:dyDescent="0.3">
      <c r="C14">
        <f>20.144668-0.00508</f>
        <v>20.139588</v>
      </c>
    </row>
    <row r="18" spans="3:10" x14ac:dyDescent="0.3">
      <c r="J18">
        <f>(3.767/2)^2*PI()*2*0.1</f>
        <v>2.2290053837358026</v>
      </c>
    </row>
    <row r="19" spans="3:10" x14ac:dyDescent="0.3">
      <c r="J19">
        <f>19.3646/J18</f>
        <v>8.6875519194776558</v>
      </c>
    </row>
    <row r="22" spans="3:10" x14ac:dyDescent="0.3">
      <c r="C22">
        <f>10*4/2</f>
        <v>20</v>
      </c>
    </row>
    <row r="23" spans="3:10" x14ac:dyDescent="0.3">
      <c r="C23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93BD6-8DDF-4997-8097-5F552A48C616}">
  <dimension ref="A2:L19"/>
  <sheetViews>
    <sheetView workbookViewId="0">
      <selection activeCell="A5" sqref="A5:J6"/>
    </sheetView>
  </sheetViews>
  <sheetFormatPr defaultRowHeight="14.4" x14ac:dyDescent="0.3"/>
  <cols>
    <col min="1" max="1" width="18.33203125" customWidth="1"/>
    <col min="4" max="4" width="11.77734375" customWidth="1"/>
  </cols>
  <sheetData>
    <row r="2" spans="1:12" ht="43.2" x14ac:dyDescent="0.3">
      <c r="B2" s="3" t="s">
        <v>25</v>
      </c>
      <c r="C2" s="3" t="s">
        <v>33</v>
      </c>
      <c r="D2" s="3" t="s">
        <v>79</v>
      </c>
      <c r="E2" s="3" t="s">
        <v>75</v>
      </c>
      <c r="F2" s="3" t="s">
        <v>83</v>
      </c>
      <c r="G2" s="3" t="s">
        <v>75</v>
      </c>
      <c r="H2" s="3" t="s">
        <v>83</v>
      </c>
      <c r="I2" s="3" t="s">
        <v>75</v>
      </c>
      <c r="J2" s="3" t="s">
        <v>83</v>
      </c>
      <c r="K2" s="3"/>
      <c r="L2" s="3"/>
    </row>
    <row r="3" spans="1:12" x14ac:dyDescent="0.3">
      <c r="A3" t="s">
        <v>77</v>
      </c>
      <c r="B3">
        <f>35.6</f>
        <v>35.6</v>
      </c>
      <c r="C3" t="s">
        <v>72</v>
      </c>
      <c r="D3" t="s">
        <v>95</v>
      </c>
      <c r="E3">
        <v>1377.63</v>
      </c>
      <c r="F3">
        <v>0.81699999999999995</v>
      </c>
      <c r="G3">
        <v>511</v>
      </c>
      <c r="H3">
        <v>0.87</v>
      </c>
    </row>
    <row r="4" spans="1:12" x14ac:dyDescent="0.3">
      <c r="A4" t="s">
        <v>78</v>
      </c>
      <c r="B4">
        <f>77.3</f>
        <v>77.3</v>
      </c>
      <c r="C4" t="s">
        <v>73</v>
      </c>
      <c r="D4" t="s">
        <v>96</v>
      </c>
      <c r="E4">
        <v>810.75930000000005</v>
      </c>
      <c r="F4">
        <v>0.99450000000000005</v>
      </c>
    </row>
    <row r="5" spans="1:12" x14ac:dyDescent="0.3">
      <c r="A5" t="s">
        <v>81</v>
      </c>
      <c r="B5">
        <f>54.29</f>
        <v>54.29</v>
      </c>
      <c r="C5" t="s">
        <v>74</v>
      </c>
      <c r="D5" t="s">
        <v>80</v>
      </c>
      <c r="E5">
        <v>416.9</v>
      </c>
      <c r="F5">
        <v>0.27200000000000002</v>
      </c>
      <c r="G5">
        <v>1097.28</v>
      </c>
      <c r="H5">
        <v>0.58499999999999996</v>
      </c>
      <c r="I5">
        <v>1293.56</v>
      </c>
      <c r="J5">
        <v>0.84799999999999998</v>
      </c>
    </row>
    <row r="6" spans="1:12" x14ac:dyDescent="0.3">
      <c r="A6" t="s">
        <v>82</v>
      </c>
      <c r="B6">
        <f>4.486</f>
        <v>4.4859999999999998</v>
      </c>
      <c r="C6" t="s">
        <v>72</v>
      </c>
      <c r="D6" t="s">
        <v>98</v>
      </c>
      <c r="E6">
        <v>336.24099999999999</v>
      </c>
      <c r="F6">
        <v>0.45900000000000002</v>
      </c>
    </row>
    <row r="7" spans="1:12" x14ac:dyDescent="0.3">
      <c r="A7" t="s">
        <v>86</v>
      </c>
      <c r="B7">
        <f>6.1669</f>
        <v>6.1669</v>
      </c>
      <c r="C7" t="s">
        <v>73</v>
      </c>
      <c r="D7" t="s">
        <v>97</v>
      </c>
      <c r="E7">
        <v>355.72</v>
      </c>
      <c r="F7">
        <v>0.87</v>
      </c>
      <c r="G7">
        <v>333.03</v>
      </c>
      <c r="H7">
        <v>0.22900000000000001</v>
      </c>
    </row>
    <row r="8" spans="1:12" x14ac:dyDescent="0.3">
      <c r="A8" t="s">
        <v>84</v>
      </c>
      <c r="B8">
        <f>2.6941</f>
        <v>2.6941000000000002</v>
      </c>
      <c r="C8" t="s">
        <v>73</v>
      </c>
      <c r="D8" t="s">
        <v>80</v>
      </c>
      <c r="E8">
        <v>411.8</v>
      </c>
      <c r="F8">
        <v>0.95620000000000005</v>
      </c>
    </row>
    <row r="9" spans="1:12" x14ac:dyDescent="0.3">
      <c r="A9" t="s">
        <v>89</v>
      </c>
      <c r="B9">
        <f>70.86</f>
        <v>70.86</v>
      </c>
      <c r="C9" t="s">
        <v>73</v>
      </c>
      <c r="D9" t="s">
        <v>99</v>
      </c>
      <c r="E9">
        <v>810.75930000000005</v>
      </c>
      <c r="F9">
        <v>0.99450000000000005</v>
      </c>
      <c r="G9">
        <v>511</v>
      </c>
      <c r="H9">
        <v>0.29799999999999999</v>
      </c>
    </row>
    <row r="10" spans="1:12" x14ac:dyDescent="0.3">
      <c r="A10" t="s">
        <v>85</v>
      </c>
      <c r="B10">
        <f>1925.28</f>
        <v>1925.28</v>
      </c>
      <c r="C10" t="s">
        <v>73</v>
      </c>
      <c r="D10" t="s">
        <v>80</v>
      </c>
      <c r="E10">
        <v>1173.229</v>
      </c>
      <c r="F10">
        <v>0.99850000000000005</v>
      </c>
      <c r="G10">
        <v>1332.492</v>
      </c>
      <c r="H10">
        <v>0.99982599999999999</v>
      </c>
    </row>
    <row r="11" spans="1:12" x14ac:dyDescent="0.3">
      <c r="A11" t="s">
        <v>87</v>
      </c>
      <c r="B11">
        <f>2.5789</f>
        <v>2.5789</v>
      </c>
      <c r="C11" t="s">
        <v>72</v>
      </c>
      <c r="D11" t="s">
        <v>100</v>
      </c>
      <c r="E11">
        <v>846.76930000000004</v>
      </c>
      <c r="F11">
        <v>0.98850000000000005</v>
      </c>
      <c r="G11">
        <v>1810.7260000000001</v>
      </c>
      <c r="H11">
        <v>0.26900000000000002</v>
      </c>
      <c r="I11">
        <v>3113.0920000000001</v>
      </c>
      <c r="J11">
        <v>0.14199999999999999</v>
      </c>
    </row>
    <row r="12" spans="1:12" x14ac:dyDescent="0.3">
      <c r="A12" t="s">
        <v>88</v>
      </c>
      <c r="B12">
        <v>24</v>
      </c>
      <c r="C12" t="s">
        <v>72</v>
      </c>
      <c r="D12" t="s">
        <v>80</v>
      </c>
      <c r="E12">
        <v>685.51</v>
      </c>
      <c r="F12">
        <v>0.33200000000000002</v>
      </c>
      <c r="G12">
        <v>479.43</v>
      </c>
      <c r="H12">
        <v>0.26600000000000001</v>
      </c>
    </row>
    <row r="13" spans="1:12" x14ac:dyDescent="0.3">
      <c r="A13" t="s">
        <v>90</v>
      </c>
      <c r="B13">
        <f>1925.28</f>
        <v>1925.28</v>
      </c>
      <c r="C13" t="s">
        <v>73</v>
      </c>
      <c r="D13" t="s">
        <v>103</v>
      </c>
      <c r="E13">
        <v>1173.229</v>
      </c>
      <c r="F13">
        <v>0.99850000000000005</v>
      </c>
      <c r="G13">
        <v>1332.492</v>
      </c>
      <c r="H13">
        <v>0.99982599999999999</v>
      </c>
    </row>
    <row r="15" spans="1:12" x14ac:dyDescent="0.3">
      <c r="A15" t="s">
        <v>91</v>
      </c>
      <c r="B15">
        <f>12.701</f>
        <v>12.701000000000001</v>
      </c>
      <c r="C15" t="s">
        <v>72</v>
      </c>
      <c r="D15" t="s">
        <v>80</v>
      </c>
      <c r="E15">
        <v>511</v>
      </c>
      <c r="F15">
        <v>0.35199999999999998</v>
      </c>
      <c r="G15" t="s">
        <v>101</v>
      </c>
      <c r="H15" t="s">
        <v>114</v>
      </c>
    </row>
    <row r="16" spans="1:12" x14ac:dyDescent="0.3">
      <c r="A16" t="s">
        <v>92</v>
      </c>
      <c r="B16">
        <f>12.701</f>
        <v>12.701000000000001</v>
      </c>
      <c r="C16" t="s">
        <v>72</v>
      </c>
      <c r="D16" t="s">
        <v>102</v>
      </c>
      <c r="E16">
        <v>511</v>
      </c>
      <c r="F16">
        <v>0.35199999999999998</v>
      </c>
    </row>
    <row r="17" spans="1:8" x14ac:dyDescent="0.3">
      <c r="A17" t="s">
        <v>76</v>
      </c>
      <c r="B17">
        <f>9.673</f>
        <v>9.673</v>
      </c>
      <c r="C17" t="s">
        <v>74</v>
      </c>
      <c r="D17" t="s">
        <v>101</v>
      </c>
      <c r="E17">
        <v>511</v>
      </c>
      <c r="F17">
        <v>1.9565999999999999</v>
      </c>
      <c r="G17" t="s">
        <v>101</v>
      </c>
      <c r="H17" t="s">
        <v>114</v>
      </c>
    </row>
    <row r="18" spans="1:8" x14ac:dyDescent="0.3">
      <c r="A18" t="s">
        <v>93</v>
      </c>
    </row>
    <row r="19" spans="1:8" x14ac:dyDescent="0.3">
      <c r="A19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84F67-CDEB-4327-85B1-77D4D7BEF97B}">
  <dimension ref="A1:L28"/>
  <sheetViews>
    <sheetView workbookViewId="0">
      <selection activeCell="I12" sqref="I12:I13"/>
    </sheetView>
  </sheetViews>
  <sheetFormatPr defaultRowHeight="14.4" x14ac:dyDescent="0.3"/>
  <cols>
    <col min="1" max="1" width="19.33203125" customWidth="1"/>
    <col min="3" max="3" width="12" bestFit="1" customWidth="1"/>
    <col min="4" max="4" width="16.5546875" bestFit="1" customWidth="1"/>
    <col min="11" max="11" width="10.33203125" bestFit="1" customWidth="1"/>
  </cols>
  <sheetData>
    <row r="1" spans="1:12" x14ac:dyDescent="0.3">
      <c r="A1" t="s">
        <v>14</v>
      </c>
      <c r="G1" t="s">
        <v>37</v>
      </c>
      <c r="I1" t="s">
        <v>37</v>
      </c>
      <c r="K1" t="s">
        <v>52</v>
      </c>
    </row>
    <row r="2" spans="1:12" x14ac:dyDescent="0.3">
      <c r="B2" t="s">
        <v>25</v>
      </c>
      <c r="C2" t="s">
        <v>27</v>
      </c>
      <c r="D2" t="s">
        <v>30</v>
      </c>
      <c r="E2" t="s">
        <v>32</v>
      </c>
      <c r="G2" t="s">
        <v>38</v>
      </c>
      <c r="I2" t="s">
        <v>42</v>
      </c>
      <c r="K2" t="s">
        <v>53</v>
      </c>
    </row>
    <row r="3" spans="1:12" x14ac:dyDescent="0.3">
      <c r="B3" t="s">
        <v>26</v>
      </c>
      <c r="C3" t="s">
        <v>28</v>
      </c>
      <c r="D3" t="s">
        <v>31</v>
      </c>
      <c r="E3" t="s">
        <v>33</v>
      </c>
      <c r="G3" t="s">
        <v>39</v>
      </c>
      <c r="H3" t="s">
        <v>44</v>
      </c>
      <c r="I3" t="s">
        <v>43</v>
      </c>
      <c r="K3" t="s">
        <v>54</v>
      </c>
      <c r="L3" t="s">
        <v>44</v>
      </c>
    </row>
    <row r="4" spans="1:12" x14ac:dyDescent="0.3">
      <c r="A4" t="s">
        <v>15</v>
      </c>
      <c r="B4">
        <f>78.41*60*60</f>
        <v>282275.99999999994</v>
      </c>
      <c r="C4">
        <f>LN(2)/B4</f>
        <v>2.4555654060562903E-6</v>
      </c>
      <c r="D4" s="1">
        <f>4*B4/(3600)</f>
        <v>313.63999999999993</v>
      </c>
      <c r="E4">
        <f>D4/24</f>
        <v>13.06833333333333</v>
      </c>
      <c r="G4" s="2">
        <v>0</v>
      </c>
      <c r="H4">
        <v>0</v>
      </c>
      <c r="I4" s="2">
        <v>0</v>
      </c>
      <c r="J4">
        <v>0</v>
      </c>
      <c r="K4" s="2">
        <f>I4*1.006*10^6</f>
        <v>0</v>
      </c>
      <c r="L4">
        <f>J4</f>
        <v>0</v>
      </c>
    </row>
    <row r="5" spans="1:12" x14ac:dyDescent="0.3">
      <c r="A5" t="s">
        <v>16</v>
      </c>
      <c r="B5">
        <f>35.6*60*60</f>
        <v>128160</v>
      </c>
      <c r="C5">
        <f t="shared" ref="C5:C14" si="0">LN(2)/B5</f>
        <v>5.4084517833953281E-6</v>
      </c>
      <c r="D5" s="1">
        <f t="shared" ref="D5:D14" si="1">4*B5/(3600)</f>
        <v>142.4</v>
      </c>
      <c r="E5">
        <f t="shared" ref="E5:E14" si="2">D5/24</f>
        <v>5.9333333333333336</v>
      </c>
      <c r="G5" s="2">
        <v>0</v>
      </c>
      <c r="H5">
        <v>0</v>
      </c>
      <c r="I5" s="2">
        <v>0</v>
      </c>
      <c r="J5">
        <v>0</v>
      </c>
      <c r="K5" s="2">
        <f t="shared" ref="K5:K14" si="3">I5*1.006*10^6</f>
        <v>0</v>
      </c>
      <c r="L5">
        <f t="shared" ref="L5:L14" si="4">J5</f>
        <v>0</v>
      </c>
    </row>
    <row r="6" spans="1:12" x14ac:dyDescent="0.3">
      <c r="A6" t="s">
        <v>17</v>
      </c>
      <c r="B6">
        <f>77.3*60*60*24</f>
        <v>6678720</v>
      </c>
      <c r="C6">
        <f t="shared" si="0"/>
        <v>1.0378443482582669E-7</v>
      </c>
      <c r="D6" s="1">
        <f t="shared" si="1"/>
        <v>7420.8</v>
      </c>
      <c r="E6">
        <f t="shared" si="2"/>
        <v>309.2</v>
      </c>
      <c r="G6" s="2">
        <v>4.5016500000000003E-6</v>
      </c>
      <c r="H6">
        <v>8.9999999999999993E-3</v>
      </c>
      <c r="I6" s="2">
        <v>4.5176200000000003E-6</v>
      </c>
      <c r="J6">
        <v>8.9999999999999993E-3</v>
      </c>
      <c r="K6" s="2">
        <f t="shared" si="3"/>
        <v>4.5447257199999997</v>
      </c>
      <c r="L6">
        <f t="shared" si="4"/>
        <v>8.9999999999999993E-3</v>
      </c>
    </row>
    <row r="7" spans="1:12" x14ac:dyDescent="0.3">
      <c r="A7" t="s">
        <v>18</v>
      </c>
      <c r="B7">
        <f>271.74*60*60*24</f>
        <v>23478336.000000004</v>
      </c>
      <c r="C7">
        <f t="shared" si="0"/>
        <v>2.9522840995202777E-8</v>
      </c>
      <c r="D7" s="1">
        <f t="shared" si="1"/>
        <v>26087.040000000005</v>
      </c>
      <c r="E7">
        <f t="shared" si="2"/>
        <v>1086.9600000000003</v>
      </c>
      <c r="G7" t="s">
        <v>45</v>
      </c>
      <c r="K7" s="2"/>
    </row>
    <row r="8" spans="1:12" x14ac:dyDescent="0.3">
      <c r="A8" t="s">
        <v>24</v>
      </c>
      <c r="B8">
        <f>54.29*60</f>
        <v>3257.4</v>
      </c>
      <c r="C8">
        <f t="shared" si="0"/>
        <v>2.1279154557620963E-4</v>
      </c>
      <c r="D8" s="1">
        <f t="shared" si="1"/>
        <v>3.6193333333333335</v>
      </c>
      <c r="E8">
        <f t="shared" si="2"/>
        <v>0.15080555555555555</v>
      </c>
      <c r="G8" s="2">
        <v>4.2724900000000003E-3</v>
      </c>
      <c r="H8">
        <v>6.0000000000000001E-3</v>
      </c>
      <c r="I8" s="2">
        <v>4.3068100000000003E-3</v>
      </c>
      <c r="J8">
        <v>5.8999999999999999E-3</v>
      </c>
      <c r="K8" s="2">
        <f t="shared" si="3"/>
        <v>4332.6508600000006</v>
      </c>
      <c r="L8">
        <f t="shared" si="4"/>
        <v>5.8999999999999999E-3</v>
      </c>
    </row>
    <row r="9" spans="1:12" x14ac:dyDescent="0.3">
      <c r="A9" t="s">
        <v>19</v>
      </c>
      <c r="B9">
        <f>4.486*60*60</f>
        <v>16149.599999999999</v>
      </c>
      <c r="C9">
        <f t="shared" si="0"/>
        <v>4.2920393109423474E-5</v>
      </c>
      <c r="D9" s="1">
        <f t="shared" si="1"/>
        <v>17.943999999999999</v>
      </c>
      <c r="E9">
        <f t="shared" si="2"/>
        <v>0.74766666666666659</v>
      </c>
      <c r="G9" s="2">
        <v>3.88822E-6</v>
      </c>
      <c r="H9">
        <v>7.4000000000000003E-3</v>
      </c>
      <c r="I9" s="2">
        <v>3.9041399999999999E-6</v>
      </c>
      <c r="J9">
        <v>7.4000000000000003E-3</v>
      </c>
      <c r="K9" s="2">
        <f t="shared" si="3"/>
        <v>3.9275648399999996</v>
      </c>
      <c r="L9">
        <f t="shared" si="4"/>
        <v>7.4000000000000003E-3</v>
      </c>
    </row>
    <row r="10" spans="1:12" x14ac:dyDescent="0.3">
      <c r="A10" t="s">
        <v>20</v>
      </c>
      <c r="B10">
        <f>6.1669*60*60*24</f>
        <v>532820.16</v>
      </c>
      <c r="C10">
        <f t="shared" si="0"/>
        <v>1.3009026921202555E-6</v>
      </c>
      <c r="D10" s="1">
        <f t="shared" si="1"/>
        <v>592.02240000000006</v>
      </c>
      <c r="E10">
        <f t="shared" si="2"/>
        <v>24.667600000000004</v>
      </c>
      <c r="G10" s="2">
        <v>1.97787E-7</v>
      </c>
      <c r="H10">
        <v>4.2599999999999999E-2</v>
      </c>
      <c r="I10" s="2">
        <v>1.9780000000000001E-7</v>
      </c>
      <c r="J10">
        <v>4.2599999999999999E-2</v>
      </c>
      <c r="K10" s="2">
        <f t="shared" si="3"/>
        <v>0.19898680000000002</v>
      </c>
      <c r="L10">
        <f t="shared" si="4"/>
        <v>4.2599999999999999E-2</v>
      </c>
    </row>
    <row r="11" spans="1:12" x14ac:dyDescent="0.3">
      <c r="A11" t="s">
        <v>23</v>
      </c>
      <c r="B11">
        <f>2.6941*24*60*60</f>
        <v>232770.24</v>
      </c>
      <c r="C11">
        <f t="shared" si="0"/>
        <v>2.9778170120026741E-6</v>
      </c>
      <c r="D11" s="1">
        <f t="shared" si="1"/>
        <v>258.6336</v>
      </c>
      <c r="E11">
        <f t="shared" si="2"/>
        <v>10.776400000000001</v>
      </c>
      <c r="G11" s="2">
        <v>4.3278400000000003E-3</v>
      </c>
      <c r="H11">
        <v>8.3999999999999995E-3</v>
      </c>
      <c r="I11" s="2">
        <v>4.3823600000000001E-3</v>
      </c>
      <c r="J11">
        <v>8.3000000000000001E-3</v>
      </c>
      <c r="K11" s="2">
        <f t="shared" si="3"/>
        <v>4408.65416</v>
      </c>
      <c r="L11">
        <f t="shared" si="4"/>
        <v>8.3000000000000001E-3</v>
      </c>
    </row>
    <row r="12" spans="1:12" x14ac:dyDescent="0.3">
      <c r="A12" t="s">
        <v>46</v>
      </c>
      <c r="D12" s="1"/>
      <c r="G12" s="2">
        <v>2.2802500000000001E-7</v>
      </c>
      <c r="H12">
        <v>1.2E-2</v>
      </c>
      <c r="I12" s="2">
        <v>2.28206E-7</v>
      </c>
      <c r="J12">
        <v>1.2E-2</v>
      </c>
      <c r="K12" s="2">
        <f t="shared" si="3"/>
        <v>0.22957523599999999</v>
      </c>
      <c r="L12">
        <f t="shared" si="4"/>
        <v>1.2E-2</v>
      </c>
    </row>
    <row r="13" spans="1:12" x14ac:dyDescent="0.3">
      <c r="A13" t="s">
        <v>21</v>
      </c>
      <c r="B13">
        <f>14.997*60*60</f>
        <v>53989.2</v>
      </c>
      <c r="C13">
        <f t="shared" si="0"/>
        <v>1.2838626624583163E-5</v>
      </c>
      <c r="D13" s="1">
        <f t="shared" si="1"/>
        <v>59.988</v>
      </c>
      <c r="E13">
        <f t="shared" si="2"/>
        <v>2.4994999999999998</v>
      </c>
      <c r="G13" s="2">
        <v>6.0026100000000003E-8</v>
      </c>
      <c r="H13">
        <v>2.0500000000000001E-2</v>
      </c>
      <c r="I13" s="2">
        <v>6.0001799999999999E-8</v>
      </c>
      <c r="J13">
        <v>2.0500000000000001E-2</v>
      </c>
      <c r="K13" s="2">
        <f t="shared" si="3"/>
        <v>6.0361810799999992E-2</v>
      </c>
      <c r="L13">
        <f t="shared" si="4"/>
        <v>2.0500000000000001E-2</v>
      </c>
    </row>
    <row r="14" spans="1:12" x14ac:dyDescent="0.3">
      <c r="A14" t="s">
        <v>22</v>
      </c>
      <c r="B14">
        <f>24*60*60</f>
        <v>86400</v>
      </c>
      <c r="C14">
        <f t="shared" si="0"/>
        <v>8.0225368120364038E-6</v>
      </c>
      <c r="D14" s="1">
        <f t="shared" si="1"/>
        <v>96</v>
      </c>
      <c r="E14">
        <f t="shared" si="2"/>
        <v>4</v>
      </c>
      <c r="G14" s="2">
        <v>5.4107600000000004E-4</v>
      </c>
      <c r="H14">
        <v>1.0800000000000001E-2</v>
      </c>
      <c r="I14" s="2">
        <v>5.4651199999999997E-4</v>
      </c>
      <c r="J14">
        <v>1.0699999999999999E-2</v>
      </c>
      <c r="K14" s="2">
        <f t="shared" si="3"/>
        <v>549.79107199999987</v>
      </c>
      <c r="L14">
        <f t="shared" si="4"/>
        <v>1.0699999999999999E-2</v>
      </c>
    </row>
    <row r="15" spans="1:12" x14ac:dyDescent="0.3">
      <c r="A15" t="s">
        <v>40</v>
      </c>
      <c r="B15">
        <f>6.1669*60*60*24</f>
        <v>532820.16</v>
      </c>
      <c r="C15">
        <f t="shared" ref="C15:C16" si="5">LN(2)/B15</f>
        <v>1.3009026921202555E-6</v>
      </c>
      <c r="D15" s="1">
        <f t="shared" ref="D15:D16" si="6">4*B15/(3600)</f>
        <v>592.02240000000006</v>
      </c>
      <c r="E15">
        <f t="shared" ref="E15:E16" si="7">D15/24</f>
        <v>24.667600000000004</v>
      </c>
      <c r="G15" s="2">
        <v>2.00845E-7</v>
      </c>
      <c r="H15">
        <v>5.1200000000000002E-2</v>
      </c>
      <c r="I15" s="2">
        <v>1.9999000000000001E-7</v>
      </c>
      <c r="J15">
        <v>5.1400000000000001E-2</v>
      </c>
      <c r="K15" s="2"/>
    </row>
    <row r="16" spans="1:12" x14ac:dyDescent="0.3">
      <c r="A16" t="s">
        <v>41</v>
      </c>
      <c r="B16">
        <f>2.6941*24*60*60</f>
        <v>232770.24</v>
      </c>
      <c r="C16">
        <f t="shared" si="5"/>
        <v>2.9778170120026741E-6</v>
      </c>
      <c r="D16" s="1">
        <f t="shared" si="6"/>
        <v>258.6336</v>
      </c>
      <c r="E16">
        <f t="shared" si="7"/>
        <v>10.776400000000001</v>
      </c>
      <c r="G16" s="2">
        <v>4.4166700000000001E-3</v>
      </c>
      <c r="H16">
        <v>7.6E-3</v>
      </c>
      <c r="I16" s="2">
        <v>4.4940500000000003E-3</v>
      </c>
      <c r="J16">
        <v>7.6E-3</v>
      </c>
      <c r="K16" s="2"/>
    </row>
    <row r="18" spans="1:1" x14ac:dyDescent="0.3">
      <c r="A18" t="s">
        <v>29</v>
      </c>
    </row>
    <row r="19" spans="1:1" x14ac:dyDescent="0.3">
      <c r="A19" t="s">
        <v>34</v>
      </c>
    </row>
    <row r="20" spans="1:1" x14ac:dyDescent="0.3">
      <c r="A20" t="s">
        <v>35</v>
      </c>
    </row>
    <row r="21" spans="1:1" x14ac:dyDescent="0.3">
      <c r="A21" t="s">
        <v>36</v>
      </c>
    </row>
    <row r="23" spans="1:1" x14ac:dyDescent="0.3">
      <c r="A23" t="s">
        <v>47</v>
      </c>
    </row>
    <row r="25" spans="1:1" x14ac:dyDescent="0.3">
      <c r="A25" t="s">
        <v>48</v>
      </c>
    </row>
    <row r="26" spans="1:1" x14ac:dyDescent="0.3">
      <c r="A26" t="s">
        <v>49</v>
      </c>
    </row>
    <row r="27" spans="1:1" x14ac:dyDescent="0.3">
      <c r="A27" t="s">
        <v>50</v>
      </c>
    </row>
    <row r="28" spans="1:1" x14ac:dyDescent="0.3">
      <c r="A28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8E49-9CAC-4891-8D2F-A98B1ACB27E4}">
  <dimension ref="A2:L18"/>
  <sheetViews>
    <sheetView workbookViewId="0">
      <selection activeCell="A2" sqref="A2:J18"/>
    </sheetView>
  </sheetViews>
  <sheetFormatPr defaultRowHeight="14.4" x14ac:dyDescent="0.3"/>
  <cols>
    <col min="1" max="1" width="18.33203125" customWidth="1"/>
    <col min="4" max="4" width="11.77734375" customWidth="1"/>
  </cols>
  <sheetData>
    <row r="2" spans="1:12" ht="43.2" x14ac:dyDescent="0.3">
      <c r="B2" s="3" t="s">
        <v>25</v>
      </c>
      <c r="C2" s="3" t="s">
        <v>33</v>
      </c>
      <c r="D2" s="3" t="s">
        <v>79</v>
      </c>
      <c r="E2" s="3" t="s">
        <v>75</v>
      </c>
      <c r="F2" s="3" t="s">
        <v>83</v>
      </c>
      <c r="G2" s="3" t="s">
        <v>75</v>
      </c>
      <c r="H2" s="3" t="s">
        <v>83</v>
      </c>
      <c r="I2" s="3" t="s">
        <v>75</v>
      </c>
      <c r="J2" s="3" t="s">
        <v>83</v>
      </c>
      <c r="K2" s="3"/>
      <c r="L2" s="3"/>
    </row>
    <row r="3" spans="1:12" x14ac:dyDescent="0.3">
      <c r="A3" t="s">
        <v>77</v>
      </c>
      <c r="B3">
        <f>35.6</f>
        <v>35.6</v>
      </c>
      <c r="C3" t="s">
        <v>72</v>
      </c>
      <c r="D3" t="s">
        <v>95</v>
      </c>
      <c r="E3">
        <v>1377.63</v>
      </c>
      <c r="F3">
        <v>0.81699999999999995</v>
      </c>
      <c r="G3">
        <v>511</v>
      </c>
      <c r="H3">
        <v>0.87</v>
      </c>
    </row>
    <row r="4" spans="1:12" x14ac:dyDescent="0.3">
      <c r="A4" t="s">
        <v>78</v>
      </c>
      <c r="B4">
        <f>77.3</f>
        <v>77.3</v>
      </c>
      <c r="C4" t="s">
        <v>73</v>
      </c>
      <c r="D4" t="s">
        <v>96</v>
      </c>
      <c r="E4">
        <v>810.75930000000005</v>
      </c>
      <c r="F4">
        <v>0.99450000000000005</v>
      </c>
    </row>
    <row r="5" spans="1:12" x14ac:dyDescent="0.3">
      <c r="A5" t="s">
        <v>116</v>
      </c>
      <c r="B5">
        <v>9.4580000000000002</v>
      </c>
      <c r="C5" t="s">
        <v>74</v>
      </c>
      <c r="E5">
        <v>843.76</v>
      </c>
      <c r="F5">
        <v>0.71799999999999997</v>
      </c>
      <c r="G5">
        <v>1014.52</v>
      </c>
      <c r="H5">
        <v>0.28199999999999997</v>
      </c>
    </row>
    <row r="6" spans="1:12" x14ac:dyDescent="0.3">
      <c r="A6" t="s">
        <v>117</v>
      </c>
      <c r="B6">
        <v>14.997</v>
      </c>
      <c r="C6" t="s">
        <v>72</v>
      </c>
      <c r="E6">
        <v>1368.6</v>
      </c>
      <c r="F6">
        <v>0.99993600000000005</v>
      </c>
      <c r="G6">
        <v>2754</v>
      </c>
      <c r="H6">
        <v>0.99855000000000005</v>
      </c>
    </row>
    <row r="7" spans="1:12" x14ac:dyDescent="0.3">
      <c r="A7" t="s">
        <v>86</v>
      </c>
      <c r="B7">
        <f>6.1669</f>
        <v>6.1669</v>
      </c>
      <c r="C7" t="s">
        <v>73</v>
      </c>
      <c r="D7" t="s">
        <v>97</v>
      </c>
      <c r="E7">
        <v>355.72</v>
      </c>
      <c r="F7">
        <v>0.87</v>
      </c>
      <c r="G7">
        <v>333.03</v>
      </c>
      <c r="H7">
        <v>0.22900000000000001</v>
      </c>
    </row>
    <row r="8" spans="1:12" x14ac:dyDescent="0.3">
      <c r="A8" t="s">
        <v>84</v>
      </c>
      <c r="B8">
        <f>2.6941</f>
        <v>2.6941000000000002</v>
      </c>
      <c r="C8" t="s">
        <v>73</v>
      </c>
      <c r="D8" t="s">
        <v>80</v>
      </c>
      <c r="E8">
        <v>411.8</v>
      </c>
      <c r="F8">
        <v>0.95620000000000005</v>
      </c>
    </row>
    <row r="9" spans="1:12" x14ac:dyDescent="0.3">
      <c r="A9" t="s">
        <v>118</v>
      </c>
      <c r="B9">
        <v>2.5789</v>
      </c>
      <c r="C9" t="s">
        <v>72</v>
      </c>
      <c r="D9" t="s">
        <v>80</v>
      </c>
      <c r="E9">
        <v>846.8</v>
      </c>
      <c r="F9">
        <v>0.98850000000000005</v>
      </c>
    </row>
    <row r="10" spans="1:12" x14ac:dyDescent="0.3">
      <c r="A10" t="s">
        <v>119</v>
      </c>
      <c r="B10">
        <v>114.74</v>
      </c>
      <c r="C10" t="s">
        <v>73</v>
      </c>
      <c r="D10" t="s">
        <v>80</v>
      </c>
      <c r="E10">
        <v>1121.29</v>
      </c>
      <c r="F10">
        <v>0.35239999999999999</v>
      </c>
      <c r="G10">
        <v>1221.395</v>
      </c>
      <c r="H10">
        <v>0.27229999999999999</v>
      </c>
    </row>
    <row r="11" spans="1:12" x14ac:dyDescent="0.3">
      <c r="A11" t="s">
        <v>120</v>
      </c>
      <c r="B11">
        <v>8.51</v>
      </c>
      <c r="C11" t="s">
        <v>74</v>
      </c>
      <c r="E11">
        <v>511</v>
      </c>
      <c r="F11">
        <v>1.94</v>
      </c>
      <c r="G11">
        <v>377.9</v>
      </c>
      <c r="H11">
        <v>0.42</v>
      </c>
    </row>
    <row r="12" spans="1:12" x14ac:dyDescent="0.3">
      <c r="A12" t="s">
        <v>121</v>
      </c>
      <c r="B12">
        <v>312.2</v>
      </c>
      <c r="C12" t="s">
        <v>73</v>
      </c>
      <c r="E12">
        <v>834.84799999999996</v>
      </c>
      <c r="F12">
        <v>0.99975999999999998</v>
      </c>
    </row>
    <row r="13" spans="1:12" x14ac:dyDescent="0.3">
      <c r="A13" t="s">
        <v>122</v>
      </c>
      <c r="B13">
        <v>27.702500000000001</v>
      </c>
      <c r="C13" t="s">
        <v>73</v>
      </c>
      <c r="E13">
        <v>320.08240000000001</v>
      </c>
      <c r="F13">
        <v>9.0999999999999998E-2</v>
      </c>
    </row>
    <row r="14" spans="1:12" x14ac:dyDescent="0.3">
      <c r="A14" t="s">
        <v>123</v>
      </c>
      <c r="B14">
        <v>2.5789</v>
      </c>
      <c r="C14" t="s">
        <v>72</v>
      </c>
      <c r="E14">
        <v>846.76379999999995</v>
      </c>
      <c r="F14">
        <v>0.99850000000000005</v>
      </c>
      <c r="G14">
        <v>1810.7260000000001</v>
      </c>
      <c r="H14">
        <v>0.26900000000000002</v>
      </c>
    </row>
    <row r="15" spans="1:12" x14ac:dyDescent="0.3">
      <c r="A15" t="s">
        <v>124</v>
      </c>
      <c r="B15">
        <v>44.494999999999997</v>
      </c>
      <c r="C15" t="s">
        <v>73</v>
      </c>
      <c r="D15" t="s">
        <v>80</v>
      </c>
      <c r="E15">
        <v>1099.2449999999999</v>
      </c>
      <c r="F15">
        <v>0.56499999999999995</v>
      </c>
      <c r="G15">
        <v>1291.5899999999999</v>
      </c>
      <c r="H15">
        <v>0.432</v>
      </c>
    </row>
    <row r="16" spans="1:12" x14ac:dyDescent="0.3">
      <c r="A16" t="s">
        <v>88</v>
      </c>
      <c r="B16">
        <v>24</v>
      </c>
      <c r="C16" t="s">
        <v>72</v>
      </c>
      <c r="D16" t="s">
        <v>80</v>
      </c>
      <c r="E16">
        <v>685.51</v>
      </c>
      <c r="F16">
        <v>0.33200000000000002</v>
      </c>
      <c r="G16">
        <v>479.43</v>
      </c>
      <c r="H16">
        <v>0.26600000000000001</v>
      </c>
    </row>
    <row r="17" spans="1:10" x14ac:dyDescent="0.3">
      <c r="A17" t="s">
        <v>81</v>
      </c>
      <c r="B17">
        <f>54.29</f>
        <v>54.29</v>
      </c>
      <c r="C17" t="s">
        <v>74</v>
      </c>
      <c r="D17" t="s">
        <v>80</v>
      </c>
      <c r="E17">
        <v>416.9</v>
      </c>
      <c r="F17">
        <v>0.27200000000000002</v>
      </c>
      <c r="G17">
        <v>1097.28</v>
      </c>
      <c r="H17">
        <v>0.58499999999999996</v>
      </c>
      <c r="I17">
        <v>1293.56</v>
      </c>
      <c r="J17">
        <v>0.84799999999999998</v>
      </c>
    </row>
    <row r="18" spans="1:10" x14ac:dyDescent="0.3">
      <c r="A18" t="s">
        <v>82</v>
      </c>
      <c r="B18">
        <f>4.486</f>
        <v>4.4859999999999998</v>
      </c>
      <c r="C18" t="s">
        <v>72</v>
      </c>
      <c r="D18" t="s">
        <v>98</v>
      </c>
      <c r="E18">
        <v>336.24099999999999</v>
      </c>
      <c r="F18">
        <v>0.45900000000000002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100A-157F-4B3D-88ED-48943F21C726}">
  <dimension ref="A1:O30"/>
  <sheetViews>
    <sheetView topLeftCell="A2" workbookViewId="0">
      <selection activeCell="B20" sqref="B20"/>
    </sheetView>
  </sheetViews>
  <sheetFormatPr defaultRowHeight="14.4" x14ac:dyDescent="0.3"/>
  <cols>
    <col min="1" max="2" width="19.33203125" customWidth="1"/>
    <col min="3" max="3" width="10" bestFit="1" customWidth="1"/>
    <col min="4" max="4" width="12" bestFit="1" customWidth="1"/>
    <col min="5" max="5" width="16.5546875" bestFit="1" customWidth="1"/>
    <col min="12" max="12" width="10.33203125" bestFit="1" customWidth="1"/>
  </cols>
  <sheetData>
    <row r="1" spans="1:15" x14ac:dyDescent="0.3">
      <c r="A1" t="s">
        <v>14</v>
      </c>
      <c r="H1" t="s">
        <v>37</v>
      </c>
      <c r="J1" t="s">
        <v>37</v>
      </c>
      <c r="L1" t="s">
        <v>52</v>
      </c>
    </row>
    <row r="2" spans="1:15" x14ac:dyDescent="0.3">
      <c r="B2" t="s">
        <v>110</v>
      </c>
      <c r="C2" t="s">
        <v>25</v>
      </c>
      <c r="D2" t="s">
        <v>27</v>
      </c>
      <c r="E2" t="s">
        <v>30</v>
      </c>
      <c r="F2" t="s">
        <v>32</v>
      </c>
      <c r="J2" t="s">
        <v>42</v>
      </c>
      <c r="L2" t="s">
        <v>115</v>
      </c>
    </row>
    <row r="3" spans="1:15" x14ac:dyDescent="0.3">
      <c r="B3" t="s">
        <v>73</v>
      </c>
      <c r="C3" t="s">
        <v>26</v>
      </c>
      <c r="D3" t="s">
        <v>28</v>
      </c>
      <c r="E3" t="s">
        <v>31</v>
      </c>
      <c r="F3" t="s">
        <v>33</v>
      </c>
      <c r="J3" t="s">
        <v>43</v>
      </c>
      <c r="M3" t="s">
        <v>44</v>
      </c>
    </row>
    <row r="4" spans="1:15" x14ac:dyDescent="0.3">
      <c r="A4" t="s">
        <v>16</v>
      </c>
      <c r="B4" s="4">
        <f>C4/(60*60*24)</f>
        <v>1.4833333333333334</v>
      </c>
      <c r="C4">
        <f>35.6*60*60</f>
        <v>128160</v>
      </c>
      <c r="D4">
        <f t="shared" ref="D4:D18" si="0">LN(2)/C4</f>
        <v>5.4084517833953281E-6</v>
      </c>
      <c r="E4" s="1">
        <f t="shared" ref="E4:E13" si="1">4*C4/(3600)</f>
        <v>142.4</v>
      </c>
      <c r="F4">
        <f t="shared" ref="F4:F13" si="2">E4/24</f>
        <v>5.9333333333333336</v>
      </c>
      <c r="H4" s="2"/>
      <c r="J4" s="2">
        <v>0</v>
      </c>
      <c r="K4">
        <v>0</v>
      </c>
      <c r="L4" s="2">
        <f>J4*1.006*10^7</f>
        <v>0</v>
      </c>
      <c r="M4">
        <f t="shared" ref="M4:M13" si="3">K4</f>
        <v>0</v>
      </c>
      <c r="N4" s="2">
        <f>L4*D4</f>
        <v>0</v>
      </c>
    </row>
    <row r="5" spans="1:15" x14ac:dyDescent="0.3">
      <c r="A5" t="s">
        <v>17</v>
      </c>
      <c r="B5" s="4">
        <f t="shared" ref="B5:B14" si="4">C5/(60*60*24)</f>
        <v>77.3</v>
      </c>
      <c r="C5">
        <f>77.3*60*60*24</f>
        <v>6678720</v>
      </c>
      <c r="D5">
        <f t="shared" si="0"/>
        <v>1.0378443482582669E-7</v>
      </c>
      <c r="E5" s="1">
        <f t="shared" si="1"/>
        <v>7420.8</v>
      </c>
      <c r="F5">
        <f t="shared" si="2"/>
        <v>309.2</v>
      </c>
      <c r="H5" s="2"/>
      <c r="J5" s="2">
        <v>4.5176200000000003E-6</v>
      </c>
      <c r="K5">
        <v>8.9999999999999993E-3</v>
      </c>
      <c r="L5" s="2">
        <f t="shared" ref="L5:L13" si="5">J5*1.006*10^7</f>
        <v>45.447257200000003</v>
      </c>
      <c r="M5">
        <f t="shared" si="3"/>
        <v>8.9999999999999993E-3</v>
      </c>
      <c r="N5" s="2">
        <f t="shared" ref="N5:N13" si="6">L5*D5</f>
        <v>4.7167179028859829E-6</v>
      </c>
    </row>
    <row r="6" spans="1:15" x14ac:dyDescent="0.3">
      <c r="A6" t="s">
        <v>24</v>
      </c>
      <c r="B6" s="4">
        <f t="shared" si="4"/>
        <v>3.7701388888888888E-2</v>
      </c>
      <c r="C6">
        <f>54.29*60</f>
        <v>3257.4</v>
      </c>
      <c r="D6">
        <f t="shared" si="0"/>
        <v>2.1279154557620963E-4</v>
      </c>
      <c r="E6" s="1">
        <f t="shared" si="1"/>
        <v>3.6193333333333335</v>
      </c>
      <c r="F6">
        <f t="shared" si="2"/>
        <v>0.15080555555555555</v>
      </c>
      <c r="G6">
        <f>PI()*(0.635)^2*(0.002)*2.54</f>
        <v>6.435184984538221E-3</v>
      </c>
      <c r="H6" s="2"/>
      <c r="J6" s="2">
        <v>4.3068100000000003E-3</v>
      </c>
      <c r="K6">
        <v>5.8999999999999999E-3</v>
      </c>
      <c r="L6" s="2">
        <f>J6*1.006*10^7</f>
        <v>43326.508600000001</v>
      </c>
      <c r="M6">
        <f t="shared" si="3"/>
        <v>5.8999999999999999E-3</v>
      </c>
      <c r="N6" s="2">
        <f t="shared" si="6"/>
        <v>9.2195147294149393</v>
      </c>
      <c r="O6" s="2">
        <f>L6*G6</f>
        <v>278.81409757518611</v>
      </c>
    </row>
    <row r="7" spans="1:15" x14ac:dyDescent="0.3">
      <c r="A7" t="s">
        <v>19</v>
      </c>
      <c r="B7" s="4">
        <f t="shared" si="4"/>
        <v>0.18691666666666665</v>
      </c>
      <c r="C7">
        <f>4.486*60*60</f>
        <v>16149.599999999999</v>
      </c>
      <c r="D7">
        <f t="shared" si="0"/>
        <v>4.2920393109423474E-5</v>
      </c>
      <c r="E7" s="1">
        <f t="shared" si="1"/>
        <v>17.943999999999999</v>
      </c>
      <c r="F7">
        <f t="shared" si="2"/>
        <v>0.74766666666666659</v>
      </c>
      <c r="H7" s="2"/>
      <c r="J7" s="2">
        <v>3.9041399999999999E-6</v>
      </c>
      <c r="K7">
        <v>7.4000000000000003E-3</v>
      </c>
      <c r="L7" s="2">
        <f t="shared" si="5"/>
        <v>39.275648400000001</v>
      </c>
      <c r="M7">
        <f t="shared" si="3"/>
        <v>7.4000000000000003E-3</v>
      </c>
      <c r="N7" s="2">
        <f t="shared" si="6"/>
        <v>1.6857262689554992E-3</v>
      </c>
    </row>
    <row r="8" spans="1:15" x14ac:dyDescent="0.3">
      <c r="A8" t="s">
        <v>20</v>
      </c>
      <c r="B8" s="4">
        <f t="shared" si="4"/>
        <v>6.1669</v>
      </c>
      <c r="C8">
        <f>6.1669*60*60*24</f>
        <v>532820.16</v>
      </c>
      <c r="D8">
        <f t="shared" si="0"/>
        <v>1.3009026921202555E-6</v>
      </c>
      <c r="E8" s="1">
        <f t="shared" si="1"/>
        <v>592.02240000000006</v>
      </c>
      <c r="F8">
        <f t="shared" si="2"/>
        <v>24.667600000000004</v>
      </c>
      <c r="H8" s="2"/>
      <c r="J8" s="2">
        <v>1.9780000000000001E-7</v>
      </c>
      <c r="K8">
        <v>4.2599999999999999E-2</v>
      </c>
      <c r="L8" s="2">
        <f t="shared" si="5"/>
        <v>1.9898680000000002</v>
      </c>
      <c r="M8">
        <f t="shared" si="3"/>
        <v>4.2599999999999999E-2</v>
      </c>
      <c r="N8" s="2">
        <f t="shared" si="6"/>
        <v>2.588624638163949E-6</v>
      </c>
    </row>
    <row r="9" spans="1:15" x14ac:dyDescent="0.3">
      <c r="A9" t="s">
        <v>23</v>
      </c>
      <c r="B9" s="4">
        <f t="shared" si="4"/>
        <v>2.6940999999999997</v>
      </c>
      <c r="C9">
        <f>2.6941*24*60*60</f>
        <v>232770.24</v>
      </c>
      <c r="D9">
        <f t="shared" si="0"/>
        <v>2.9778170120026741E-6</v>
      </c>
      <c r="E9" s="1">
        <f t="shared" si="1"/>
        <v>258.6336</v>
      </c>
      <c r="F9">
        <f t="shared" si="2"/>
        <v>10.776400000000001</v>
      </c>
      <c r="H9" s="2"/>
      <c r="J9" s="2">
        <v>4.3823600000000001E-3</v>
      </c>
      <c r="K9">
        <v>8.3000000000000001E-3</v>
      </c>
      <c r="L9" s="2">
        <f t="shared" si="5"/>
        <v>44086.541599999997</v>
      </c>
      <c r="M9">
        <f t="shared" si="3"/>
        <v>8.3000000000000001E-3</v>
      </c>
      <c r="N9" s="2">
        <f t="shared" si="6"/>
        <v>0.13128165357684357</v>
      </c>
    </row>
    <row r="10" spans="1:15" x14ac:dyDescent="0.3">
      <c r="A10" t="s">
        <v>63</v>
      </c>
      <c r="B10" s="4">
        <f t="shared" si="4"/>
        <v>70.860000000000014</v>
      </c>
      <c r="C10">
        <f>70.86*60*60*24</f>
        <v>6122304.0000000009</v>
      </c>
      <c r="D10">
        <f t="shared" si="0"/>
        <v>1.1321672046339828E-7</v>
      </c>
      <c r="E10" s="1"/>
      <c r="H10" s="2"/>
      <c r="J10" s="2"/>
      <c r="L10" s="2">
        <f t="shared" si="5"/>
        <v>0</v>
      </c>
      <c r="N10" s="2">
        <f t="shared" si="6"/>
        <v>0</v>
      </c>
    </row>
    <row r="11" spans="1:15" x14ac:dyDescent="0.3">
      <c r="A11" t="s">
        <v>64</v>
      </c>
      <c r="B11" s="4">
        <f t="shared" si="4"/>
        <v>1925.28</v>
      </c>
      <c r="C11">
        <f>1925.28*24*60*60</f>
        <v>166344192</v>
      </c>
      <c r="D11">
        <f t="shared" si="0"/>
        <v>4.166945489506152E-9</v>
      </c>
      <c r="E11" s="1"/>
      <c r="H11" s="2"/>
      <c r="J11" s="2"/>
      <c r="L11" s="2">
        <f t="shared" si="5"/>
        <v>0</v>
      </c>
      <c r="N11" s="2">
        <f t="shared" si="6"/>
        <v>0</v>
      </c>
    </row>
    <row r="12" spans="1:15" x14ac:dyDescent="0.3">
      <c r="A12" t="s">
        <v>65</v>
      </c>
      <c r="B12" s="4">
        <f t="shared" si="4"/>
        <v>0.10745416666666667</v>
      </c>
      <c r="C12">
        <f>2.5789*60*60</f>
        <v>9284.0400000000009</v>
      </c>
      <c r="D12">
        <f t="shared" si="0"/>
        <v>7.4660081231871605E-5</v>
      </c>
      <c r="E12" s="1"/>
      <c r="H12" s="2"/>
      <c r="J12" s="2"/>
      <c r="L12" s="2">
        <f t="shared" si="5"/>
        <v>0</v>
      </c>
      <c r="N12" s="2">
        <f t="shared" si="6"/>
        <v>0</v>
      </c>
    </row>
    <row r="13" spans="1:15" x14ac:dyDescent="0.3">
      <c r="A13" t="s">
        <v>22</v>
      </c>
      <c r="B13" s="4">
        <f t="shared" si="4"/>
        <v>1</v>
      </c>
      <c r="C13">
        <f>24*60*60</f>
        <v>86400</v>
      </c>
      <c r="D13">
        <f t="shared" si="0"/>
        <v>8.0225368120364038E-6</v>
      </c>
      <c r="E13" s="1">
        <f t="shared" si="1"/>
        <v>96</v>
      </c>
      <c r="F13">
        <f t="shared" si="2"/>
        <v>4</v>
      </c>
      <c r="H13" s="2"/>
      <c r="J13" s="2">
        <v>5.4651199999999997E-4</v>
      </c>
      <c r="K13">
        <v>1.0699999999999999E-2</v>
      </c>
      <c r="L13" s="2">
        <f t="shared" si="5"/>
        <v>5497.9107199999989</v>
      </c>
      <c r="M13">
        <f t="shared" si="3"/>
        <v>1.0699999999999999E-2</v>
      </c>
      <c r="N13" s="2">
        <f t="shared" si="6"/>
        <v>4.4107191140489561E-2</v>
      </c>
    </row>
    <row r="14" spans="1:15" x14ac:dyDescent="0.3">
      <c r="A14" t="s">
        <v>68</v>
      </c>
      <c r="B14" s="4">
        <f t="shared" si="4"/>
        <v>1925.28</v>
      </c>
      <c r="C14">
        <f>1925.28*60*60*24</f>
        <v>166344192</v>
      </c>
      <c r="D14">
        <f>LN(2)/C14</f>
        <v>4.166945489506152E-9</v>
      </c>
      <c r="E14" s="1"/>
      <c r="H14" s="2"/>
      <c r="J14" s="2"/>
      <c r="L14" s="2"/>
    </row>
    <row r="15" spans="1:15" x14ac:dyDescent="0.3">
      <c r="H15" s="2"/>
      <c r="J15" s="2"/>
      <c r="L15" s="2"/>
    </row>
    <row r="16" spans="1:15" x14ac:dyDescent="0.3">
      <c r="A16" t="s">
        <v>67</v>
      </c>
      <c r="C16">
        <f>12.701*60*60</f>
        <v>45723.600000000006</v>
      </c>
      <c r="D16">
        <f t="shared" si="0"/>
        <v>1.5159505825436868E-5</v>
      </c>
      <c r="E16" t="s">
        <v>70</v>
      </c>
      <c r="H16" s="2"/>
      <c r="J16" s="2"/>
      <c r="L16" s="2"/>
    </row>
    <row r="17" spans="1:12" x14ac:dyDescent="0.3">
      <c r="A17" t="s">
        <v>66</v>
      </c>
      <c r="C17">
        <f>9.673*60</f>
        <v>580.38</v>
      </c>
      <c r="D17">
        <f>LN(2)/C17</f>
        <v>1.1942988741168636E-3</v>
      </c>
      <c r="E17" t="s">
        <v>71</v>
      </c>
      <c r="H17" s="2"/>
      <c r="J17" s="2"/>
      <c r="L17" s="2"/>
    </row>
    <row r="18" spans="1:12" x14ac:dyDescent="0.3">
      <c r="A18" t="s">
        <v>69</v>
      </c>
      <c r="C18">
        <f>12.701*60*60</f>
        <v>45723.600000000006</v>
      </c>
      <c r="D18">
        <f t="shared" si="0"/>
        <v>1.5159505825436868E-5</v>
      </c>
      <c r="E18" t="s">
        <v>70</v>
      </c>
    </row>
    <row r="19" spans="1:12" x14ac:dyDescent="0.3">
      <c r="A19" t="s">
        <v>29</v>
      </c>
      <c r="F19" t="s">
        <v>111</v>
      </c>
    </row>
    <row r="20" spans="1:12" x14ac:dyDescent="0.3">
      <c r="A20" t="s">
        <v>35</v>
      </c>
      <c r="F20" t="s">
        <v>113</v>
      </c>
    </row>
    <row r="21" spans="1:12" x14ac:dyDescent="0.3">
      <c r="F21" t="s">
        <v>112</v>
      </c>
    </row>
    <row r="24" spans="1:12" x14ac:dyDescent="0.3">
      <c r="A24" t="s">
        <v>104</v>
      </c>
      <c r="C24" t="s">
        <v>105</v>
      </c>
    </row>
    <row r="25" spans="1:12" x14ac:dyDescent="0.3">
      <c r="A25" t="s">
        <v>108</v>
      </c>
    </row>
    <row r="28" spans="1:12" x14ac:dyDescent="0.3">
      <c r="A28" t="s">
        <v>50</v>
      </c>
    </row>
    <row r="29" spans="1:12" x14ac:dyDescent="0.3">
      <c r="A29" t="s">
        <v>51</v>
      </c>
    </row>
    <row r="30" spans="1:12" x14ac:dyDescent="0.3">
      <c r="A30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C00D-2C79-469B-A94E-4D5154DE3A01}">
  <dimension ref="A1:R27"/>
  <sheetViews>
    <sheetView topLeftCell="A7" workbookViewId="0">
      <pane xSplit="1" topLeftCell="B1" activePane="topRight" state="frozen"/>
      <selection pane="topRight" sqref="A1:R27"/>
    </sheetView>
  </sheetViews>
  <sheetFormatPr defaultRowHeight="14.4" x14ac:dyDescent="0.3"/>
  <cols>
    <col min="1" max="1" width="18.21875" bestFit="1" customWidth="1"/>
    <col min="2" max="2" width="9.6640625" customWidth="1"/>
    <col min="3" max="3" width="19.33203125" customWidth="1"/>
    <col min="4" max="4" width="10" bestFit="1" customWidth="1"/>
    <col min="5" max="5" width="11.109375" customWidth="1"/>
    <col min="6" max="6" width="14.33203125" customWidth="1"/>
    <col min="7" max="7" width="8" customWidth="1"/>
    <col min="8" max="8" width="10.5546875" bestFit="1" customWidth="1"/>
    <col min="9" max="9" width="14.21875" bestFit="1" customWidth="1"/>
    <col min="11" max="12" width="9.5546875" bestFit="1" customWidth="1"/>
    <col min="13" max="13" width="13.44140625" bestFit="1" customWidth="1"/>
  </cols>
  <sheetData>
    <row r="1" spans="1:17" x14ac:dyDescent="0.3">
      <c r="B1" t="s">
        <v>14</v>
      </c>
      <c r="I1" t="s">
        <v>128</v>
      </c>
    </row>
    <row r="2" spans="1:17" x14ac:dyDescent="0.3">
      <c r="C2" t="s">
        <v>110</v>
      </c>
      <c r="D2" t="s">
        <v>25</v>
      </c>
      <c r="E2" t="s">
        <v>27</v>
      </c>
      <c r="F2" t="s">
        <v>30</v>
      </c>
      <c r="G2" t="s">
        <v>32</v>
      </c>
      <c r="H2" t="s">
        <v>126</v>
      </c>
      <c r="I2" t="s">
        <v>129</v>
      </c>
      <c r="J2" t="s">
        <v>134</v>
      </c>
      <c r="K2" t="s">
        <v>135</v>
      </c>
      <c r="L2" t="s">
        <v>149</v>
      </c>
      <c r="M2" t="s">
        <v>147</v>
      </c>
    </row>
    <row r="3" spans="1:17" x14ac:dyDescent="0.3">
      <c r="A3" t="s">
        <v>125</v>
      </c>
      <c r="B3" s="3" t="s">
        <v>25</v>
      </c>
      <c r="C3" s="3" t="s">
        <v>33</v>
      </c>
      <c r="D3" t="s">
        <v>26</v>
      </c>
      <c r="E3" t="s">
        <v>28</v>
      </c>
      <c r="F3" t="s">
        <v>31</v>
      </c>
      <c r="G3" t="s">
        <v>33</v>
      </c>
      <c r="H3" t="s">
        <v>127</v>
      </c>
      <c r="I3" t="s">
        <v>133</v>
      </c>
      <c r="J3" t="s">
        <v>54</v>
      </c>
      <c r="K3" t="s">
        <v>54</v>
      </c>
      <c r="L3" t="s">
        <v>150</v>
      </c>
      <c r="M3" t="s">
        <v>148</v>
      </c>
      <c r="P3" t="s">
        <v>49</v>
      </c>
    </row>
    <row r="4" spans="1:17" x14ac:dyDescent="0.3">
      <c r="A4" t="s">
        <v>77</v>
      </c>
      <c r="B4">
        <f>35.6</f>
        <v>35.6</v>
      </c>
      <c r="C4" t="s">
        <v>72</v>
      </c>
      <c r="D4" s="5">
        <f>B4*60*60</f>
        <v>128160</v>
      </c>
      <c r="E4" s="5">
        <f>LN(2)/D4</f>
        <v>5.4084517833953281E-6</v>
      </c>
      <c r="F4" s="1">
        <f>4*D4/3600</f>
        <v>142.4</v>
      </c>
      <c r="G4" s="1">
        <f>F4/24</f>
        <v>5.9333333333333336</v>
      </c>
      <c r="H4" s="2">
        <v>3.2175924922691099E-2</v>
      </c>
      <c r="I4" s="2">
        <v>0</v>
      </c>
      <c r="J4" s="1">
        <f t="shared" ref="J4:J17" si="0">I4*$E$23*H4</f>
        <v>0</v>
      </c>
      <c r="K4" s="1">
        <f t="shared" ref="K4:K17" si="1">J4*(1-EXP(-E4*$E$25))</f>
        <v>0</v>
      </c>
      <c r="L4" s="1">
        <f>K4*EXP(-E4*60*60)</f>
        <v>0</v>
      </c>
      <c r="M4" s="1">
        <f>K4*EXP(-E4*24*60*60)</f>
        <v>0</v>
      </c>
      <c r="O4" s="2"/>
      <c r="Q4" s="2"/>
    </row>
    <row r="5" spans="1:17" x14ac:dyDescent="0.3">
      <c r="A5" t="s">
        <v>78</v>
      </c>
      <c r="B5">
        <f>77.3</f>
        <v>77.3</v>
      </c>
      <c r="C5" t="s">
        <v>73</v>
      </c>
      <c r="D5" s="5">
        <f>B5*60*60*24</f>
        <v>6678720</v>
      </c>
      <c r="E5" s="5">
        <f t="shared" ref="E5:E20" si="2">LN(2)/D5</f>
        <v>1.0378443482582669E-7</v>
      </c>
      <c r="F5" s="1">
        <f t="shared" ref="F5:F19" si="3">4*D5/3600</f>
        <v>7420.8</v>
      </c>
      <c r="G5" s="1">
        <f t="shared" ref="G5:G20" si="4">F5/24</f>
        <v>309.2</v>
      </c>
      <c r="H5" s="2">
        <f>H6*2</f>
        <v>3.2175924922691099E-2</v>
      </c>
      <c r="I5" s="2">
        <v>1.2348799999999999E-5</v>
      </c>
      <c r="J5" s="1">
        <f t="shared" si="0"/>
        <v>3.997180660554398</v>
      </c>
      <c r="K5" s="1">
        <f t="shared" si="1"/>
        <v>0.24318624125174951</v>
      </c>
      <c r="L5" s="1">
        <f t="shared" ref="L5:L20" si="5">K5*EXP(-E5*60*60)</f>
        <v>0.24309539801563071</v>
      </c>
      <c r="M5" s="1">
        <f>K5*EXP(-E5*24*60*60)</f>
        <v>0.2410153440020745</v>
      </c>
      <c r="O5" s="2"/>
      <c r="Q5" s="2"/>
    </row>
    <row r="6" spans="1:17" x14ac:dyDescent="0.3">
      <c r="A6" t="s">
        <v>116</v>
      </c>
      <c r="B6">
        <v>9.4580000000000002</v>
      </c>
      <c r="C6" t="s">
        <v>74</v>
      </c>
      <c r="D6" s="5">
        <f>B6*60</f>
        <v>567.48</v>
      </c>
      <c r="E6" s="5">
        <f t="shared" si="2"/>
        <v>1.2214477700710955E-3</v>
      </c>
      <c r="F6" s="1">
        <f t="shared" si="3"/>
        <v>0.63053333333333339</v>
      </c>
      <c r="G6" s="1">
        <f t="shared" si="4"/>
        <v>2.6272222222222225E-2</v>
      </c>
      <c r="H6" s="2">
        <f>PI()*0.635^2*0.0127</f>
        <v>1.6087962461345549E-2</v>
      </c>
      <c r="I6" s="2">
        <v>2.28206E-7</v>
      </c>
      <c r="J6" s="1">
        <f t="shared" si="0"/>
        <v>3.693397778822545E-2</v>
      </c>
      <c r="K6" s="1">
        <f t="shared" si="1"/>
        <v>3.693397778822545E-2</v>
      </c>
      <c r="L6" s="1">
        <f t="shared" si="5"/>
        <v>4.5471699724364706E-4</v>
      </c>
      <c r="M6" s="1">
        <f>K6*EXP(-E6*24*60*60)</f>
        <v>5.4323606694259364E-48</v>
      </c>
      <c r="O6" s="2"/>
      <c r="Q6" s="2"/>
    </row>
    <row r="7" spans="1:17" x14ac:dyDescent="0.3">
      <c r="A7" t="s">
        <v>117</v>
      </c>
      <c r="B7">
        <v>14.997</v>
      </c>
      <c r="C7" t="s">
        <v>72</v>
      </c>
      <c r="D7" s="5">
        <f>B7*3600</f>
        <v>53989.2</v>
      </c>
      <c r="E7" s="5">
        <f t="shared" si="2"/>
        <v>1.2838626624583163E-5</v>
      </c>
      <c r="F7" s="1">
        <f t="shared" si="3"/>
        <v>59.988</v>
      </c>
      <c r="G7" s="1">
        <f t="shared" si="4"/>
        <v>2.4994999999999998</v>
      </c>
      <c r="H7" s="2">
        <f>PI()*0.635^2*0.0127</f>
        <v>1.6087962461345549E-2</v>
      </c>
      <c r="I7" s="2">
        <v>6.0001799999999999E-8</v>
      </c>
      <c r="J7" s="1">
        <f t="shared" si="0"/>
        <v>9.7109854624924247E-3</v>
      </c>
      <c r="K7" s="1">
        <f t="shared" si="1"/>
        <v>9.7068639852089991E-3</v>
      </c>
      <c r="L7" s="1">
        <f t="shared" si="5"/>
        <v>9.268431900546905E-3</v>
      </c>
      <c r="M7" s="1">
        <f>K7*EXP(-E7*24*60*60)</f>
        <v>3.2013606489719108E-3</v>
      </c>
      <c r="O7" s="2"/>
      <c r="Q7" s="2"/>
    </row>
    <row r="8" spans="1:17" x14ac:dyDescent="0.3">
      <c r="A8" t="s">
        <v>86</v>
      </c>
      <c r="B8">
        <f>6.1669</f>
        <v>6.1669</v>
      </c>
      <c r="C8" t="s">
        <v>73</v>
      </c>
      <c r="D8" s="5">
        <f>B8*24*3600</f>
        <v>532820.16</v>
      </c>
      <c r="E8" s="5">
        <f t="shared" si="2"/>
        <v>1.3009026921202555E-6</v>
      </c>
      <c r="F8" s="1">
        <f t="shared" si="3"/>
        <v>592.02240000000006</v>
      </c>
      <c r="G8" s="1">
        <f t="shared" si="4"/>
        <v>24.667600000000004</v>
      </c>
      <c r="H8" s="2">
        <v>6.4351849845382201E-3</v>
      </c>
      <c r="I8" s="2">
        <v>5.7426000000000001E-7</v>
      </c>
      <c r="J8" s="1">
        <f t="shared" si="0"/>
        <v>3.7176421451962434E-2</v>
      </c>
      <c r="K8" s="1">
        <f t="shared" si="1"/>
        <v>2.0249780300813626E-2</v>
      </c>
      <c r="L8" s="1">
        <f t="shared" si="5"/>
        <v>2.0155167244674792E-2</v>
      </c>
      <c r="M8" s="1">
        <f>K8*EXP(-E8*24*60*60)</f>
        <v>1.8096995889699482E-2</v>
      </c>
      <c r="O8" s="2"/>
      <c r="Q8" s="2"/>
    </row>
    <row r="9" spans="1:17" x14ac:dyDescent="0.3">
      <c r="A9" t="s">
        <v>84</v>
      </c>
      <c r="B9">
        <f>2.6941</f>
        <v>2.6941000000000002</v>
      </c>
      <c r="C9" t="s">
        <v>73</v>
      </c>
      <c r="D9" s="5">
        <f>B9*24*3600</f>
        <v>232770.24</v>
      </c>
      <c r="E9" s="5">
        <f t="shared" si="2"/>
        <v>2.9778170120026741E-6</v>
      </c>
      <c r="F9" s="1">
        <f t="shared" si="3"/>
        <v>258.6336</v>
      </c>
      <c r="G9" s="1">
        <f t="shared" si="4"/>
        <v>10.776400000000001</v>
      </c>
      <c r="H9" s="2">
        <f>H12/2.5</f>
        <v>6.4351849845382201E-3</v>
      </c>
      <c r="I9" s="2">
        <v>2.8214400000000001E-3</v>
      </c>
      <c r="J9" s="1">
        <f t="shared" si="0"/>
        <v>182.65427252712169</v>
      </c>
      <c r="K9" s="1">
        <f t="shared" si="1"/>
        <v>152.4914110262271</v>
      </c>
      <c r="L9" s="1">
        <f t="shared" si="5"/>
        <v>150.86541259985421</v>
      </c>
      <c r="M9" s="1">
        <f>K9*EXP(-E9*24*60*60)</f>
        <v>117.89859416188695</v>
      </c>
      <c r="O9" s="2"/>
      <c r="Q9" s="2"/>
    </row>
    <row r="10" spans="1:17" x14ac:dyDescent="0.3">
      <c r="A10" t="s">
        <v>118</v>
      </c>
      <c r="B10">
        <v>2.5789</v>
      </c>
      <c r="C10" t="s">
        <v>72</v>
      </c>
      <c r="D10" s="5">
        <f>B10*3600</f>
        <v>9284.0399999999991</v>
      </c>
      <c r="E10" s="5">
        <f t="shared" si="2"/>
        <v>7.4660081231871619E-5</v>
      </c>
      <c r="F10" s="1">
        <f t="shared" si="3"/>
        <v>10.315599999999998</v>
      </c>
      <c r="G10" s="1">
        <f t="shared" si="4"/>
        <v>0.42981666666666657</v>
      </c>
      <c r="H10" s="2">
        <f>PI()*0.635^2*0.0127</f>
        <v>1.6087962461345549E-2</v>
      </c>
      <c r="I10" s="2">
        <v>7.2812500000000004E-4</v>
      </c>
      <c r="J10" s="1">
        <f t="shared" si="0"/>
        <v>117.84331953170232</v>
      </c>
      <c r="K10" s="1">
        <f t="shared" si="1"/>
        <v>117.84331953170232</v>
      </c>
      <c r="L10" s="1">
        <f t="shared" si="5"/>
        <v>90.069324779102146</v>
      </c>
      <c r="M10" s="1">
        <f>K10*EXP(-E10*24*60*60)</f>
        <v>0.18613648633715099</v>
      </c>
      <c r="O10" s="2"/>
      <c r="Q10" s="2"/>
    </row>
    <row r="11" spans="1:17" x14ac:dyDescent="0.3">
      <c r="A11" t="s">
        <v>119</v>
      </c>
      <c r="B11">
        <v>114.74</v>
      </c>
      <c r="C11" t="s">
        <v>73</v>
      </c>
      <c r="D11" s="5">
        <f>B11*24*3600</f>
        <v>9913536</v>
      </c>
      <c r="E11" s="5">
        <f t="shared" si="2"/>
        <v>6.9919268014959077E-8</v>
      </c>
      <c r="F11" s="1">
        <f t="shared" si="3"/>
        <v>11015.04</v>
      </c>
      <c r="G11" s="1">
        <f t="shared" si="4"/>
        <v>458.96000000000004</v>
      </c>
      <c r="H11" s="2">
        <f>PI()*0.635^2*0.0127</f>
        <v>1.6087962461345549E-2</v>
      </c>
      <c r="I11" s="2">
        <v>1.15354E-3</v>
      </c>
      <c r="J11" s="1">
        <f t="shared" si="0"/>
        <v>186.69456866966507</v>
      </c>
      <c r="K11" s="1">
        <f t="shared" si="1"/>
        <v>7.7301897459404092</v>
      </c>
      <c r="L11" s="1">
        <f t="shared" si="5"/>
        <v>7.7282442296518647</v>
      </c>
      <c r="M11" s="1">
        <f>K11*EXP(-E11*24*60*60)</f>
        <v>7.6836322474023833</v>
      </c>
      <c r="O11" s="2"/>
      <c r="Q11" s="2"/>
    </row>
    <row r="12" spans="1:17" x14ac:dyDescent="0.3">
      <c r="A12" t="s">
        <v>120</v>
      </c>
      <c r="B12">
        <v>8.51</v>
      </c>
      <c r="C12" t="s">
        <v>74</v>
      </c>
      <c r="D12" s="5">
        <f>B12*60</f>
        <v>510.59999999999997</v>
      </c>
      <c r="E12" s="5">
        <f t="shared" si="2"/>
        <v>1.3575150422247264E-3</v>
      </c>
      <c r="F12" s="1">
        <f t="shared" si="3"/>
        <v>0.56733333333333325</v>
      </c>
      <c r="G12" s="1">
        <f t="shared" si="4"/>
        <v>2.3638888888888886E-2</v>
      </c>
      <c r="H12" s="2">
        <f>PI()*0.635^2*0.0127</f>
        <v>1.6087962461345549E-2</v>
      </c>
      <c r="I12" s="2">
        <v>0</v>
      </c>
      <c r="J12" s="1">
        <f t="shared" si="0"/>
        <v>0</v>
      </c>
      <c r="K12" s="1">
        <f t="shared" si="1"/>
        <v>0</v>
      </c>
      <c r="L12" s="1">
        <f t="shared" si="5"/>
        <v>0</v>
      </c>
      <c r="M12" s="1">
        <f>K12*EXP(-E12*24*60*60)</f>
        <v>0</v>
      </c>
      <c r="O12" s="2"/>
      <c r="Q12" s="2"/>
    </row>
    <row r="13" spans="1:17" x14ac:dyDescent="0.3">
      <c r="A13" t="s">
        <v>121</v>
      </c>
      <c r="B13">
        <v>312.2</v>
      </c>
      <c r="C13" t="s">
        <v>73</v>
      </c>
      <c r="D13" s="5">
        <f>B13*24*3600</f>
        <v>26974079.999999996</v>
      </c>
      <c r="E13" s="5">
        <f t="shared" si="2"/>
        <v>2.5696786713761706E-8</v>
      </c>
      <c r="F13" s="1">
        <f t="shared" si="3"/>
        <v>29971.199999999997</v>
      </c>
      <c r="G13" s="1">
        <f t="shared" si="4"/>
        <v>1248.8</v>
      </c>
      <c r="H13" s="2">
        <f>PI()*0.635^2*0.0127</f>
        <v>1.6087962461345549E-2</v>
      </c>
      <c r="I13" s="2">
        <v>6.3908499999999996E-7</v>
      </c>
      <c r="J13" s="1">
        <f t="shared" si="0"/>
        <v>0.10343264942546673</v>
      </c>
      <c r="K13" s="1">
        <f t="shared" si="1"/>
        <v>1.5950630205204073E-3</v>
      </c>
      <c r="L13" s="1">
        <f t="shared" si="5"/>
        <v>1.5949154705660799E-3</v>
      </c>
      <c r="M13" s="1">
        <f>K13*EXP(-E13*24*60*60)</f>
        <v>1.5915255861817922E-3</v>
      </c>
      <c r="O13" s="2"/>
      <c r="Q13" s="2"/>
    </row>
    <row r="14" spans="1:17" x14ac:dyDescent="0.3">
      <c r="A14" t="s">
        <v>122</v>
      </c>
      <c r="B14">
        <v>27.702500000000001</v>
      </c>
      <c r="C14" t="s">
        <v>73</v>
      </c>
      <c r="D14" s="5">
        <f t="shared" ref="D14:D16" si="6">B14*24*3600</f>
        <v>2393496</v>
      </c>
      <c r="E14" s="5">
        <f t="shared" si="2"/>
        <v>2.8959613074763664E-7</v>
      </c>
      <c r="F14" s="1">
        <f t="shared" si="3"/>
        <v>2659.44</v>
      </c>
      <c r="G14" s="1">
        <f t="shared" si="4"/>
        <v>110.81</v>
      </c>
      <c r="H14" s="2">
        <f>PI()*0.635^2*0.0127</f>
        <v>1.6087962461345549E-2</v>
      </c>
      <c r="I14" s="2">
        <v>1.2674599999999999E-8</v>
      </c>
      <c r="J14" s="1">
        <f t="shared" si="0"/>
        <v>2.0513193994664571E-3</v>
      </c>
      <c r="K14" s="1">
        <f t="shared" si="1"/>
        <v>3.2957931620216198E-4</v>
      </c>
      <c r="L14" s="1">
        <f t="shared" si="5"/>
        <v>3.292358936291069E-4</v>
      </c>
      <c r="M14" s="1">
        <f>K14*EXP(-E14*24*60*60)</f>
        <v>3.2143518970630726E-4</v>
      </c>
      <c r="Q14" s="2"/>
    </row>
    <row r="15" spans="1:17" x14ac:dyDescent="0.3">
      <c r="A15" t="s">
        <v>123</v>
      </c>
      <c r="B15">
        <v>2.5789</v>
      </c>
      <c r="C15" t="s">
        <v>72</v>
      </c>
      <c r="D15" s="5">
        <f>B15*3600</f>
        <v>9284.0399999999991</v>
      </c>
      <c r="E15" s="5">
        <f t="shared" si="2"/>
        <v>7.4660081231871619E-5</v>
      </c>
      <c r="F15" s="1">
        <f t="shared" si="3"/>
        <v>10.315599999999998</v>
      </c>
      <c r="G15" s="1">
        <f t="shared" si="4"/>
        <v>0.42981666666666657</v>
      </c>
      <c r="H15" s="2">
        <f>PI()*0.635^2*0.0127</f>
        <v>1.6087962461345549E-2</v>
      </c>
      <c r="I15" s="2">
        <v>2.78143E-7</v>
      </c>
      <c r="J15" s="1">
        <f t="shared" si="0"/>
        <v>4.5016026677433513E-2</v>
      </c>
      <c r="K15" s="1">
        <f t="shared" si="1"/>
        <v>4.5016026677433513E-2</v>
      </c>
      <c r="L15" s="1">
        <f t="shared" si="5"/>
        <v>3.440638929034686E-2</v>
      </c>
      <c r="M15" s="1">
        <f>K15*EXP(-E15*24*60*60)</f>
        <v>7.1103946052222049E-5</v>
      </c>
      <c r="Q15" s="2"/>
    </row>
    <row r="16" spans="1:17" x14ac:dyDescent="0.3">
      <c r="A16" t="s">
        <v>124</v>
      </c>
      <c r="B16">
        <v>44.494999999999997</v>
      </c>
      <c r="C16" t="s">
        <v>73</v>
      </c>
      <c r="D16" s="5">
        <f t="shared" si="6"/>
        <v>3844367.9999999995</v>
      </c>
      <c r="E16" s="5">
        <f t="shared" si="2"/>
        <v>1.8030198476315103E-7</v>
      </c>
      <c r="F16" s="1">
        <f t="shared" si="3"/>
        <v>4271.5199999999995</v>
      </c>
      <c r="G16" s="1">
        <f t="shared" si="4"/>
        <v>177.98</v>
      </c>
      <c r="H16" s="2">
        <f>PI()*0.635^2*0.0127</f>
        <v>1.6087962461345549E-2</v>
      </c>
      <c r="I16" s="2">
        <v>2.11517E-7</v>
      </c>
      <c r="J16" s="1">
        <f t="shared" si="0"/>
        <v>3.4232948212720452E-2</v>
      </c>
      <c r="K16" s="1">
        <f t="shared" si="1"/>
        <v>3.5366539900929615E-3</v>
      </c>
      <c r="L16" s="1">
        <f t="shared" si="5"/>
        <v>3.5343591383111251E-3</v>
      </c>
      <c r="M16" s="1">
        <f>K16*EXP(-E16*24*60*60)</f>
        <v>3.481986583161607E-3</v>
      </c>
      <c r="Q16" s="2"/>
    </row>
    <row r="17" spans="1:18" x14ac:dyDescent="0.3">
      <c r="A17" t="s">
        <v>88</v>
      </c>
      <c r="B17">
        <v>24</v>
      </c>
      <c r="C17" t="s">
        <v>72</v>
      </c>
      <c r="D17">
        <f>3600*B17</f>
        <v>86400</v>
      </c>
      <c r="E17" s="5">
        <f t="shared" si="2"/>
        <v>8.0225368120364038E-6</v>
      </c>
      <c r="F17" s="1">
        <f t="shared" si="3"/>
        <v>96</v>
      </c>
      <c r="G17" s="1">
        <f t="shared" si="4"/>
        <v>4</v>
      </c>
      <c r="H17" s="2">
        <f>PI()*0.635^2*0.0127</f>
        <v>1.6087962461345549E-2</v>
      </c>
      <c r="I17" s="2">
        <v>5.4651199999999997E-4</v>
      </c>
      <c r="J17" s="1">
        <f t="shared" si="0"/>
        <v>88.45018127918928</v>
      </c>
      <c r="K17" s="1">
        <f t="shared" si="1"/>
        <v>87.759164237945612</v>
      </c>
      <c r="L17" s="1">
        <f t="shared" si="5"/>
        <v>85.260831186109414</v>
      </c>
      <c r="M17" s="1">
        <f>K17*EXP(-E17*24*60*60)</f>
        <v>43.879582118972806</v>
      </c>
      <c r="P17" t="s">
        <v>145</v>
      </c>
      <c r="Q17" s="2"/>
    </row>
    <row r="18" spans="1:18" x14ac:dyDescent="0.3">
      <c r="A18" t="s">
        <v>24</v>
      </c>
      <c r="B18">
        <f>54.29</f>
        <v>54.29</v>
      </c>
      <c r="C18" t="s">
        <v>74</v>
      </c>
      <c r="D18">
        <f>B18*60</f>
        <v>3257.4</v>
      </c>
      <c r="E18" s="5">
        <f t="shared" si="2"/>
        <v>2.1279154557620963E-4</v>
      </c>
      <c r="F18" s="1">
        <f t="shared" si="3"/>
        <v>3.6193333333333335</v>
      </c>
      <c r="G18" s="1">
        <f t="shared" si="4"/>
        <v>0.15080555555555555</v>
      </c>
      <c r="H18" s="2">
        <f>PI()*0.635^2*0.0127</f>
        <v>1.6087962461345549E-2</v>
      </c>
      <c r="I18" s="2">
        <v>4.3068100000000003E-3</v>
      </c>
      <c r="J18" s="1">
        <f>I18*$E$23*H18</f>
        <v>697.03524393796511</v>
      </c>
      <c r="K18" s="1">
        <f>J18*(1-EXP(-E18*$E$25))</f>
        <v>697.03524393796511</v>
      </c>
      <c r="L18" s="1">
        <f t="shared" si="5"/>
        <v>324.01389821529744</v>
      </c>
      <c r="M18" s="1">
        <f>K18*EXP(-E18*24*60*60)</f>
        <v>7.2221810722352151E-6</v>
      </c>
      <c r="O18" s="2"/>
      <c r="P18" s="2" t="s">
        <v>146</v>
      </c>
      <c r="R18" s="2"/>
    </row>
    <row r="19" spans="1:18" x14ac:dyDescent="0.3">
      <c r="A19" t="s">
        <v>19</v>
      </c>
      <c r="B19">
        <f>4.486</f>
        <v>4.4859999999999998</v>
      </c>
      <c r="C19" t="s">
        <v>72</v>
      </c>
      <c r="D19">
        <f>B19*60*60</f>
        <v>16149.599999999999</v>
      </c>
      <c r="E19" s="5">
        <f t="shared" si="2"/>
        <v>4.2920393109423474E-5</v>
      </c>
      <c r="F19" s="1">
        <f t="shared" si="3"/>
        <v>17.943999999999999</v>
      </c>
      <c r="G19" s="1">
        <f t="shared" si="4"/>
        <v>0.74766666666666659</v>
      </c>
      <c r="H19" s="2">
        <f>PI()*0.635^2*0.0127</f>
        <v>1.6087962461345549E-2</v>
      </c>
      <c r="I19" s="2">
        <v>3.9041399999999999E-6</v>
      </c>
      <c r="J19" s="1">
        <f>I19*$E$23*H19</f>
        <v>0.63186515710420643</v>
      </c>
      <c r="K19" s="1">
        <f>J19*(1-EXP(-E19*$E$25))</f>
        <v>0.63186515710084057</v>
      </c>
      <c r="L19" s="1">
        <f t="shared" si="5"/>
        <v>0.54140228470784069</v>
      </c>
      <c r="M19" s="1">
        <f>K19*EXP(-E19*24*60*60)</f>
        <v>1.5492469198719204E-2</v>
      </c>
      <c r="P19" s="2"/>
      <c r="R19" s="2"/>
    </row>
    <row r="20" spans="1:18" x14ac:dyDescent="0.3">
      <c r="A20" t="s">
        <v>64</v>
      </c>
      <c r="B20">
        <v>1925.28</v>
      </c>
      <c r="C20" t="s">
        <v>32</v>
      </c>
      <c r="D20">
        <f>24*60*60*B20</f>
        <v>166344192</v>
      </c>
      <c r="E20" s="5">
        <f t="shared" si="2"/>
        <v>4.166945489506152E-9</v>
      </c>
      <c r="F20" s="1">
        <f t="shared" ref="F20" si="7">4*D20/3600</f>
        <v>184826.88</v>
      </c>
      <c r="G20" s="1">
        <f t="shared" si="4"/>
        <v>7701.12</v>
      </c>
      <c r="H20" s="2">
        <f>PI()*0.635^2*0.0127</f>
        <v>1.6087962461345549E-2</v>
      </c>
      <c r="I20" s="2">
        <v>2.6689900000000002E-4</v>
      </c>
      <c r="J20" s="1">
        <f>I20*$E$23*H20</f>
        <v>43.1962425952849</v>
      </c>
      <c r="K20" s="1">
        <f>J20*(1-EXP(-E20*$E$25))</f>
        <v>0.10872475570693864</v>
      </c>
      <c r="L20" s="1">
        <f t="shared" si="5"/>
        <v>0.10872312473870234</v>
      </c>
      <c r="M20" s="1">
        <f>K20*EXP(-E20*24*60*60)</f>
        <v>0.10868561922113447</v>
      </c>
    </row>
    <row r="23" spans="1:18" x14ac:dyDescent="0.3">
      <c r="D23" t="s">
        <v>130</v>
      </c>
      <c r="E23">
        <f>1.006*10^7</f>
        <v>10060000</v>
      </c>
      <c r="F23" t="s">
        <v>131</v>
      </c>
    </row>
    <row r="24" spans="1:18" x14ac:dyDescent="0.3">
      <c r="C24" t="s">
        <v>137</v>
      </c>
      <c r="D24" t="s">
        <v>136</v>
      </c>
      <c r="E24">
        <v>7</v>
      </c>
      <c r="F24" t="s">
        <v>138</v>
      </c>
    </row>
    <row r="25" spans="1:18" x14ac:dyDescent="0.3">
      <c r="E25">
        <f>60*60*24*E24</f>
        <v>604800</v>
      </c>
    </row>
    <row r="27" spans="1:18" x14ac:dyDescent="0.3">
      <c r="C27" t="s">
        <v>139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F88F-E752-4A6E-A9FA-7F715BE59F75}">
  <dimension ref="A1:F92"/>
  <sheetViews>
    <sheetView workbookViewId="0">
      <selection activeCell="F4" sqref="F4"/>
    </sheetView>
  </sheetViews>
  <sheetFormatPr defaultRowHeight="14.4" x14ac:dyDescent="0.3"/>
  <cols>
    <col min="2" max="2" width="9.109375" bestFit="1" customWidth="1"/>
    <col min="3" max="3" width="10.5546875" bestFit="1" customWidth="1"/>
  </cols>
  <sheetData>
    <row r="1" spans="1:6" x14ac:dyDescent="0.3">
      <c r="A1" t="s">
        <v>140</v>
      </c>
      <c r="B1" t="s">
        <v>141</v>
      </c>
      <c r="C1" t="s">
        <v>142</v>
      </c>
      <c r="D1" t="s">
        <v>143</v>
      </c>
    </row>
    <row r="2" spans="1:6" x14ac:dyDescent="0.3">
      <c r="A2" s="2">
        <v>1.0000000000000001E-9</v>
      </c>
      <c r="B2" s="2">
        <v>2.2558299999999999E-7</v>
      </c>
      <c r="C2">
        <v>0.2888</v>
      </c>
      <c r="D2" s="2">
        <f>B2*1.006*10^7</f>
        <v>2.2693649799999998</v>
      </c>
      <c r="F2" t="s">
        <v>144</v>
      </c>
    </row>
    <row r="3" spans="1:6" x14ac:dyDescent="0.3">
      <c r="A3" s="2">
        <v>1E-8</v>
      </c>
      <c r="B3" s="2">
        <v>3.3585399999999999E-5</v>
      </c>
      <c r="C3">
        <v>3.1199999999999999E-2</v>
      </c>
      <c r="D3" s="2">
        <f t="shared" ref="D3:D66" si="0">B3*1.006*10^7</f>
        <v>337.869124</v>
      </c>
      <c r="F3" s="2">
        <f>SUM(D2:D92)</f>
        <v>34906.458644180006</v>
      </c>
    </row>
    <row r="4" spans="1:6" x14ac:dyDescent="0.3">
      <c r="A4" s="2">
        <v>2.3000000000000001E-8</v>
      </c>
      <c r="B4" s="2">
        <v>1.02701E-4</v>
      </c>
      <c r="C4">
        <v>1.7500000000000002E-2</v>
      </c>
      <c r="D4" s="2">
        <f t="shared" si="0"/>
        <v>1033.1720600000001</v>
      </c>
    </row>
    <row r="5" spans="1:6" x14ac:dyDescent="0.3">
      <c r="A5" s="2">
        <v>4.9999999999999998E-8</v>
      </c>
      <c r="B5" s="2">
        <v>2.36598E-4</v>
      </c>
      <c r="C5">
        <v>1.21E-2</v>
      </c>
      <c r="D5" s="2">
        <f t="shared" si="0"/>
        <v>2380.1758799999998</v>
      </c>
    </row>
    <row r="6" spans="1:6" x14ac:dyDescent="0.3">
      <c r="A6" s="2">
        <v>7.6000000000000006E-8</v>
      </c>
      <c r="B6" s="2">
        <v>1.6489200000000001E-4</v>
      </c>
      <c r="C6">
        <v>1.54E-2</v>
      </c>
      <c r="D6" s="2">
        <f t="shared" si="0"/>
        <v>1658.8135199999999</v>
      </c>
    </row>
    <row r="7" spans="1:6" x14ac:dyDescent="0.3">
      <c r="A7" s="2">
        <v>1.15E-7</v>
      </c>
      <c r="B7" s="2">
        <v>1.14078E-4</v>
      </c>
      <c r="C7">
        <v>1.72E-2</v>
      </c>
      <c r="D7" s="2">
        <f t="shared" si="0"/>
        <v>1147.6246799999999</v>
      </c>
    </row>
    <row r="8" spans="1:6" x14ac:dyDescent="0.3">
      <c r="A8" s="2">
        <v>1.6999999999999999E-7</v>
      </c>
      <c r="B8" s="2">
        <v>5.7073100000000001E-5</v>
      </c>
      <c r="C8">
        <v>2.3099999999999999E-2</v>
      </c>
      <c r="D8" s="2">
        <f t="shared" si="0"/>
        <v>574.15538600000002</v>
      </c>
    </row>
    <row r="9" spans="1:6" x14ac:dyDescent="0.3">
      <c r="A9" s="2">
        <v>2.5499999999999999E-7</v>
      </c>
      <c r="B9" s="2">
        <v>2.9165900000000001E-5</v>
      </c>
      <c r="C9">
        <v>3.4500000000000003E-2</v>
      </c>
      <c r="D9" s="2">
        <f t="shared" si="0"/>
        <v>293.40895399999999</v>
      </c>
    </row>
    <row r="10" spans="1:6" x14ac:dyDescent="0.3">
      <c r="A10" s="2">
        <v>3.8000000000000001E-7</v>
      </c>
      <c r="B10" s="2">
        <v>1.88343E-5</v>
      </c>
      <c r="C10">
        <v>3.7100000000000001E-2</v>
      </c>
      <c r="D10" s="2">
        <f t="shared" si="0"/>
        <v>189.47305800000001</v>
      </c>
    </row>
    <row r="11" spans="1:6" x14ac:dyDescent="0.3">
      <c r="A11" s="2">
        <v>5.5000000000000003E-7</v>
      </c>
      <c r="B11" s="2">
        <v>1.7878599999999999E-5</v>
      </c>
      <c r="C11">
        <v>3.8899999999999997E-2</v>
      </c>
      <c r="D11" s="2">
        <f t="shared" si="0"/>
        <v>179.85871599999996</v>
      </c>
    </row>
    <row r="12" spans="1:6" x14ac:dyDescent="0.3">
      <c r="A12" s="2">
        <v>8.4E-7</v>
      </c>
      <c r="B12" s="2">
        <v>1.8996099999999999E-5</v>
      </c>
      <c r="C12">
        <v>3.8600000000000002E-2</v>
      </c>
      <c r="D12" s="2">
        <f t="shared" si="0"/>
        <v>191.10076599999999</v>
      </c>
    </row>
    <row r="13" spans="1:6" x14ac:dyDescent="0.3">
      <c r="A13" s="2">
        <v>1.28E-6</v>
      </c>
      <c r="B13" s="2">
        <v>1.97674E-5</v>
      </c>
      <c r="C13">
        <v>3.3799999999999997E-2</v>
      </c>
      <c r="D13" s="2">
        <f t="shared" si="0"/>
        <v>198.86004399999999</v>
      </c>
    </row>
    <row r="14" spans="1:6" x14ac:dyDescent="0.3">
      <c r="A14" s="2">
        <v>1.9E-6</v>
      </c>
      <c r="B14" s="2">
        <v>2.1005E-5</v>
      </c>
      <c r="C14">
        <v>5.0700000000000002E-2</v>
      </c>
      <c r="D14" s="2">
        <f t="shared" si="0"/>
        <v>211.31030000000001</v>
      </c>
    </row>
    <row r="15" spans="1:6" x14ac:dyDescent="0.3">
      <c r="A15" s="2">
        <v>2.7999999999999999E-6</v>
      </c>
      <c r="B15" s="2">
        <v>1.8394E-5</v>
      </c>
      <c r="C15">
        <v>3.95E-2</v>
      </c>
      <c r="D15" s="2">
        <f t="shared" si="0"/>
        <v>185.04364000000001</v>
      </c>
    </row>
    <row r="16" spans="1:6" x14ac:dyDescent="0.3">
      <c r="A16" s="2">
        <v>4.25E-6</v>
      </c>
      <c r="B16" s="2">
        <v>1.8658999999999999E-5</v>
      </c>
      <c r="C16">
        <v>4.4600000000000001E-2</v>
      </c>
      <c r="D16" s="2">
        <f t="shared" si="0"/>
        <v>187.70953999999998</v>
      </c>
    </row>
    <row r="17" spans="1:4" x14ac:dyDescent="0.3">
      <c r="A17" s="2">
        <v>6.2999999999999998E-6</v>
      </c>
      <c r="B17" s="2">
        <v>1.60051E-5</v>
      </c>
      <c r="C17">
        <v>6.0900000000000003E-2</v>
      </c>
      <c r="D17" s="2">
        <f t="shared" si="0"/>
        <v>161.01130599999999</v>
      </c>
    </row>
    <row r="18" spans="1:4" x14ac:dyDescent="0.3">
      <c r="A18" s="2">
        <v>9.2E-6</v>
      </c>
      <c r="B18" s="2">
        <v>2.16296E-5</v>
      </c>
      <c r="C18">
        <v>3.8100000000000002E-2</v>
      </c>
      <c r="D18" s="2">
        <f t="shared" si="0"/>
        <v>217.59377599999999</v>
      </c>
    </row>
    <row r="19" spans="1:4" x14ac:dyDescent="0.3">
      <c r="A19" s="2">
        <v>1.3499999999999999E-5</v>
      </c>
      <c r="B19" s="2">
        <v>2.4273600000000001E-5</v>
      </c>
      <c r="C19">
        <v>5.04E-2</v>
      </c>
      <c r="D19" s="2">
        <f t="shared" si="0"/>
        <v>244.19241600000001</v>
      </c>
    </row>
    <row r="20" spans="1:4" x14ac:dyDescent="0.3">
      <c r="A20" s="2">
        <v>2.0999999999999999E-5</v>
      </c>
      <c r="B20" s="2">
        <v>2.51572E-5</v>
      </c>
      <c r="C20">
        <v>3.39E-2</v>
      </c>
      <c r="D20" s="2">
        <f t="shared" si="0"/>
        <v>253.08143200000001</v>
      </c>
    </row>
    <row r="21" spans="1:4" x14ac:dyDescent="0.3">
      <c r="A21" s="2">
        <v>3.0000000000000001E-5</v>
      </c>
      <c r="B21" s="2">
        <v>2.12602E-5</v>
      </c>
      <c r="C21">
        <v>3.4200000000000001E-2</v>
      </c>
      <c r="D21" s="2">
        <f t="shared" si="0"/>
        <v>213.877612</v>
      </c>
    </row>
    <row r="22" spans="1:4" x14ac:dyDescent="0.3">
      <c r="A22" s="2">
        <v>4.5000000000000003E-5</v>
      </c>
      <c r="B22" s="2">
        <v>2.9456400000000001E-5</v>
      </c>
      <c r="C22">
        <v>3.1600000000000003E-2</v>
      </c>
      <c r="D22" s="2">
        <f t="shared" si="0"/>
        <v>296.33138400000001</v>
      </c>
    </row>
    <row r="23" spans="1:4" x14ac:dyDescent="0.3">
      <c r="A23" s="2">
        <v>6.8999999999999997E-5</v>
      </c>
      <c r="B23" s="2">
        <v>3.0787200000000002E-5</v>
      </c>
      <c r="C23">
        <v>3.2899999999999999E-2</v>
      </c>
      <c r="D23" s="2">
        <f t="shared" si="0"/>
        <v>309.71923199999998</v>
      </c>
    </row>
    <row r="24" spans="1:4" x14ac:dyDescent="0.3">
      <c r="A24" s="2">
        <v>1E-4</v>
      </c>
      <c r="B24" s="2">
        <v>2.8631399999999998E-5</v>
      </c>
      <c r="C24">
        <v>3.49E-2</v>
      </c>
      <c r="D24" s="2">
        <f t="shared" si="0"/>
        <v>288.03188399999999</v>
      </c>
    </row>
    <row r="25" spans="1:4" x14ac:dyDescent="0.3">
      <c r="A25" s="2">
        <v>1.35E-4</v>
      </c>
      <c r="B25" s="2">
        <v>2.2318199999999999E-5</v>
      </c>
      <c r="C25">
        <v>3.3300000000000003E-2</v>
      </c>
      <c r="D25" s="2">
        <f t="shared" si="0"/>
        <v>224.52109199999998</v>
      </c>
    </row>
    <row r="26" spans="1:4" x14ac:dyDescent="0.3">
      <c r="A26" s="2">
        <v>1.7000000000000001E-4</v>
      </c>
      <c r="B26" s="2">
        <v>1.8048100000000001E-5</v>
      </c>
      <c r="C26">
        <v>4.02E-2</v>
      </c>
      <c r="D26" s="2">
        <f t="shared" si="0"/>
        <v>181.56388600000002</v>
      </c>
    </row>
    <row r="27" spans="1:4" x14ac:dyDescent="0.3">
      <c r="A27" s="2">
        <v>2.2000000000000001E-4</v>
      </c>
      <c r="B27" s="2">
        <v>1.9807199999999999E-5</v>
      </c>
      <c r="C27">
        <v>3.5999999999999997E-2</v>
      </c>
      <c r="D27" s="2">
        <f t="shared" si="0"/>
        <v>199.26043200000001</v>
      </c>
    </row>
    <row r="28" spans="1:4" x14ac:dyDescent="0.3">
      <c r="A28" s="2">
        <v>2.7999999999999998E-4</v>
      </c>
      <c r="B28" s="2">
        <v>2.0285899999999998E-5</v>
      </c>
      <c r="C28">
        <v>3.7499999999999999E-2</v>
      </c>
      <c r="D28" s="2">
        <f t="shared" si="0"/>
        <v>204.07615399999997</v>
      </c>
    </row>
    <row r="29" spans="1:4" x14ac:dyDescent="0.3">
      <c r="A29" s="2">
        <v>3.6000000000000002E-4</v>
      </c>
      <c r="B29" s="2">
        <v>2.22473E-5</v>
      </c>
      <c r="C29">
        <v>3.9300000000000002E-2</v>
      </c>
      <c r="D29" s="2">
        <f t="shared" si="0"/>
        <v>223.807838</v>
      </c>
    </row>
    <row r="30" spans="1:4" x14ac:dyDescent="0.3">
      <c r="A30" s="2">
        <v>4.4999999999999999E-4</v>
      </c>
      <c r="B30" s="2">
        <v>1.83427E-5</v>
      </c>
      <c r="C30">
        <v>4.5900000000000003E-2</v>
      </c>
      <c r="D30" s="2">
        <f t="shared" si="0"/>
        <v>184.52756199999999</v>
      </c>
    </row>
    <row r="31" spans="1:4" x14ac:dyDescent="0.3">
      <c r="A31" s="2">
        <v>5.7499999999999999E-4</v>
      </c>
      <c r="B31" s="2">
        <v>2.3104699999999999E-5</v>
      </c>
      <c r="C31">
        <v>4.1200000000000001E-2</v>
      </c>
      <c r="D31" s="2">
        <f t="shared" si="0"/>
        <v>232.43328199999999</v>
      </c>
    </row>
    <row r="32" spans="1:4" x14ac:dyDescent="0.3">
      <c r="A32" s="2">
        <v>7.6000000000000004E-4</v>
      </c>
      <c r="B32" s="2">
        <v>2.5442399999999999E-5</v>
      </c>
      <c r="C32">
        <v>3.4799999999999998E-2</v>
      </c>
      <c r="D32" s="2">
        <f t="shared" si="0"/>
        <v>255.95054399999998</v>
      </c>
    </row>
    <row r="33" spans="1:4" x14ac:dyDescent="0.3">
      <c r="A33" s="2">
        <v>9.6000000000000002E-4</v>
      </c>
      <c r="B33" s="2">
        <v>2.3931399999999999E-5</v>
      </c>
      <c r="C33">
        <v>3.5099999999999999E-2</v>
      </c>
      <c r="D33" s="2">
        <f t="shared" si="0"/>
        <v>240.74988399999998</v>
      </c>
    </row>
    <row r="34" spans="1:4" x14ac:dyDescent="0.3">
      <c r="A34" s="2">
        <v>1.2800000000000001E-3</v>
      </c>
      <c r="B34" s="2">
        <v>2.8427599999999999E-5</v>
      </c>
      <c r="C34">
        <v>3.4700000000000002E-2</v>
      </c>
      <c r="D34" s="2">
        <f t="shared" si="0"/>
        <v>285.98165599999999</v>
      </c>
    </row>
    <row r="35" spans="1:4" x14ac:dyDescent="0.3">
      <c r="A35" s="2">
        <v>1.6000000000000001E-3</v>
      </c>
      <c r="B35" s="2">
        <v>2.3694799999999999E-5</v>
      </c>
      <c r="C35">
        <v>3.4000000000000002E-2</v>
      </c>
      <c r="D35" s="2">
        <f t="shared" si="0"/>
        <v>238.36968799999997</v>
      </c>
    </row>
    <row r="36" spans="1:4" x14ac:dyDescent="0.3">
      <c r="A36" s="2">
        <v>2E-3</v>
      </c>
      <c r="B36" s="2">
        <v>2.5661699999999999E-5</v>
      </c>
      <c r="C36">
        <v>3.1899999999999998E-2</v>
      </c>
      <c r="D36" s="2">
        <f t="shared" si="0"/>
        <v>258.156702</v>
      </c>
    </row>
    <row r="37" spans="1:4" x14ac:dyDescent="0.3">
      <c r="A37" s="2">
        <v>2.7000000000000001E-3</v>
      </c>
      <c r="B37" s="2">
        <v>3.22571E-5</v>
      </c>
      <c r="C37">
        <v>3.2500000000000001E-2</v>
      </c>
      <c r="D37" s="2">
        <f t="shared" si="0"/>
        <v>324.50642600000003</v>
      </c>
    </row>
    <row r="38" spans="1:4" x14ac:dyDescent="0.3">
      <c r="A38" s="2">
        <v>3.3999999999999998E-3</v>
      </c>
      <c r="B38" s="2">
        <v>2.5395500000000001E-5</v>
      </c>
      <c r="C38">
        <v>3.6400000000000002E-2</v>
      </c>
      <c r="D38" s="2">
        <f t="shared" si="0"/>
        <v>255.47873000000001</v>
      </c>
    </row>
    <row r="39" spans="1:4" x14ac:dyDescent="0.3">
      <c r="A39" s="2">
        <v>4.4999999999999997E-3</v>
      </c>
      <c r="B39" s="2">
        <v>3.3104900000000002E-5</v>
      </c>
      <c r="C39">
        <v>3.0200000000000001E-2</v>
      </c>
      <c r="D39" s="2">
        <f t="shared" si="0"/>
        <v>333.03529400000002</v>
      </c>
    </row>
    <row r="40" spans="1:4" x14ac:dyDescent="0.3">
      <c r="A40" s="2">
        <v>5.4999999999999997E-3</v>
      </c>
      <c r="B40" s="2">
        <v>2.63084E-5</v>
      </c>
      <c r="C40">
        <v>0.05</v>
      </c>
      <c r="D40" s="2">
        <f t="shared" si="0"/>
        <v>264.66250400000001</v>
      </c>
    </row>
    <row r="41" spans="1:4" x14ac:dyDescent="0.3">
      <c r="A41" s="2">
        <v>7.1999999999999998E-3</v>
      </c>
      <c r="B41" s="2">
        <v>3.5044299999999999E-5</v>
      </c>
      <c r="C41">
        <v>3.1800000000000002E-2</v>
      </c>
      <c r="D41" s="2">
        <f t="shared" si="0"/>
        <v>352.54565799999995</v>
      </c>
    </row>
    <row r="42" spans="1:4" x14ac:dyDescent="0.3">
      <c r="A42" s="2">
        <v>9.1999999999999998E-3</v>
      </c>
      <c r="B42" s="2">
        <v>3.1950699999999999E-5</v>
      </c>
      <c r="C42">
        <v>3.0499999999999999E-2</v>
      </c>
      <c r="D42" s="2">
        <f t="shared" si="0"/>
        <v>321.42404199999999</v>
      </c>
    </row>
    <row r="43" spans="1:4" x14ac:dyDescent="0.3">
      <c r="A43" s="2">
        <v>1.2E-2</v>
      </c>
      <c r="B43" s="2">
        <v>3.5243800000000003E-5</v>
      </c>
      <c r="C43">
        <v>2.64E-2</v>
      </c>
      <c r="D43" s="2">
        <f t="shared" si="0"/>
        <v>354.55262800000003</v>
      </c>
    </row>
    <row r="44" spans="1:4" x14ac:dyDescent="0.3">
      <c r="A44" s="2">
        <v>1.4999999999999999E-2</v>
      </c>
      <c r="B44" s="2">
        <v>3.1965299999999997E-5</v>
      </c>
      <c r="C44">
        <v>3.1800000000000002E-2</v>
      </c>
      <c r="D44" s="2">
        <f t="shared" si="0"/>
        <v>321.57091800000001</v>
      </c>
    </row>
    <row r="45" spans="1:4" x14ac:dyDescent="0.3">
      <c r="A45" s="2">
        <v>1.9E-2</v>
      </c>
      <c r="B45" s="2">
        <v>3.3928199999999998E-5</v>
      </c>
      <c r="C45">
        <v>3.2899999999999999E-2</v>
      </c>
      <c r="D45" s="2">
        <f t="shared" si="0"/>
        <v>341.31769199999997</v>
      </c>
    </row>
    <row r="46" spans="1:4" x14ac:dyDescent="0.3">
      <c r="A46" s="2">
        <v>2.5499999999999998E-2</v>
      </c>
      <c r="B46" s="2">
        <v>4.4415800000000003E-5</v>
      </c>
      <c r="C46">
        <v>2.5700000000000001E-2</v>
      </c>
      <c r="D46" s="2">
        <f t="shared" si="0"/>
        <v>446.822948</v>
      </c>
    </row>
    <row r="47" spans="1:4" x14ac:dyDescent="0.3">
      <c r="A47" s="2">
        <v>3.2000000000000001E-2</v>
      </c>
      <c r="B47" s="2">
        <v>3.7600099999999999E-5</v>
      </c>
      <c r="C47">
        <v>2.8199999999999999E-2</v>
      </c>
      <c r="D47" s="2">
        <f t="shared" si="0"/>
        <v>378.25700600000005</v>
      </c>
    </row>
    <row r="48" spans="1:4" x14ac:dyDescent="0.3">
      <c r="A48" s="2">
        <v>0.04</v>
      </c>
      <c r="B48" s="2">
        <v>3.8828899999999997E-5</v>
      </c>
      <c r="C48">
        <v>2.9499999999999998E-2</v>
      </c>
      <c r="D48" s="2">
        <f t="shared" si="0"/>
        <v>390.61873399999996</v>
      </c>
    </row>
    <row r="49" spans="1:4" x14ac:dyDescent="0.3">
      <c r="A49" s="2">
        <v>5.2499999999999998E-2</v>
      </c>
      <c r="B49" s="2">
        <v>4.8867399999999999E-5</v>
      </c>
      <c r="C49">
        <v>2.7E-2</v>
      </c>
      <c r="D49" s="2">
        <f t="shared" si="0"/>
        <v>491.606044</v>
      </c>
    </row>
    <row r="50" spans="1:4" x14ac:dyDescent="0.3">
      <c r="A50" s="2">
        <v>6.6000000000000003E-2</v>
      </c>
      <c r="B50" s="2">
        <v>4.0426899999999997E-5</v>
      </c>
      <c r="C50">
        <v>2.4899999999999999E-2</v>
      </c>
      <c r="D50" s="2">
        <f t="shared" si="0"/>
        <v>406.694614</v>
      </c>
    </row>
    <row r="51" spans="1:4" x14ac:dyDescent="0.3">
      <c r="A51" s="2">
        <v>8.7999999999999995E-2</v>
      </c>
      <c r="B51" s="2">
        <v>5.8134399999999997E-5</v>
      </c>
      <c r="C51">
        <v>3.1E-2</v>
      </c>
      <c r="D51" s="2">
        <f t="shared" si="0"/>
        <v>584.83206399999995</v>
      </c>
    </row>
    <row r="52" spans="1:4" x14ac:dyDescent="0.3">
      <c r="A52" s="2">
        <v>0.11</v>
      </c>
      <c r="B52" s="2">
        <v>4.7141700000000003E-5</v>
      </c>
      <c r="C52">
        <v>2.8299999999999999E-2</v>
      </c>
      <c r="D52" s="2">
        <f t="shared" si="0"/>
        <v>474.24550200000004</v>
      </c>
    </row>
    <row r="53" spans="1:4" x14ac:dyDescent="0.3">
      <c r="A53" s="2">
        <v>0.13500000000000001</v>
      </c>
      <c r="B53" s="2">
        <v>4.3618300000000002E-5</v>
      </c>
      <c r="C53">
        <v>2.4899999999999999E-2</v>
      </c>
      <c r="D53" s="2">
        <f t="shared" si="0"/>
        <v>438.80009800000005</v>
      </c>
    </row>
    <row r="54" spans="1:4" x14ac:dyDescent="0.3">
      <c r="A54" s="2">
        <v>0.16</v>
      </c>
      <c r="B54" s="2">
        <v>3.6762299999999999E-5</v>
      </c>
      <c r="C54">
        <v>2.8799999999999999E-2</v>
      </c>
      <c r="D54" s="2">
        <f t="shared" si="0"/>
        <v>369.82873799999999</v>
      </c>
    </row>
    <row r="55" spans="1:4" x14ac:dyDescent="0.3">
      <c r="A55" s="2">
        <v>0.19</v>
      </c>
      <c r="B55" s="2">
        <v>3.9048499999999997E-5</v>
      </c>
      <c r="C55">
        <v>2.52E-2</v>
      </c>
      <c r="D55" s="2">
        <f t="shared" si="0"/>
        <v>392.82790999999997</v>
      </c>
    </row>
    <row r="56" spans="1:4" x14ac:dyDescent="0.3">
      <c r="A56" s="2">
        <v>0.22</v>
      </c>
      <c r="B56" s="2">
        <v>3.6678399999999998E-5</v>
      </c>
      <c r="C56">
        <v>3.1600000000000003E-2</v>
      </c>
      <c r="D56" s="2">
        <f t="shared" si="0"/>
        <v>368.98470399999997</v>
      </c>
    </row>
    <row r="57" spans="1:4" x14ac:dyDescent="0.3">
      <c r="A57" s="2">
        <v>0.255</v>
      </c>
      <c r="B57" s="2">
        <v>3.6647199999999997E-5</v>
      </c>
      <c r="C57">
        <v>3.4099999999999998E-2</v>
      </c>
      <c r="D57" s="2">
        <f t="shared" si="0"/>
        <v>368.67083199999996</v>
      </c>
    </row>
    <row r="58" spans="1:4" x14ac:dyDescent="0.3">
      <c r="A58" s="2">
        <v>0.28999999999999998</v>
      </c>
      <c r="B58" s="2">
        <v>3.4291300000000002E-5</v>
      </c>
      <c r="C58">
        <v>3.3300000000000003E-2</v>
      </c>
      <c r="D58" s="2">
        <f t="shared" si="0"/>
        <v>344.97047800000001</v>
      </c>
    </row>
    <row r="59" spans="1:4" x14ac:dyDescent="0.3">
      <c r="A59" s="2">
        <v>0.32</v>
      </c>
      <c r="B59" s="2">
        <v>2.5982900000000002E-5</v>
      </c>
      <c r="C59">
        <v>3.9800000000000002E-2</v>
      </c>
      <c r="D59" s="2">
        <f t="shared" si="0"/>
        <v>261.38797400000004</v>
      </c>
    </row>
    <row r="60" spans="1:4" x14ac:dyDescent="0.3">
      <c r="A60" s="2">
        <v>0.36</v>
      </c>
      <c r="B60" s="2">
        <v>3.1392200000000001E-5</v>
      </c>
      <c r="C60">
        <v>3.4299999999999997E-2</v>
      </c>
      <c r="D60" s="2">
        <f t="shared" si="0"/>
        <v>315.80553200000003</v>
      </c>
    </row>
    <row r="61" spans="1:4" x14ac:dyDescent="0.3">
      <c r="A61" s="2">
        <v>0.4</v>
      </c>
      <c r="B61" s="2">
        <v>3.0706600000000002E-5</v>
      </c>
      <c r="C61">
        <v>4.2500000000000003E-2</v>
      </c>
      <c r="D61" s="2">
        <f t="shared" si="0"/>
        <v>308.90839600000004</v>
      </c>
    </row>
    <row r="62" spans="1:4" x14ac:dyDescent="0.3">
      <c r="A62" s="2">
        <v>0.45</v>
      </c>
      <c r="B62" s="2">
        <v>3.2710199999999997E-5</v>
      </c>
      <c r="C62">
        <v>2.8199999999999999E-2</v>
      </c>
      <c r="D62" s="2">
        <f t="shared" si="0"/>
        <v>329.06461199999995</v>
      </c>
    </row>
    <row r="63" spans="1:4" x14ac:dyDescent="0.3">
      <c r="A63" s="2">
        <v>0.5</v>
      </c>
      <c r="B63" s="2">
        <v>3.1848599999999999E-5</v>
      </c>
      <c r="C63">
        <v>0.03</v>
      </c>
      <c r="D63" s="2">
        <f t="shared" si="0"/>
        <v>320.39691599999998</v>
      </c>
    </row>
    <row r="64" spans="1:4" x14ac:dyDescent="0.3">
      <c r="A64" s="2">
        <v>0.55000000000000004</v>
      </c>
      <c r="B64" s="2">
        <v>2.8555600000000002E-5</v>
      </c>
      <c r="C64">
        <v>2.8899999999999999E-2</v>
      </c>
      <c r="D64" s="2">
        <f t="shared" si="0"/>
        <v>287.26933600000001</v>
      </c>
    </row>
    <row r="65" spans="1:4" x14ac:dyDescent="0.3">
      <c r="A65" s="2">
        <v>0.6</v>
      </c>
      <c r="B65" s="2">
        <v>2.6859199999999999E-5</v>
      </c>
      <c r="C65">
        <v>3.5499999999999997E-2</v>
      </c>
      <c r="D65" s="2">
        <f t="shared" si="0"/>
        <v>270.203552</v>
      </c>
    </row>
    <row r="66" spans="1:4" x14ac:dyDescent="0.3">
      <c r="A66" s="2">
        <v>0.66</v>
      </c>
      <c r="B66" s="2">
        <v>3.0827500000000003E-5</v>
      </c>
      <c r="C66">
        <v>4.2099999999999999E-2</v>
      </c>
      <c r="D66" s="2">
        <f t="shared" si="0"/>
        <v>310.12465000000009</v>
      </c>
    </row>
    <row r="67" spans="1:4" x14ac:dyDescent="0.3">
      <c r="A67" s="2">
        <v>0.72</v>
      </c>
      <c r="B67" s="2">
        <v>2.9289200000000001E-5</v>
      </c>
      <c r="C67">
        <v>2.9899999999999999E-2</v>
      </c>
      <c r="D67" s="2">
        <f t="shared" ref="D67:D92" si="1">B67*1.006*10^7</f>
        <v>294.64935200000002</v>
      </c>
    </row>
    <row r="68" spans="1:4" x14ac:dyDescent="0.3">
      <c r="A68" s="2">
        <v>0.78</v>
      </c>
      <c r="B68" s="2">
        <v>2.69865E-5</v>
      </c>
      <c r="C68">
        <v>3.2599999999999997E-2</v>
      </c>
      <c r="D68" s="2">
        <f t="shared" si="1"/>
        <v>271.48419000000001</v>
      </c>
    </row>
    <row r="69" spans="1:4" x14ac:dyDescent="0.3">
      <c r="A69" s="2">
        <v>0.84</v>
      </c>
      <c r="B69" s="2">
        <v>2.66113E-5</v>
      </c>
      <c r="C69">
        <v>3.3099999999999997E-2</v>
      </c>
      <c r="D69" s="2">
        <f t="shared" si="1"/>
        <v>267.709678</v>
      </c>
    </row>
    <row r="70" spans="1:4" x14ac:dyDescent="0.3">
      <c r="A70" s="2">
        <v>0.92</v>
      </c>
      <c r="B70" s="2">
        <v>3.4523000000000001E-5</v>
      </c>
      <c r="C70">
        <v>2.64E-2</v>
      </c>
      <c r="D70" s="2">
        <f t="shared" si="1"/>
        <v>347.30137999999999</v>
      </c>
    </row>
    <row r="71" spans="1:4" x14ac:dyDescent="0.3">
      <c r="A71" s="2">
        <v>1</v>
      </c>
      <c r="B71" s="2">
        <v>3.1190099999999998E-5</v>
      </c>
      <c r="C71">
        <v>2.76E-2</v>
      </c>
      <c r="D71" s="2">
        <f t="shared" si="1"/>
        <v>313.77240599999999</v>
      </c>
    </row>
    <row r="72" spans="1:4" x14ac:dyDescent="0.3">
      <c r="A72" s="2">
        <v>1.2</v>
      </c>
      <c r="B72" s="2">
        <v>7.9218899999999995E-5</v>
      </c>
      <c r="C72">
        <v>0.02</v>
      </c>
      <c r="D72" s="2">
        <f t="shared" si="1"/>
        <v>796.94213400000001</v>
      </c>
    </row>
    <row r="73" spans="1:4" x14ac:dyDescent="0.3">
      <c r="A73" s="2">
        <v>1.4</v>
      </c>
      <c r="B73" s="2">
        <v>7.3975799999999997E-5</v>
      </c>
      <c r="C73">
        <v>1.9E-2</v>
      </c>
      <c r="D73" s="2">
        <f t="shared" si="1"/>
        <v>744.19654800000001</v>
      </c>
    </row>
    <row r="74" spans="1:4" x14ac:dyDescent="0.3">
      <c r="A74" s="2">
        <v>1.6</v>
      </c>
      <c r="B74" s="2">
        <v>7.2632600000000007E-5</v>
      </c>
      <c r="C74">
        <v>2.1399999999999999E-2</v>
      </c>
      <c r="D74" s="2">
        <f t="shared" si="1"/>
        <v>730.68395600000008</v>
      </c>
    </row>
    <row r="75" spans="1:4" x14ac:dyDescent="0.3">
      <c r="A75" s="2">
        <v>1.8</v>
      </c>
      <c r="B75" s="2">
        <v>6.7737900000000001E-5</v>
      </c>
      <c r="C75">
        <v>2.1100000000000001E-2</v>
      </c>
      <c r="D75" s="2">
        <f t="shared" si="1"/>
        <v>681.44327400000009</v>
      </c>
    </row>
    <row r="76" spans="1:4" x14ac:dyDescent="0.3">
      <c r="A76" s="2">
        <v>2</v>
      </c>
      <c r="B76" s="2">
        <v>6.1854100000000001E-5</v>
      </c>
      <c r="C76">
        <v>2.1000000000000001E-2</v>
      </c>
      <c r="D76" s="2">
        <f t="shared" si="1"/>
        <v>622.25224600000001</v>
      </c>
    </row>
    <row r="77" spans="1:4" x14ac:dyDescent="0.3">
      <c r="A77" s="2">
        <v>2.2999999999999998</v>
      </c>
      <c r="B77" s="2">
        <v>8.2273699999999998E-5</v>
      </c>
      <c r="C77">
        <v>1.67E-2</v>
      </c>
      <c r="D77" s="2">
        <f t="shared" si="1"/>
        <v>827.67342199999996</v>
      </c>
    </row>
    <row r="78" spans="1:4" x14ac:dyDescent="0.3">
      <c r="A78" s="2">
        <v>2.6</v>
      </c>
      <c r="B78" s="2">
        <v>7.2428999999999994E-5</v>
      </c>
      <c r="C78">
        <v>1.8599999999999998E-2</v>
      </c>
      <c r="D78" s="2">
        <f t="shared" si="1"/>
        <v>728.63573999999994</v>
      </c>
    </row>
    <row r="79" spans="1:4" x14ac:dyDescent="0.3">
      <c r="A79" s="2">
        <v>2.9</v>
      </c>
      <c r="B79" s="2">
        <v>5.4066900000000002E-5</v>
      </c>
      <c r="C79">
        <v>1.9199999999999998E-2</v>
      </c>
      <c r="D79" s="2">
        <f t="shared" si="1"/>
        <v>543.91301400000009</v>
      </c>
    </row>
    <row r="80" spans="1:4" x14ac:dyDescent="0.3">
      <c r="A80" s="2">
        <v>3.3</v>
      </c>
      <c r="B80" s="2">
        <v>5.1996300000000002E-5</v>
      </c>
      <c r="C80">
        <v>1.8700000000000001E-2</v>
      </c>
      <c r="D80" s="2">
        <f t="shared" si="1"/>
        <v>523.08277800000008</v>
      </c>
    </row>
    <row r="81" spans="1:4" x14ac:dyDescent="0.3">
      <c r="A81" s="2">
        <v>3.7</v>
      </c>
      <c r="B81" s="2">
        <v>3.3361200000000002E-5</v>
      </c>
      <c r="C81">
        <v>2.5899999999999999E-2</v>
      </c>
      <c r="D81" s="2">
        <f t="shared" si="1"/>
        <v>335.61367200000001</v>
      </c>
    </row>
    <row r="82" spans="1:4" x14ac:dyDescent="0.3">
      <c r="A82" s="2">
        <v>4.0999999999999996</v>
      </c>
      <c r="B82" s="2">
        <v>3.7754299999999999E-5</v>
      </c>
      <c r="C82">
        <v>2.29E-2</v>
      </c>
      <c r="D82" s="2">
        <f t="shared" si="1"/>
        <v>379.80825800000002</v>
      </c>
    </row>
    <row r="83" spans="1:4" x14ac:dyDescent="0.3">
      <c r="A83" s="2">
        <v>4.5</v>
      </c>
      <c r="B83" s="2">
        <v>3.5303899999999999E-5</v>
      </c>
      <c r="C83">
        <v>2.4299999999999999E-2</v>
      </c>
      <c r="D83" s="2">
        <f t="shared" si="1"/>
        <v>355.15723399999996</v>
      </c>
    </row>
    <row r="84" spans="1:4" x14ac:dyDescent="0.3">
      <c r="A84" s="2">
        <v>5</v>
      </c>
      <c r="B84" s="2">
        <v>4.6716399999999999E-5</v>
      </c>
      <c r="C84">
        <v>1.6500000000000001E-2</v>
      </c>
      <c r="D84" s="2">
        <f t="shared" si="1"/>
        <v>469.96698399999997</v>
      </c>
    </row>
    <row r="85" spans="1:4" x14ac:dyDescent="0.3">
      <c r="A85" s="2">
        <v>5.5</v>
      </c>
      <c r="B85" s="2">
        <v>3.7449400000000001E-5</v>
      </c>
      <c r="C85">
        <v>1.6899999999999998E-2</v>
      </c>
      <c r="D85" s="2">
        <f t="shared" si="1"/>
        <v>376.74096400000002</v>
      </c>
    </row>
    <row r="86" spans="1:4" x14ac:dyDescent="0.3">
      <c r="A86" s="2">
        <v>6</v>
      </c>
      <c r="B86" s="2">
        <v>2.2011700000000001E-5</v>
      </c>
      <c r="C86">
        <v>2.9000000000000001E-2</v>
      </c>
      <c r="D86" s="2">
        <f t="shared" si="1"/>
        <v>221.437702</v>
      </c>
    </row>
    <row r="87" spans="1:4" x14ac:dyDescent="0.3">
      <c r="A87" s="2">
        <v>6.7</v>
      </c>
      <c r="B87" s="2">
        <v>2.0890000000000002E-5</v>
      </c>
      <c r="C87">
        <v>3.8399999999999997E-2</v>
      </c>
      <c r="D87" s="2">
        <f t="shared" si="1"/>
        <v>210.1534</v>
      </c>
    </row>
    <row r="88" spans="1:4" x14ac:dyDescent="0.3">
      <c r="A88" s="2">
        <v>7.4</v>
      </c>
      <c r="B88" s="2">
        <v>2.24176E-5</v>
      </c>
      <c r="C88">
        <v>1.9800000000000002E-2</v>
      </c>
      <c r="D88" s="2">
        <f t="shared" si="1"/>
        <v>225.52105600000002</v>
      </c>
    </row>
    <row r="89" spans="1:4" x14ac:dyDescent="0.3">
      <c r="A89" s="2">
        <v>8.1999999999999993</v>
      </c>
      <c r="B89" s="2">
        <v>2.0678000000000001E-5</v>
      </c>
      <c r="C89">
        <v>2.0899999999999998E-2</v>
      </c>
      <c r="D89" s="2">
        <f t="shared" si="1"/>
        <v>208.02068</v>
      </c>
    </row>
    <row r="90" spans="1:4" x14ac:dyDescent="0.3">
      <c r="A90" s="2">
        <v>9</v>
      </c>
      <c r="B90" s="2">
        <v>1.13595E-5</v>
      </c>
      <c r="C90">
        <v>2.6100000000000002E-2</v>
      </c>
      <c r="D90" s="2">
        <f t="shared" si="1"/>
        <v>114.27656999999999</v>
      </c>
    </row>
    <row r="91" spans="1:4" x14ac:dyDescent="0.3">
      <c r="A91" s="2">
        <v>10</v>
      </c>
      <c r="B91" s="2">
        <v>8.1454399999999994E-6</v>
      </c>
      <c r="C91">
        <v>2.9899999999999999E-2</v>
      </c>
      <c r="D91" s="2">
        <f t="shared" si="1"/>
        <v>81.943126399999983</v>
      </c>
    </row>
    <row r="92" spans="1:4" x14ac:dyDescent="0.3">
      <c r="A92" s="2">
        <v>11</v>
      </c>
      <c r="B92" s="2">
        <v>2.0458800000000001E-6</v>
      </c>
      <c r="C92">
        <v>6.0900000000000003E-2</v>
      </c>
      <c r="D92" s="2">
        <f t="shared" si="1"/>
        <v>20.581552800000001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2BB63-4EA1-465F-A281-6491F24B98B3}">
  <dimension ref="A1:R23"/>
  <sheetViews>
    <sheetView tabSelected="1" workbookViewId="0">
      <selection activeCell="L6" sqref="L6"/>
    </sheetView>
  </sheetViews>
  <sheetFormatPr defaultRowHeight="14.4" x14ac:dyDescent="0.3"/>
  <cols>
    <col min="1" max="1" width="18.21875" bestFit="1" customWidth="1"/>
    <col min="4" max="4" width="10" bestFit="1" customWidth="1"/>
    <col min="5" max="5" width="10.88671875" bestFit="1" customWidth="1"/>
    <col min="6" max="6" width="14.33203125" bestFit="1" customWidth="1"/>
    <col min="7" max="7" width="5.5546875" bestFit="1" customWidth="1"/>
    <col min="8" max="8" width="10.5546875" bestFit="1" customWidth="1"/>
    <col min="9" max="9" width="14.21875" bestFit="1" customWidth="1"/>
    <col min="12" max="12" width="11.44140625" bestFit="1" customWidth="1"/>
    <col min="13" max="13" width="11.6640625" customWidth="1"/>
  </cols>
  <sheetData>
    <row r="1" spans="1:17" x14ac:dyDescent="0.3">
      <c r="B1" t="s">
        <v>14</v>
      </c>
      <c r="I1" t="s">
        <v>128</v>
      </c>
    </row>
    <row r="2" spans="1:17" x14ac:dyDescent="0.3">
      <c r="C2" t="s">
        <v>110</v>
      </c>
      <c r="D2" t="s">
        <v>25</v>
      </c>
      <c r="E2" t="s">
        <v>27</v>
      </c>
      <c r="F2" t="s">
        <v>30</v>
      </c>
      <c r="G2" t="s">
        <v>32</v>
      </c>
      <c r="H2" t="s">
        <v>126</v>
      </c>
      <c r="I2" t="s">
        <v>129</v>
      </c>
      <c r="J2" t="s">
        <v>134</v>
      </c>
      <c r="K2" t="s">
        <v>135</v>
      </c>
      <c r="L2" t="s">
        <v>149</v>
      </c>
      <c r="M2" t="s">
        <v>149</v>
      </c>
    </row>
    <row r="3" spans="1:17" x14ac:dyDescent="0.3">
      <c r="A3" t="s">
        <v>125</v>
      </c>
      <c r="B3" s="3" t="s">
        <v>25</v>
      </c>
      <c r="C3" s="3" t="s">
        <v>33</v>
      </c>
      <c r="D3" t="s">
        <v>26</v>
      </c>
      <c r="E3" t="s">
        <v>28</v>
      </c>
      <c r="F3" t="s">
        <v>31</v>
      </c>
      <c r="G3" t="s">
        <v>33</v>
      </c>
      <c r="H3" t="s">
        <v>127</v>
      </c>
      <c r="I3" t="s">
        <v>133</v>
      </c>
      <c r="J3" t="s">
        <v>54</v>
      </c>
      <c r="K3" t="s">
        <v>54</v>
      </c>
      <c r="L3" t="s">
        <v>150</v>
      </c>
      <c r="M3" t="s">
        <v>153</v>
      </c>
    </row>
    <row r="4" spans="1:17" x14ac:dyDescent="0.3">
      <c r="A4" t="s">
        <v>88</v>
      </c>
      <c r="B4">
        <v>24</v>
      </c>
      <c r="C4" t="s">
        <v>72</v>
      </c>
      <c r="D4">
        <f>3600*B4</f>
        <v>86400</v>
      </c>
      <c r="E4" s="5">
        <f>LN(2)/D4</f>
        <v>8.0225368120364038E-6</v>
      </c>
      <c r="F4" s="1">
        <f>4*D4/3600</f>
        <v>96</v>
      </c>
      <c r="G4" s="1">
        <f>F4/24</f>
        <v>4</v>
      </c>
      <c r="H4" s="2">
        <f>PI()*0.635^2*0.0127</f>
        <v>1.6087962461345549E-2</v>
      </c>
      <c r="I4" s="2">
        <v>5.4651199999999997E-4</v>
      </c>
      <c r="J4" s="1">
        <f>I4*$B$10*H4</f>
        <v>88.45018127918928</v>
      </c>
      <c r="K4" s="1">
        <f>J4*(1-EXP(-E4*$B$12))</f>
        <v>87.759164237945612</v>
      </c>
      <c r="L4" s="1">
        <f>K4*EXP(-E4*60*60)</f>
        <v>85.260831186109414</v>
      </c>
      <c r="M4" s="1">
        <f>K4*EXP(-E4*24*60*60)</f>
        <v>43.879582118972806</v>
      </c>
      <c r="O4" s="2"/>
      <c r="Q4" s="2"/>
    </row>
    <row r="5" spans="1:17" x14ac:dyDescent="0.3">
      <c r="A5" t="s">
        <v>24</v>
      </c>
      <c r="B5">
        <f>54.29</f>
        <v>54.29</v>
      </c>
      <c r="C5" t="s">
        <v>74</v>
      </c>
      <c r="D5">
        <f>B5*60</f>
        <v>3257.4</v>
      </c>
      <c r="E5" s="5">
        <f>LN(2)/D5</f>
        <v>2.1279154557620963E-4</v>
      </c>
      <c r="F5" s="1">
        <f>4*D5/3600</f>
        <v>3.6193333333333335</v>
      </c>
      <c r="G5" s="1">
        <f>F5/24</f>
        <v>0.15080555555555555</v>
      </c>
      <c r="H5" s="2">
        <f>PI()*0.635^2*0.0127</f>
        <v>1.6087962461345549E-2</v>
      </c>
      <c r="I5" s="2">
        <v>4.3068100000000003E-3</v>
      </c>
      <c r="J5" s="1">
        <f>I5*$B$10*H5</f>
        <v>697.03524393796511</v>
      </c>
      <c r="K5" s="1">
        <f>J5*(1-EXP(-E5*$B$12))</f>
        <v>697.03524393796511</v>
      </c>
      <c r="L5" s="1">
        <f>K5*EXP(-E5*60*60)</f>
        <v>324.01389821529744</v>
      </c>
      <c r="M5" s="1">
        <f>K5*EXP(-E5*24*60*60)</f>
        <v>7.2221810722352151E-6</v>
      </c>
      <c r="O5" s="2"/>
      <c r="Q5" s="2"/>
    </row>
    <row r="6" spans="1:17" x14ac:dyDescent="0.3">
      <c r="A6" t="s">
        <v>84</v>
      </c>
      <c r="B6">
        <f>2.6941</f>
        <v>2.6941000000000002</v>
      </c>
      <c r="C6" t="s">
        <v>73</v>
      </c>
      <c r="D6" s="5">
        <f>B6*24*3600</f>
        <v>232770.24</v>
      </c>
      <c r="E6" s="5">
        <f>LN(2)/D6</f>
        <v>2.9778170120026741E-6</v>
      </c>
      <c r="F6" s="1">
        <f>4*D6/3600</f>
        <v>258.6336</v>
      </c>
      <c r="G6" s="1">
        <f>F6/24</f>
        <v>10.776400000000001</v>
      </c>
      <c r="H6" s="2">
        <v>6.4351849845382201E-3</v>
      </c>
      <c r="I6" s="2">
        <v>2.8214400000000001E-3</v>
      </c>
      <c r="J6" s="1">
        <f>I6*$B$10*H6</f>
        <v>182.65427252712169</v>
      </c>
      <c r="K6" s="1">
        <f>J6*(1-EXP(-E6*$B$12))</f>
        <v>152.4914110262271</v>
      </c>
      <c r="L6" s="1">
        <f>K6*EXP(-E6*60*60)</f>
        <v>150.86541259985421</v>
      </c>
      <c r="M6" s="1">
        <f>K6*EXP(-E6*24*60*60)</f>
        <v>117.89859416188695</v>
      </c>
      <c r="O6" s="2"/>
      <c r="Q6" s="2"/>
    </row>
    <row r="7" spans="1:17" x14ac:dyDescent="0.3">
      <c r="A7" t="s">
        <v>118</v>
      </c>
      <c r="B7">
        <v>2.5789</v>
      </c>
      <c r="C7" t="s">
        <v>72</v>
      </c>
      <c r="D7" s="5">
        <f>B7*3600</f>
        <v>9284.0399999999991</v>
      </c>
      <c r="E7" s="5">
        <f>LN(2)/D7</f>
        <v>7.4660081231871619E-5</v>
      </c>
      <c r="F7" s="1">
        <f>4*D7/3600</f>
        <v>10.315599999999998</v>
      </c>
      <c r="G7" s="1">
        <f>F7/24</f>
        <v>0.42981666666666657</v>
      </c>
      <c r="H7" s="2">
        <f>PI()*0.635^2*0.0127</f>
        <v>1.6087962461345549E-2</v>
      </c>
      <c r="I7" s="2">
        <v>7.2812500000000004E-4</v>
      </c>
      <c r="J7" s="1">
        <f>I7*$B$10*H7</f>
        <v>117.84331953170232</v>
      </c>
      <c r="K7" s="1">
        <f>J7*(1-EXP(-E7*$B$12))</f>
        <v>117.84331953170232</v>
      </c>
      <c r="L7" s="1">
        <f>K7*EXP(-E7*60*60)</f>
        <v>90.069324779102146</v>
      </c>
      <c r="M7" s="1">
        <f>K7*EXP(-E7*24*60*60)</f>
        <v>0.18613648633715099</v>
      </c>
      <c r="O7" s="2"/>
      <c r="Q7" s="2"/>
    </row>
    <row r="8" spans="1:17" x14ac:dyDescent="0.3">
      <c r="D8" s="5"/>
      <c r="E8" s="5"/>
      <c r="F8" s="1"/>
      <c r="G8" s="1"/>
      <c r="H8" s="2"/>
      <c r="I8" s="2"/>
      <c r="J8" s="1"/>
      <c r="K8" s="1"/>
      <c r="L8" s="1"/>
      <c r="M8" s="1"/>
      <c r="O8" s="2"/>
      <c r="Q8" s="2"/>
    </row>
    <row r="9" spans="1:17" x14ac:dyDescent="0.3">
      <c r="A9" t="s">
        <v>151</v>
      </c>
      <c r="O9" s="2"/>
      <c r="Q9" s="2"/>
    </row>
    <row r="10" spans="1:17" x14ac:dyDescent="0.3">
      <c r="A10" t="s">
        <v>130</v>
      </c>
      <c r="B10">
        <f>1.006*10^7</f>
        <v>10060000</v>
      </c>
      <c r="C10" t="s">
        <v>131</v>
      </c>
      <c r="O10" s="2"/>
      <c r="Q10" s="2"/>
    </row>
    <row r="11" spans="1:17" x14ac:dyDescent="0.3">
      <c r="A11" t="s">
        <v>136</v>
      </c>
      <c r="B11">
        <v>7</v>
      </c>
      <c r="C11" t="s">
        <v>138</v>
      </c>
      <c r="D11" s="5"/>
      <c r="E11" s="5"/>
      <c r="F11" s="1"/>
      <c r="G11" s="1"/>
      <c r="H11" s="2"/>
      <c r="I11" s="2"/>
      <c r="J11" s="1"/>
      <c r="K11" s="1"/>
      <c r="L11" s="1"/>
      <c r="M11" s="1"/>
      <c r="O11" s="2"/>
      <c r="Q11" s="2"/>
    </row>
    <row r="12" spans="1:17" x14ac:dyDescent="0.3">
      <c r="A12" t="s">
        <v>152</v>
      </c>
      <c r="B12">
        <f>60*60*24*B11</f>
        <v>604800</v>
      </c>
      <c r="C12" t="s">
        <v>132</v>
      </c>
      <c r="D12" s="5"/>
      <c r="E12" s="5"/>
      <c r="F12" s="1"/>
      <c r="G12" s="1"/>
      <c r="H12" s="2"/>
      <c r="I12" s="2"/>
      <c r="J12" s="1"/>
      <c r="K12" s="1"/>
      <c r="L12" s="1"/>
      <c r="M12" s="1"/>
      <c r="O12" s="2"/>
      <c r="Q12" s="2"/>
    </row>
    <row r="13" spans="1:17" x14ac:dyDescent="0.3">
      <c r="A13" t="s">
        <v>139</v>
      </c>
      <c r="D13" s="5"/>
      <c r="E13" s="5"/>
      <c r="F13" s="1"/>
      <c r="G13" s="1"/>
      <c r="H13" s="2"/>
      <c r="I13" s="2"/>
      <c r="J13" s="1"/>
      <c r="K13" s="1"/>
      <c r="L13" s="1"/>
      <c r="M13" s="1"/>
      <c r="O13" s="2"/>
      <c r="Q13" s="2"/>
    </row>
    <row r="14" spans="1:17" x14ac:dyDescent="0.3">
      <c r="D14" s="5"/>
      <c r="E14" s="5"/>
      <c r="F14" s="1"/>
      <c r="G14" s="1"/>
      <c r="H14" s="2"/>
      <c r="I14" s="2"/>
      <c r="J14" s="1"/>
      <c r="K14" s="1"/>
      <c r="L14" s="1"/>
      <c r="M14" s="1"/>
      <c r="Q14" s="2"/>
    </row>
    <row r="15" spans="1:17" x14ac:dyDescent="0.3">
      <c r="A15" t="s">
        <v>154</v>
      </c>
      <c r="D15" s="5"/>
      <c r="E15" s="5"/>
      <c r="F15" s="1"/>
      <c r="G15" s="1"/>
      <c r="H15" s="2"/>
      <c r="I15" s="2"/>
      <c r="J15" s="1"/>
      <c r="K15" s="1"/>
      <c r="L15" s="1"/>
      <c r="M15" s="1"/>
      <c r="Q15" s="2"/>
    </row>
    <row r="16" spans="1:17" ht="57.6" x14ac:dyDescent="0.3">
      <c r="B16" s="3" t="s">
        <v>25</v>
      </c>
      <c r="C16" s="3" t="s">
        <v>33</v>
      </c>
      <c r="D16" s="3" t="s">
        <v>79</v>
      </c>
      <c r="E16" s="3" t="s">
        <v>155</v>
      </c>
      <c r="F16" s="3" t="s">
        <v>75</v>
      </c>
      <c r="G16" s="3" t="s">
        <v>83</v>
      </c>
      <c r="H16" s="3" t="s">
        <v>75</v>
      </c>
      <c r="I16" s="3" t="s">
        <v>83</v>
      </c>
      <c r="J16" s="3" t="s">
        <v>75</v>
      </c>
      <c r="K16" s="3" t="s">
        <v>83</v>
      </c>
      <c r="L16" s="1"/>
      <c r="M16" s="1"/>
      <c r="Q16" s="2"/>
    </row>
    <row r="17" spans="1:18" x14ac:dyDescent="0.3">
      <c r="A17" t="s">
        <v>88</v>
      </c>
      <c r="B17">
        <v>24</v>
      </c>
      <c r="C17" t="s">
        <v>72</v>
      </c>
      <c r="D17" t="s">
        <v>80</v>
      </c>
      <c r="F17">
        <v>685.51</v>
      </c>
      <c r="G17">
        <v>0.33200000000000002</v>
      </c>
      <c r="H17">
        <v>479.43</v>
      </c>
      <c r="I17">
        <v>0.26600000000000001</v>
      </c>
      <c r="Q17" s="2"/>
    </row>
    <row r="18" spans="1:18" x14ac:dyDescent="0.3">
      <c r="A18" t="s">
        <v>81</v>
      </c>
      <c r="B18">
        <f>54.29</f>
        <v>54.29</v>
      </c>
      <c r="C18" t="s">
        <v>74</v>
      </c>
      <c r="D18" t="s">
        <v>80</v>
      </c>
      <c r="F18">
        <v>416.9</v>
      </c>
      <c r="G18">
        <v>0.27200000000000002</v>
      </c>
      <c r="H18">
        <v>1097.28</v>
      </c>
      <c r="I18">
        <v>0.58499999999999996</v>
      </c>
      <c r="J18">
        <v>1293.56</v>
      </c>
      <c r="K18">
        <v>0.84799999999999998</v>
      </c>
      <c r="O18" s="2"/>
      <c r="P18" s="2"/>
      <c r="R18" s="2"/>
    </row>
    <row r="19" spans="1:18" x14ac:dyDescent="0.3">
      <c r="A19" t="s">
        <v>84</v>
      </c>
      <c r="B19">
        <f>2.6941</f>
        <v>2.6941000000000002</v>
      </c>
      <c r="C19" t="s">
        <v>73</v>
      </c>
      <c r="D19" t="s">
        <v>80</v>
      </c>
      <c r="F19">
        <v>411.8</v>
      </c>
      <c r="G19">
        <v>0.95620000000000005</v>
      </c>
      <c r="L19" s="1"/>
      <c r="M19" s="1"/>
      <c r="P19" s="2"/>
      <c r="R19" s="2"/>
    </row>
    <row r="20" spans="1:18" x14ac:dyDescent="0.3">
      <c r="A20" t="s">
        <v>118</v>
      </c>
      <c r="B20">
        <v>2.5789</v>
      </c>
      <c r="C20" t="s">
        <v>72</v>
      </c>
      <c r="D20" t="s">
        <v>80</v>
      </c>
      <c r="F20">
        <v>846.8</v>
      </c>
      <c r="G20">
        <v>0.98850000000000005</v>
      </c>
      <c r="L20" s="1"/>
      <c r="M20" s="1"/>
    </row>
    <row r="22" spans="1:18" x14ac:dyDescent="0.3">
      <c r="F22" t="s">
        <v>156</v>
      </c>
    </row>
    <row r="23" spans="1:18" x14ac:dyDescent="0.3">
      <c r="F23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Geometry</vt:lpstr>
      <vt:lpstr>Decay Information_Old</vt:lpstr>
      <vt:lpstr>Reactions_old</vt:lpstr>
      <vt:lpstr>Decay Information Updated</vt:lpstr>
      <vt:lpstr>ReactionsUpdated_old</vt:lpstr>
      <vt:lpstr>ReactionsUpdated New </vt:lpstr>
      <vt:lpstr>Flux Spectra</vt:lpstr>
      <vt:lpstr>Consolidated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2018-07-08T15:15:26Z</dcterms:created>
  <dcterms:modified xsi:type="dcterms:W3CDTF">2018-07-13T12:43:10Z</dcterms:modified>
</cp:coreProperties>
</file>