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Models\FissionProduct\NagyFits\ETA\"/>
    </mc:Choice>
  </mc:AlternateContent>
  <xr:revisionPtr revIDLastSave="0" documentId="13_ncr:1_{20E29A61-DF8E-4792-BF10-47BB84BD2212}" xr6:coauthVersionLast="40" xr6:coauthVersionMax="40" xr10:uidLastSave="{00000000-0000-0000-0000-000000000000}"/>
  <bookViews>
    <workbookView xWindow="0" yWindow="0" windowWidth="18936" windowHeight="9024" xr2:uid="{FA6D43D8-B038-4486-B126-A21E274FCE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P22" i="1"/>
  <c r="P30" i="1"/>
  <c r="R30" i="1"/>
  <c r="P31" i="1"/>
  <c r="R31" i="1"/>
  <c r="P32" i="1"/>
  <c r="R32" i="1"/>
  <c r="P33" i="1"/>
  <c r="R33" i="1"/>
  <c r="P34" i="1"/>
  <c r="R34" i="1"/>
  <c r="P35" i="1"/>
  <c r="R35" i="1"/>
  <c r="P36" i="1"/>
  <c r="R36" i="1"/>
  <c r="P37" i="1"/>
  <c r="R37" i="1"/>
  <c r="P38" i="1"/>
  <c r="R38" i="1"/>
  <c r="P39" i="1"/>
  <c r="R39" i="1"/>
  <c r="P40" i="1"/>
  <c r="R40" i="1"/>
  <c r="P41" i="1"/>
  <c r="R41" i="1"/>
  <c r="P42" i="1"/>
  <c r="R42" i="1"/>
  <c r="P43" i="1"/>
  <c r="R43" i="1"/>
  <c r="P44" i="1"/>
  <c r="R44" i="1"/>
  <c r="P45" i="1"/>
  <c r="R45" i="1"/>
  <c r="P46" i="1"/>
  <c r="R46" i="1"/>
  <c r="P47" i="1"/>
  <c r="R47" i="1"/>
  <c r="P48" i="1"/>
  <c r="R48" i="1"/>
  <c r="P49" i="1"/>
  <c r="R49" i="1"/>
  <c r="P50" i="1"/>
  <c r="R50" i="1"/>
  <c r="P51" i="1"/>
  <c r="R51" i="1"/>
  <c r="R29" i="1"/>
  <c r="P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3" i="1"/>
  <c r="S24" i="1"/>
  <c r="S25" i="1"/>
  <c r="P16" i="1" l="1"/>
  <c r="P17" i="1"/>
  <c r="P18" i="1"/>
  <c r="P19" i="1"/>
  <c r="P20" i="1"/>
  <c r="P23" i="1"/>
  <c r="P24" i="1"/>
  <c r="P25" i="1"/>
  <c r="P15" i="1"/>
  <c r="P4" i="1"/>
  <c r="P5" i="1"/>
  <c r="P6" i="1"/>
  <c r="P7" i="1"/>
  <c r="P8" i="1"/>
  <c r="P9" i="1"/>
  <c r="P10" i="1"/>
  <c r="P11" i="1"/>
  <c r="P12" i="1"/>
  <c r="P13" i="1"/>
  <c r="P14" i="1"/>
  <c r="P3" i="1"/>
  <c r="I2" i="1" l="1"/>
  <c r="K2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G25" i="1"/>
  <c r="G24" i="1"/>
  <c r="G23" i="1"/>
  <c r="G22" i="1"/>
  <c r="G21" i="1"/>
  <c r="G20" i="1"/>
  <c r="G19" i="1"/>
  <c r="J19" i="1" s="1"/>
  <c r="G18" i="1"/>
  <c r="G17" i="1"/>
  <c r="J17" i="1" s="1"/>
  <c r="G16" i="1"/>
  <c r="G15" i="1"/>
  <c r="G14" i="1"/>
  <c r="G13" i="1"/>
  <c r="G12" i="1"/>
  <c r="G11" i="1"/>
  <c r="J11" i="1" s="1"/>
  <c r="G10" i="1"/>
  <c r="G9" i="1"/>
  <c r="G8" i="1"/>
  <c r="G7" i="1"/>
  <c r="G6" i="1"/>
  <c r="G5" i="1"/>
  <c r="G4" i="1"/>
  <c r="J4" i="1" s="1"/>
  <c r="G3" i="1"/>
  <c r="J3" i="1" s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J22" i="1" l="1"/>
  <c r="J7" i="1"/>
  <c r="J14" i="1"/>
  <c r="J25" i="1"/>
  <c r="J6" i="1"/>
  <c r="J12" i="1"/>
  <c r="J20" i="1"/>
  <c r="J9" i="1"/>
  <c r="J5" i="1"/>
  <c r="J13" i="1"/>
  <c r="J21" i="1"/>
  <c r="J2" i="1"/>
  <c r="J10" i="1"/>
  <c r="J18" i="1"/>
  <c r="J24" i="1"/>
  <c r="J23" i="1"/>
  <c r="J15" i="1"/>
  <c r="J16" i="1"/>
  <c r="J8" i="1"/>
</calcChain>
</file>

<file path=xl/sharedStrings.xml><?xml version="1.0" encoding="utf-8"?>
<sst xmlns="http://schemas.openxmlformats.org/spreadsheetml/2006/main" count="241" uniqueCount="191">
  <si>
    <t>A</t>
  </si>
  <si>
    <t>Isotope</t>
  </si>
  <si>
    <t>FPY %</t>
  </si>
  <si>
    <t>Error</t>
  </si>
  <si>
    <t>Sr-91</t>
  </si>
  <si>
    <t>Sr-92</t>
  </si>
  <si>
    <t>Zr-95</t>
  </si>
  <si>
    <t>Zr-97</t>
  </si>
  <si>
    <t>Mo-99</t>
  </si>
  <si>
    <t>Ru-103</t>
  </si>
  <si>
    <t>Ru-105</t>
  </si>
  <si>
    <t>Pd-109</t>
  </si>
  <si>
    <t>Pd-112</t>
  </si>
  <si>
    <t>Ag-111</t>
  </si>
  <si>
    <t>Ag-113</t>
  </si>
  <si>
    <t>Te-132</t>
  </si>
  <si>
    <t>Ba-139</t>
  </si>
  <si>
    <t>Ba-140</t>
  </si>
  <si>
    <t>Ce-141</t>
  </si>
  <si>
    <t>Ce-143</t>
  </si>
  <si>
    <t>Ce-144</t>
  </si>
  <si>
    <t>Nd-147</t>
  </si>
  <si>
    <t>Pm-149</t>
  </si>
  <si>
    <t>Pm-151</t>
  </si>
  <si>
    <t>Sm-153</t>
  </si>
  <si>
    <t>Eu-156</t>
  </si>
  <si>
    <t>Tb-161</t>
  </si>
  <si>
    <t>Halflife</t>
  </si>
  <si>
    <t>Cd-115g</t>
  </si>
  <si>
    <t>83.06 min</t>
  </si>
  <si>
    <t>5.25 min</t>
  </si>
  <si>
    <t>9.65 hrs</t>
  </si>
  <si>
    <t>2.66 hrs</t>
  </si>
  <si>
    <t>64.032 days</t>
  </si>
  <si>
    <t>16.749 hrs</t>
  </si>
  <si>
    <t>65.976 hrs</t>
  </si>
  <si>
    <t>39.247 days</t>
  </si>
  <si>
    <t>4.44 hrs</t>
  </si>
  <si>
    <t>13.7012 hrs</t>
  </si>
  <si>
    <t>7.45 days</t>
  </si>
  <si>
    <t>21.04 hrs</t>
  </si>
  <si>
    <t>5.37 hrs</t>
  </si>
  <si>
    <t>53.46 hrs</t>
  </si>
  <si>
    <t>3.204 days</t>
  </si>
  <si>
    <t>12.7527 days</t>
  </si>
  <si>
    <t>32.511 days</t>
  </si>
  <si>
    <t>33.039 hrs</t>
  </si>
  <si>
    <t>284.91 days</t>
  </si>
  <si>
    <t>10.98 days</t>
  </si>
  <si>
    <t>53.08 hrs</t>
  </si>
  <si>
    <t>46.284 hrs</t>
  </si>
  <si>
    <t>15.19 days</t>
  </si>
  <si>
    <t>6.89 days</t>
  </si>
  <si>
    <t>Relative_Production_to_Zr95</t>
  </si>
  <si>
    <t>DecayConst_s^-1</t>
  </si>
  <si>
    <t>RelativeActivity_to_Zr95</t>
  </si>
  <si>
    <t xml:space="preserve">Latex </t>
  </si>
  <si>
    <t>FP</t>
  </si>
  <si>
    <t>Location</t>
  </si>
  <si>
    <t>$T_{1/2}$</t>
  </si>
  <si>
    <t>$E_{\gamma}$</t>
  </si>
  <si>
    <t>BR $[/%]$</t>
  </si>
  <si>
    <t xml:space="preserve">Light Peak </t>
  </si>
  <si>
    <t>Valley</t>
  </si>
  <si>
    <t>Heavy Peak</t>
  </si>
  <si>
    <t>Heavy Wing</t>
  </si>
  <si>
    <t>Latex 2</t>
  </si>
  <si>
    <t>Error %</t>
  </si>
  <si>
    <t>$\mathrm{^{91}Sr}$</t>
  </si>
  <si>
    <t>$\mathrm{^{92}Sr}$</t>
  </si>
  <si>
    <t>$\mathrm{^{95}Zr}$</t>
  </si>
  <si>
    <t>$\mathrm{^{97}Zr}$</t>
  </si>
  <si>
    <t>$\mathrm{^{99}Mo}$</t>
  </si>
  <si>
    <t>$\mathrm{^{103}Ru}$</t>
  </si>
  <si>
    <t>$\mathrm{^{105}Ru}$</t>
  </si>
  <si>
    <t>$\mathrm{^{109}Pd}$</t>
  </si>
  <si>
    <t>$\mathrm{^{111}Ag}$</t>
  </si>
  <si>
    <t>$\mathrm{^{112}Pd}$</t>
  </si>
  <si>
    <t>$\mathrm{^{113}Ag}$</t>
  </si>
  <si>
    <t>$\mathrm{^{115g}Cd}$</t>
  </si>
  <si>
    <t>$\mathrm{^{132}Te}$</t>
  </si>
  <si>
    <t>$\mathrm{^{140}Ba}$</t>
  </si>
  <si>
    <t>$\mathrm{^{141}Ce}$</t>
  </si>
  <si>
    <t>$\mathrm{^{143}Ce}$</t>
  </si>
  <si>
    <t>$\mathrm{^{144}Ce}$</t>
  </si>
  <si>
    <t>$\mathrm{^{147}Nd}$</t>
  </si>
  <si>
    <t>$\mathrm{^{153}Sm}$</t>
  </si>
  <si>
    <t>$\mathrm{^{156}Eu}$</t>
  </si>
  <si>
    <t>$\mathrm{^{161}Tb}$</t>
  </si>
  <si>
    <t>Relative Activity to $\mathrm{^{95}Zr}$</t>
  </si>
  <si>
    <t xml:space="preserve">copy </t>
  </si>
  <si>
    <t>copy</t>
  </si>
  <si>
    <t>$\mathrm{^{149}Pm}$</t>
  </si>
  <si>
    <t>$\mathrm{^{151}Pm}$</t>
  </si>
  <si>
    <t>35.08 hrs</t>
  </si>
  <si>
    <t>24.8 hrs</t>
  </si>
  <si>
    <t>ETA</t>
  </si>
  <si>
    <t>TN+PFNS</t>
  </si>
  <si>
    <t>141 $\pm$ 3.7\%</t>
  </si>
  <si>
    <t>1 $\pm$ 3.6\%</t>
  </si>
  <si>
    <t>1 $\pm$ 1.3\%</t>
  </si>
  <si>
    <t xml:space="preserve">ETA </t>
  </si>
  <si>
    <t xml:space="preserve">TN+PFNS </t>
  </si>
  <si>
    <t>5.71 $\pm$ 0.16</t>
  </si>
  <si>
    <t>0.32 $\pm$ 0.02</t>
  </si>
  <si>
    <t>0.28 $\pm$ 0.01</t>
  </si>
  <si>
    <t>0.27 $\pm$ 0.01</t>
  </si>
  <si>
    <t>0.20 $\pm$ 0.01</t>
  </si>
  <si>
    <t>5.06 $\pm$ 0.15</t>
  </si>
  <si>
    <t>0.47 $\pm$ 0.02</t>
  </si>
  <si>
    <t>0.027 $\pm$ 0.001</t>
  </si>
  <si>
    <t>5.74 $\pm$ 0.08</t>
  </si>
  <si>
    <t>0.29 $\pm$ 0.02</t>
  </si>
  <si>
    <t>0.25 $\pm$ 0.01</t>
  </si>
  <si>
    <t>0.23 $\pm$ 0.01</t>
  </si>
  <si>
    <t>0.18 $\pm$ 0.01</t>
  </si>
  <si>
    <t>5.60 $\pm$ 0.07</t>
  </si>
  <si>
    <t>5.49 $\pm$ 0.10</t>
  </si>
  <si>
    <t>0.46 $\pm$ 0.02</t>
  </si>
  <si>
    <t>Fission Product Yield [\%]</t>
  </si>
  <si>
    <t>5.37 $\pm$ 0.08</t>
  </si>
  <si>
    <t>141 $\pm$ 1.7\%</t>
  </si>
  <si>
    <t>5.41 $\pm$ 0.10</t>
  </si>
  <si>
    <t>517 $\pm$ 2.1\%</t>
  </si>
  <si>
    <t>6.05 $\pm$ 0.06</t>
  </si>
  <si>
    <t>87.0 $\pm$ 1.7\%</t>
  </si>
  <si>
    <t>5.65 $\pm$ 0.08</t>
  </si>
  <si>
    <t>21.7 $\pm$ 1.7\%</t>
  </si>
  <si>
    <t>3.21 $\pm$ 0.05</t>
  </si>
  <si>
    <t>0.864 $\pm$ 1.8\%</t>
  </si>
  <si>
    <t>1.39 $\pm$ 0.04</t>
  </si>
  <si>
    <t>79.7 $\pm$ 3.0\%</t>
  </si>
  <si>
    <t>5.31 $\pm$ 5.6\%</t>
  </si>
  <si>
    <t>0.350 $\pm$ 3.7\%</t>
  </si>
  <si>
    <t>2.82 $\pm$ 5.4\%</t>
  </si>
  <si>
    <t>8.30 $\pm$ 6.5\%</t>
  </si>
  <si>
    <t>1.18 $\pm$ 4.9\%</t>
  </si>
  <si>
    <t>4.33 $\pm$ 0.07</t>
  </si>
  <si>
    <t>14.3 $\pm$ 1.9\%</t>
  </si>
  <si>
    <t>4.65 $\pm$ 1.6\%</t>
  </si>
  <si>
    <t>1.79 $\pm$ 2.1\%</t>
  </si>
  <si>
    <t>5.11 $\pm$ 0.09</t>
  </si>
  <si>
    <t>39.3 $\pm$ 1.9\%</t>
  </si>
  <si>
    <t>4.75 $\pm$ 0.11</t>
  </si>
  <si>
    <t>0.176 $\pm$ 2.5\%</t>
  </si>
  <si>
    <t>2.10 $\pm$ 0.03</t>
  </si>
  <si>
    <t>2.02 $\pm$ 1.7\%</t>
  </si>
  <si>
    <t>1.01 $\pm$ 0.03</t>
  </si>
  <si>
    <t>4.84 $\pm$ 3.3\%</t>
  </si>
  <si>
    <t>1341 $\pm$ 4.3\%</t>
  </si>
  <si>
    <t>0.969 $\pm$ 5.5\%</t>
  </si>
  <si>
    <t>0.019 $\pm$ 4.3\%</t>
  </si>
  <si>
    <t>0.0011 $\pm$ 0.00004</t>
  </si>
  <si>
    <t>0.0017 $\pm$ 4.2\%</t>
  </si>
  <si>
    <t>5.34 $\pm$ 0.15</t>
  </si>
  <si>
    <t>5.38 $\pm$ 0.16</t>
  </si>
  <si>
    <t>6.03 $\pm$ 0.15</t>
  </si>
  <si>
    <t>5.62 $\pm$ 0.16</t>
  </si>
  <si>
    <t>3.20 $\pm$ 0.09</t>
  </si>
  <si>
    <t>1.41 $\pm$ 0.05</t>
  </si>
  <si>
    <t>4.32 $\pm$ 0.13</t>
  </si>
  <si>
    <t xml:space="preserve"> $\pm$ </t>
  </si>
  <si>
    <t>5.56 $\pm$ 0.15</t>
  </si>
  <si>
    <t>5.46 $\pm$ 0.17</t>
  </si>
  <si>
    <t>4.69 $\pm$ 0.16</t>
  </si>
  <si>
    <t>2.08 $\pm$ 0.06</t>
  </si>
  <si>
    <t>1.01 $\pm$ 0.04</t>
  </si>
  <si>
    <t>0.028 $\pm$ 0.001</t>
  </si>
  <si>
    <t>0.0013 $\pm$ 0.00006</t>
  </si>
  <si>
    <t>516 $\pm$ 4.0\%</t>
  </si>
  <si>
    <t>87.0 $\pm$ 3.7\%</t>
  </si>
  <si>
    <t>21.7 $\pm$ 3.8\%</t>
  </si>
  <si>
    <t>0.867 $\pm$ 3.8\%</t>
  </si>
  <si>
    <t>81.3 $\pm$ 4.6\%</t>
  </si>
  <si>
    <t>6.01 $\pm$ 6.3\%</t>
  </si>
  <si>
    <t>0.399 $\pm$ 4.8\%</t>
  </si>
  <si>
    <t>3.22 $\pm$ 5.9\%</t>
  </si>
  <si>
    <t>9.50 $\pm$ 7.0\%</t>
  </si>
  <si>
    <t>1.36 $\pm$ 5.6\%</t>
  </si>
  <si>
    <t>14.3 $\pm$ 3.9\%</t>
  </si>
  <si>
    <t>0.00\%</t>
  </si>
  <si>
    <t>4.63 $\pm$ 3.7\%</t>
  </si>
  <si>
    <t>1.78 $\pm$ 4.0\%</t>
  </si>
  <si>
    <t>39.1 $\pm$ 3.9\%</t>
  </si>
  <si>
    <t>0.175 $\pm$ 4.2\%</t>
  </si>
  <si>
    <t>2.01 $\pm$ 3.8\%</t>
  </si>
  <si>
    <t>4.83 $\pm$ 4.9\%</t>
  </si>
  <si>
    <t>1361 $\pm$ 5.5\%</t>
  </si>
  <si>
    <t>0.982 $\pm$ 6.6\%</t>
  </si>
  <si>
    <t>0.020 $\pm$ 5.4\%</t>
  </si>
  <si>
    <t>0.0020 $\pm$ 5.5\%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</si>
</sst>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6" formatCode="0.0"/>
    <numFmt numFmtId="167" formatCode="0.0000"/>
    <numFmt numFmtId="168" formatCode="0.00000"/>
  </numFmts>
  <fonts count="3">
    <font>
      <sz val="11"/>
      <color theme="1"/>
      <name val="Calibri"/>
      <family val="2"/>
      <scheme val="minor"/>
    </font>
    <font>
      <sz val="11"/>
      <color theme="1"/>
      <name val="Calibri "/>
    </font>
    <font>
      <sz val="11"/>
      <color rgb="FF131313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 applyBorder="1"/>
    <xf numFmtId="0" fontId="2" fillId="0" borderId="0" xfId="0" applyFont="1" applyBorder="1" applyAlignment="1">
      <alignment vertical="top"/>
    </xf>
    <xf numFmtId="0" fontId="2" fillId="0" borderId="0" xfId="0" applyFont="1" applyFill="1" applyBorder="1" applyAlignment="1">
      <alignment vertical="top"/>
    </xf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8EED7-703E-4E3C-8C41-2016A10564C2}">
  <dimension ref="A1:U51"/>
  <sheetViews>
    <sheetView tabSelected="1" topLeftCell="A22" zoomScale="70" zoomScaleNormal="70" workbookViewId="0">
      <selection activeCell="O29" sqref="O29:S51"/>
    </sheetView>
  </sheetViews>
  <sheetFormatPr defaultRowHeight="14.4"/>
  <cols>
    <col min="6" max="6" width="11.6640625" bestFit="1" customWidth="1"/>
    <col min="7" max="7" width="11.6640625" customWidth="1"/>
    <col min="10" max="10" width="21.109375" bestFit="1" customWidth="1"/>
    <col min="13" max="13" width="19.77734375" bestFit="1" customWidth="1"/>
    <col min="15" max="15" width="18.77734375" customWidth="1"/>
    <col min="16" max="16" width="20.21875" bestFit="1" customWidth="1"/>
    <col min="17" max="17" width="21.21875" bestFit="1" customWidth="1"/>
    <col min="18" max="18" width="35.77734375" bestFit="1" customWidth="1"/>
    <col min="19" max="19" width="19.44140625" bestFit="1" customWidth="1"/>
  </cols>
  <sheetData>
    <row r="1" spans="1:21">
      <c r="A1" t="s">
        <v>1</v>
      </c>
      <c r="B1" t="s">
        <v>0</v>
      </c>
      <c r="C1" t="s">
        <v>2</v>
      </c>
      <c r="D1" t="s">
        <v>3</v>
      </c>
      <c r="E1" t="s">
        <v>67</v>
      </c>
      <c r="F1" t="s">
        <v>27</v>
      </c>
      <c r="G1" t="s">
        <v>54</v>
      </c>
      <c r="H1" t="s">
        <v>53</v>
      </c>
      <c r="I1" t="s">
        <v>3</v>
      </c>
      <c r="J1" t="s">
        <v>55</v>
      </c>
      <c r="K1" t="s">
        <v>67</v>
      </c>
      <c r="L1" t="s">
        <v>90</v>
      </c>
      <c r="M1" t="s">
        <v>91</v>
      </c>
      <c r="P1" t="s">
        <v>56</v>
      </c>
    </row>
    <row r="2" spans="1:21">
      <c r="A2" t="s">
        <v>4</v>
      </c>
      <c r="B2">
        <v>91</v>
      </c>
      <c r="C2" s="7">
        <v>5.3383275084542401</v>
      </c>
      <c r="D2" s="7">
        <v>0.14685332440272</v>
      </c>
      <c r="E2" s="6">
        <f>100*D2/C2</f>
        <v>2.7509238459077361</v>
      </c>
      <c r="F2" t="s">
        <v>31</v>
      </c>
      <c r="G2">
        <f>LN(2)/(9.65*60*60)</f>
        <v>1.9952423159468777E-5</v>
      </c>
      <c r="H2" s="2">
        <f>C2/$C$4</f>
        <v>0.88600458087185341</v>
      </c>
      <c r="I2" s="2">
        <f>SQRT((D2/C2)^2+($D$4/$C$4)^2)</f>
        <v>3.7487378363535613E-2</v>
      </c>
      <c r="J2" s="10">
        <f>G2*C2/($G$4*$C$4)</f>
        <v>141.09673448054676</v>
      </c>
      <c r="K2" s="6">
        <f>I2*100</f>
        <v>3.7487378363535613</v>
      </c>
      <c r="L2" t="s">
        <v>154</v>
      </c>
      <c r="M2" t="s">
        <v>98</v>
      </c>
      <c r="P2" t="s">
        <v>0</v>
      </c>
      <c r="Q2" t="s">
        <v>57</v>
      </c>
      <c r="R2" t="s">
        <v>58</v>
      </c>
      <c r="S2" t="s">
        <v>59</v>
      </c>
      <c r="T2" t="s">
        <v>60</v>
      </c>
      <c r="U2" t="s">
        <v>61</v>
      </c>
    </row>
    <row r="3" spans="1:21">
      <c r="A3" t="s">
        <v>5</v>
      </c>
      <c r="B3">
        <v>92</v>
      </c>
      <c r="C3" s="7">
        <v>5.3801546151809898</v>
      </c>
      <c r="D3" s="7">
        <v>0.16358235448302499</v>
      </c>
      <c r="E3" s="6">
        <f t="shared" ref="E3:E25" si="0">100*D3/C3</f>
        <v>3.0404768298191747</v>
      </c>
      <c r="F3" t="s">
        <v>32</v>
      </c>
      <c r="G3">
        <f>LN(2)/(2.66*60*60)</f>
        <v>7.2383790785290848E-5</v>
      </c>
      <c r="H3" s="2">
        <f t="shared" ref="H3:H25" si="1">C3/$C$4</f>
        <v>0.89294664430011372</v>
      </c>
      <c r="I3" s="2">
        <f t="shared" ref="I3:I25" si="2">SQRT((D3/C3)^2+($D$4/$C$4)^2)</f>
        <v>3.966100441541065E-2</v>
      </c>
      <c r="J3" s="10">
        <f t="shared" ref="J3:J25" si="3">G3*C3/($G$4*$C$4)</f>
        <v>515.88414611571307</v>
      </c>
      <c r="K3" s="6">
        <f t="shared" ref="K3:K25" si="4">I3*100</f>
        <v>3.966100441541065</v>
      </c>
      <c r="L3" t="s">
        <v>155</v>
      </c>
      <c r="M3" t="s">
        <v>169</v>
      </c>
      <c r="P3">
        <f t="shared" ref="P3:P15" si="5">B2</f>
        <v>91</v>
      </c>
      <c r="Q3" t="s">
        <v>68</v>
      </c>
      <c r="R3" t="s">
        <v>62</v>
      </c>
      <c r="S3" t="str">
        <f t="shared" ref="S3:S15" si="6">F2</f>
        <v>9.65 hrs</v>
      </c>
      <c r="T3" s="4">
        <v>1024.3</v>
      </c>
      <c r="U3" s="4">
        <v>33.5</v>
      </c>
    </row>
    <row r="4" spans="1:21">
      <c r="A4" t="s">
        <v>6</v>
      </c>
      <c r="B4">
        <v>95</v>
      </c>
      <c r="C4" s="7">
        <v>6.02516919630503</v>
      </c>
      <c r="D4" s="7">
        <v>0.153440292359831</v>
      </c>
      <c r="E4" s="6">
        <f t="shared" si="0"/>
        <v>2.5466553280184923</v>
      </c>
      <c r="F4" t="s">
        <v>33</v>
      </c>
      <c r="G4">
        <f>LN(2)/(64.032*24*60*60)</f>
        <v>1.2528949294159802E-7</v>
      </c>
      <c r="H4" s="2">
        <f t="shared" si="1"/>
        <v>1</v>
      </c>
      <c r="I4" s="2">
        <f t="shared" si="2"/>
        <v>3.6015145035734546E-2</v>
      </c>
      <c r="J4" s="10">
        <f t="shared" si="3"/>
        <v>1</v>
      </c>
      <c r="K4" s="6">
        <f t="shared" si="4"/>
        <v>3.6015145035734544</v>
      </c>
      <c r="L4" t="s">
        <v>156</v>
      </c>
      <c r="M4" t="s">
        <v>99</v>
      </c>
      <c r="P4">
        <f t="shared" si="5"/>
        <v>92</v>
      </c>
      <c r="Q4" t="s">
        <v>69</v>
      </c>
      <c r="R4" t="s">
        <v>62</v>
      </c>
      <c r="S4" t="str">
        <f t="shared" si="6"/>
        <v>2.66 hrs</v>
      </c>
      <c r="T4" s="4">
        <v>1383.93</v>
      </c>
      <c r="U4" s="4">
        <v>90</v>
      </c>
    </row>
    <row r="5" spans="1:21">
      <c r="A5" t="s">
        <v>7</v>
      </c>
      <c r="B5">
        <v>97</v>
      </c>
      <c r="C5" s="7">
        <v>5.7148448555104103</v>
      </c>
      <c r="D5" s="7">
        <v>0.155923852177168</v>
      </c>
      <c r="E5" s="6">
        <f t="shared" si="0"/>
        <v>2.7284004398968409</v>
      </c>
      <c r="F5" t="s">
        <v>34</v>
      </c>
      <c r="G5">
        <f>LN(2)/(16.749*60*60)</f>
        <v>1.1495664427062732E-5</v>
      </c>
      <c r="H5" s="2">
        <f t="shared" si="1"/>
        <v>0.94849533171866307</v>
      </c>
      <c r="I5" s="2">
        <f t="shared" si="2"/>
        <v>3.7322409247199255E-2</v>
      </c>
      <c r="J5" s="6">
        <f t="shared" si="3"/>
        <v>87.027122451168808</v>
      </c>
      <c r="K5" s="6">
        <f t="shared" si="4"/>
        <v>3.7322409247199255</v>
      </c>
      <c r="L5" t="s">
        <v>103</v>
      </c>
      <c r="M5" t="s">
        <v>170</v>
      </c>
      <c r="P5">
        <f t="shared" si="5"/>
        <v>95</v>
      </c>
      <c r="Q5" t="s">
        <v>70</v>
      </c>
      <c r="R5" t="s">
        <v>62</v>
      </c>
      <c r="S5" t="str">
        <f t="shared" si="6"/>
        <v>64.032 days</v>
      </c>
      <c r="T5" s="4">
        <v>756.72500000000002</v>
      </c>
      <c r="U5" s="4">
        <v>54.38</v>
      </c>
    </row>
    <row r="6" spans="1:21">
      <c r="A6" t="s">
        <v>8</v>
      </c>
      <c r="B6">
        <v>99</v>
      </c>
      <c r="C6" s="7">
        <v>5.6226564193385897</v>
      </c>
      <c r="D6" s="7">
        <v>0.15534576555034499</v>
      </c>
      <c r="E6" s="6">
        <f t="shared" si="0"/>
        <v>2.7628536044999668</v>
      </c>
      <c r="F6" t="s">
        <v>35</v>
      </c>
      <c r="G6">
        <f>LN(2)/(65.976*60*60)</f>
        <v>2.9183473306789393E-6</v>
      </c>
      <c r="H6" s="2">
        <f t="shared" si="1"/>
        <v>0.93319477613785795</v>
      </c>
      <c r="I6" s="2">
        <f t="shared" si="2"/>
        <v>3.7575009513802431E-2</v>
      </c>
      <c r="J6" s="6">
        <f t="shared" si="3"/>
        <v>21.736750784161263</v>
      </c>
      <c r="K6" s="6">
        <f t="shared" si="4"/>
        <v>3.7575009513802429</v>
      </c>
      <c r="L6" t="s">
        <v>157</v>
      </c>
      <c r="M6" t="s">
        <v>171</v>
      </c>
      <c r="P6">
        <f t="shared" si="5"/>
        <v>97</v>
      </c>
      <c r="Q6" t="s">
        <v>71</v>
      </c>
      <c r="R6" t="s">
        <v>62</v>
      </c>
      <c r="S6" t="str">
        <f t="shared" si="6"/>
        <v>16.749 hrs</v>
      </c>
      <c r="T6" s="4">
        <v>743.36</v>
      </c>
      <c r="U6" s="4">
        <v>93.09</v>
      </c>
    </row>
    <row r="7" spans="1:21">
      <c r="A7" t="s">
        <v>9</v>
      </c>
      <c r="B7">
        <v>103</v>
      </c>
      <c r="C7" s="7">
        <v>3.2030050139085202</v>
      </c>
      <c r="D7" s="7">
        <v>8.9192888885356106E-2</v>
      </c>
      <c r="E7" s="6">
        <f t="shared" si="0"/>
        <v>2.7846627931598835</v>
      </c>
      <c r="F7" t="s">
        <v>36</v>
      </c>
      <c r="G7">
        <f>LN(2)/(39.247*24*60*60)</f>
        <v>2.0441146615120656E-7</v>
      </c>
      <c r="H7" s="2">
        <f t="shared" si="1"/>
        <v>0.53160416073838745</v>
      </c>
      <c r="I7" s="2">
        <f t="shared" si="2"/>
        <v>3.7735659834344987E-2</v>
      </c>
      <c r="J7" s="2">
        <f t="shared" si="3"/>
        <v>0.86731922491911295</v>
      </c>
      <c r="K7" s="6">
        <f t="shared" si="4"/>
        <v>3.7735659834344988</v>
      </c>
      <c r="L7" t="s">
        <v>158</v>
      </c>
      <c r="M7" t="s">
        <v>172</v>
      </c>
      <c r="P7">
        <f t="shared" si="5"/>
        <v>99</v>
      </c>
      <c r="Q7" t="s">
        <v>72</v>
      </c>
      <c r="R7" t="s">
        <v>62</v>
      </c>
      <c r="S7" t="str">
        <f t="shared" si="6"/>
        <v>65.976 hrs</v>
      </c>
      <c r="T7" s="4">
        <v>739.5</v>
      </c>
      <c r="U7" s="4">
        <v>12.2</v>
      </c>
    </row>
    <row r="8" spans="1:21">
      <c r="A8" t="s">
        <v>10</v>
      </c>
      <c r="B8">
        <v>105</v>
      </c>
      <c r="C8" s="7">
        <v>1.4145271115995901</v>
      </c>
      <c r="D8" s="7">
        <v>5.40512701721007E-2</v>
      </c>
      <c r="E8" s="6">
        <f t="shared" si="0"/>
        <v>3.8211547681809992</v>
      </c>
      <c r="F8" t="s">
        <v>37</v>
      </c>
      <c r="G8">
        <f>LN(2)/(4.44*60*60)</f>
        <v>4.3365063848845423E-5</v>
      </c>
      <c r="H8" s="2">
        <f t="shared" si="1"/>
        <v>0.23476969119258212</v>
      </c>
      <c r="I8" s="2">
        <f t="shared" si="2"/>
        <v>4.5920232057468258E-2</v>
      </c>
      <c r="J8" s="6">
        <f t="shared" si="3"/>
        <v>81.258231710504958</v>
      </c>
      <c r="K8" s="6">
        <f t="shared" si="4"/>
        <v>4.592023205746826</v>
      </c>
      <c r="L8" t="s">
        <v>159</v>
      </c>
      <c r="M8" t="s">
        <v>173</v>
      </c>
      <c r="P8">
        <f t="shared" si="5"/>
        <v>103</v>
      </c>
      <c r="Q8" t="s">
        <v>73</v>
      </c>
      <c r="R8" t="s">
        <v>62</v>
      </c>
      <c r="S8" t="str">
        <f t="shared" si="6"/>
        <v>39.247 days</v>
      </c>
      <c r="T8" s="4">
        <v>497.08499999999998</v>
      </c>
      <c r="U8" s="4">
        <v>91</v>
      </c>
    </row>
    <row r="9" spans="1:21">
      <c r="A9" t="s">
        <v>11</v>
      </c>
      <c r="B9">
        <v>109</v>
      </c>
      <c r="C9" s="7">
        <v>0.32295327332300999</v>
      </c>
      <c r="D9" s="7">
        <v>1.8537846491171E-2</v>
      </c>
      <c r="E9" s="6">
        <f t="shared" si="0"/>
        <v>5.7401017492180353</v>
      </c>
      <c r="F9" t="s">
        <v>38</v>
      </c>
      <c r="G9">
        <f>LN(2)/(13.7012*60*60)</f>
        <v>1.4052848180369142E-5</v>
      </c>
      <c r="H9" s="2">
        <f t="shared" si="1"/>
        <v>5.360069780630608E-2</v>
      </c>
      <c r="I9" s="2">
        <f t="shared" si="2"/>
        <v>6.2796673041731227E-2</v>
      </c>
      <c r="J9" s="7">
        <f t="shared" si="3"/>
        <v>6.0120162588971304</v>
      </c>
      <c r="K9" s="6">
        <f t="shared" si="4"/>
        <v>6.279667304173123</v>
      </c>
      <c r="L9" t="s">
        <v>104</v>
      </c>
      <c r="M9" t="s">
        <v>174</v>
      </c>
      <c r="P9">
        <f t="shared" si="5"/>
        <v>105</v>
      </c>
      <c r="Q9" t="s">
        <v>74</v>
      </c>
      <c r="R9" t="s">
        <v>63</v>
      </c>
      <c r="S9" t="str">
        <f t="shared" si="6"/>
        <v>4.44 hrs</v>
      </c>
      <c r="T9" s="4">
        <v>724.3</v>
      </c>
      <c r="U9" s="4">
        <v>47.3</v>
      </c>
    </row>
    <row r="10" spans="1:21">
      <c r="A10" t="s">
        <v>13</v>
      </c>
      <c r="B10">
        <v>111</v>
      </c>
      <c r="C10" s="7">
        <v>0.27971630847920897</v>
      </c>
      <c r="D10" s="7">
        <v>1.1291980041153201E-2</v>
      </c>
      <c r="E10" s="6">
        <f t="shared" si="0"/>
        <v>4.036940177906188</v>
      </c>
      <c r="F10" t="s">
        <v>39</v>
      </c>
      <c r="G10">
        <f>LN(2)/(7.45*24*60*60)</f>
        <v>1.0768505787968328E-6</v>
      </c>
      <c r="H10" s="2">
        <f t="shared" si="1"/>
        <v>4.6424639601946219E-2</v>
      </c>
      <c r="I10" s="2">
        <f t="shared" si="2"/>
        <v>4.773084889221877E-2</v>
      </c>
      <c r="J10" s="2">
        <f t="shared" si="3"/>
        <v>0.39901510375729132</v>
      </c>
      <c r="K10" s="6">
        <f t="shared" si="4"/>
        <v>4.7730848892218773</v>
      </c>
      <c r="L10" t="s">
        <v>105</v>
      </c>
      <c r="M10" t="s">
        <v>175</v>
      </c>
      <c r="P10">
        <f t="shared" si="5"/>
        <v>109</v>
      </c>
      <c r="Q10" t="s">
        <v>75</v>
      </c>
      <c r="R10" t="s">
        <v>63</v>
      </c>
      <c r="S10" t="str">
        <f t="shared" si="6"/>
        <v>13.7012 hrs</v>
      </c>
      <c r="T10" s="3">
        <v>88.03</v>
      </c>
      <c r="U10" s="3">
        <v>3.67</v>
      </c>
    </row>
    <row r="11" spans="1:21">
      <c r="A11" t="s">
        <v>12</v>
      </c>
      <c r="B11">
        <v>112</v>
      </c>
      <c r="C11" s="7">
        <v>0.26593591977123299</v>
      </c>
      <c r="D11" s="7">
        <v>1.4251907133917399E-2</v>
      </c>
      <c r="E11" s="6">
        <f t="shared" si="0"/>
        <v>5.3591508609206944</v>
      </c>
      <c r="F11" t="s">
        <v>40</v>
      </c>
      <c r="G11">
        <f>LN(2)/(21.04*60*60)</f>
        <v>9.1511826753266977E-6</v>
      </c>
      <c r="H11" s="2">
        <f t="shared" si="1"/>
        <v>4.4137502384882357E-2</v>
      </c>
      <c r="I11" s="2">
        <f t="shared" si="2"/>
        <v>5.9334603150128166E-2</v>
      </c>
      <c r="J11" s="7">
        <f t="shared" si="3"/>
        <v>3.2238166000480462</v>
      </c>
      <c r="K11" s="6">
        <f t="shared" si="4"/>
        <v>5.9334603150128169</v>
      </c>
      <c r="L11" t="s">
        <v>106</v>
      </c>
      <c r="M11" t="s">
        <v>176</v>
      </c>
      <c r="P11">
        <f t="shared" si="5"/>
        <v>111</v>
      </c>
      <c r="Q11" t="s">
        <v>76</v>
      </c>
      <c r="R11" t="s">
        <v>63</v>
      </c>
      <c r="S11" t="str">
        <f t="shared" si="6"/>
        <v>7.45 days</v>
      </c>
      <c r="T11" s="4">
        <v>342.13</v>
      </c>
      <c r="U11" s="4">
        <v>6.7</v>
      </c>
    </row>
    <row r="12" spans="1:21">
      <c r="A12" t="s">
        <v>14</v>
      </c>
      <c r="B12">
        <v>113</v>
      </c>
      <c r="C12" s="7">
        <v>0.200013809701754</v>
      </c>
      <c r="D12" s="7">
        <v>1.3067725332055601E-2</v>
      </c>
      <c r="E12" s="6">
        <f t="shared" si="0"/>
        <v>6.5334115437035267</v>
      </c>
      <c r="F12" t="s">
        <v>41</v>
      </c>
      <c r="G12">
        <f>LN(2)/(5.37*60*60)</f>
        <v>3.5854913126419684E-5</v>
      </c>
      <c r="H12" s="2">
        <f t="shared" si="1"/>
        <v>3.3196380580384967E-2</v>
      </c>
      <c r="I12" s="2">
        <f t="shared" si="2"/>
        <v>7.0121979264082007E-2</v>
      </c>
      <c r="J12" s="7">
        <f t="shared" si="3"/>
        <v>9.5000252126177003</v>
      </c>
      <c r="K12" s="6">
        <f t="shared" si="4"/>
        <v>7.0121979264082004</v>
      </c>
      <c r="L12" t="s">
        <v>107</v>
      </c>
      <c r="M12" t="s">
        <v>177</v>
      </c>
      <c r="P12">
        <f t="shared" si="5"/>
        <v>112</v>
      </c>
      <c r="Q12" t="s">
        <v>77</v>
      </c>
      <c r="R12" t="s">
        <v>63</v>
      </c>
      <c r="S12" t="str">
        <f t="shared" si="6"/>
        <v>21.04 hrs</v>
      </c>
      <c r="T12" s="5">
        <v>18.5</v>
      </c>
      <c r="U12" s="5">
        <v>27</v>
      </c>
    </row>
    <row r="13" spans="1:21">
      <c r="A13" t="s">
        <v>28</v>
      </c>
      <c r="B13">
        <v>115</v>
      </c>
      <c r="C13" s="7">
        <v>0.284922846724874</v>
      </c>
      <c r="D13" s="7">
        <v>1.4156630336317901E-2</v>
      </c>
      <c r="E13" s="6">
        <f t="shared" si="0"/>
        <v>4.9685837759397957</v>
      </c>
      <c r="F13" t="s">
        <v>42</v>
      </c>
      <c r="G13">
        <f>LN(2)/(53.46*60*60)</f>
        <v>3.6015877944046708E-6</v>
      </c>
      <c r="H13" s="2">
        <f t="shared" si="1"/>
        <v>4.7288771060504754E-2</v>
      </c>
      <c r="I13" s="2">
        <f t="shared" si="2"/>
        <v>5.5832139577717363E-2</v>
      </c>
      <c r="J13" s="7">
        <f t="shared" si="3"/>
        <v>1.3593690633204221</v>
      </c>
      <c r="K13" s="6">
        <f t="shared" si="4"/>
        <v>5.5832139577717363</v>
      </c>
      <c r="L13" t="s">
        <v>105</v>
      </c>
      <c r="M13" t="s">
        <v>178</v>
      </c>
      <c r="P13">
        <f t="shared" si="5"/>
        <v>113</v>
      </c>
      <c r="Q13" t="s">
        <v>78</v>
      </c>
      <c r="R13" t="s">
        <v>63</v>
      </c>
      <c r="S13" t="str">
        <f t="shared" si="6"/>
        <v>5.37 hrs</v>
      </c>
      <c r="T13" s="5">
        <v>298.60000000000002</v>
      </c>
      <c r="U13" s="5">
        <v>10</v>
      </c>
    </row>
    <row r="14" spans="1:21">
      <c r="A14" t="s">
        <v>15</v>
      </c>
      <c r="B14">
        <v>132</v>
      </c>
      <c r="C14" s="7">
        <v>4.3192900538071903</v>
      </c>
      <c r="D14" s="7">
        <v>0.12613421105669201</v>
      </c>
      <c r="E14" s="6">
        <f t="shared" si="0"/>
        <v>2.9202533167577482</v>
      </c>
      <c r="F14" t="s">
        <v>43</v>
      </c>
      <c r="G14">
        <f>LN(2)/(3.204*24*60*60)</f>
        <v>2.5039128626830221E-6</v>
      </c>
      <c r="H14" s="2">
        <f t="shared" si="1"/>
        <v>0.71687448320223435</v>
      </c>
      <c r="I14" s="2">
        <f t="shared" si="2"/>
        <v>3.8747042201643732E-2</v>
      </c>
      <c r="J14" s="6">
        <f t="shared" si="3"/>
        <v>14.326749971412442</v>
      </c>
      <c r="K14" s="6">
        <f t="shared" si="4"/>
        <v>3.8747042201643733</v>
      </c>
      <c r="L14" t="s">
        <v>160</v>
      </c>
      <c r="M14" t="s">
        <v>179</v>
      </c>
      <c r="P14">
        <f t="shared" si="5"/>
        <v>115</v>
      </c>
      <c r="Q14" t="s">
        <v>79</v>
      </c>
      <c r="R14" t="s">
        <v>63</v>
      </c>
      <c r="S14" t="str">
        <f t="shared" si="6"/>
        <v>53.46 hrs</v>
      </c>
      <c r="T14" s="4">
        <v>527.90099999999995</v>
      </c>
      <c r="U14" s="4">
        <v>27.4</v>
      </c>
    </row>
    <row r="15" spans="1:21">
      <c r="A15" t="s">
        <v>16</v>
      </c>
      <c r="B15">
        <v>139</v>
      </c>
      <c r="C15" s="7"/>
      <c r="D15" s="7"/>
      <c r="E15" s="6" t="e">
        <f t="shared" si="0"/>
        <v>#DIV/0!</v>
      </c>
      <c r="F15" t="s">
        <v>29</v>
      </c>
      <c r="G15">
        <f>LN(2)/(83.06*60)</f>
        <v>1.3908563700135349E-4</v>
      </c>
      <c r="H15" s="2">
        <f t="shared" si="1"/>
        <v>0</v>
      </c>
      <c r="I15" s="2" t="e">
        <f t="shared" si="2"/>
        <v>#DIV/0!</v>
      </c>
      <c r="J15" s="7">
        <f t="shared" si="3"/>
        <v>0</v>
      </c>
      <c r="K15" s="6" t="e">
        <f t="shared" si="4"/>
        <v>#DIV/0!</v>
      </c>
      <c r="L15" t="s">
        <v>161</v>
      </c>
      <c r="M15" t="s">
        <v>180</v>
      </c>
      <c r="P15">
        <f t="shared" si="5"/>
        <v>132</v>
      </c>
      <c r="Q15" t="s">
        <v>80</v>
      </c>
      <c r="R15" t="s">
        <v>64</v>
      </c>
      <c r="S15" t="str">
        <f t="shared" si="6"/>
        <v>3.204 days</v>
      </c>
      <c r="T15" s="5">
        <v>772.6</v>
      </c>
      <c r="U15" s="5">
        <v>77.900000000000006</v>
      </c>
    </row>
    <row r="16" spans="1:21">
      <c r="A16" t="s">
        <v>17</v>
      </c>
      <c r="B16">
        <v>140</v>
      </c>
      <c r="C16" s="7">
        <v>5.5590392243426896</v>
      </c>
      <c r="D16" s="7">
        <v>0.14803290674890701</v>
      </c>
      <c r="E16" s="6">
        <f t="shared" si="0"/>
        <v>2.6629225082758912</v>
      </c>
      <c r="F16" t="s">
        <v>44</v>
      </c>
      <c r="G16">
        <f>LN(2)/(12.7527*24*60*60)</f>
        <v>6.2908535541778636E-7</v>
      </c>
      <c r="H16" s="2">
        <f t="shared" si="1"/>
        <v>0.92263620210894703</v>
      </c>
      <c r="I16" s="2">
        <f t="shared" si="2"/>
        <v>3.6846451178922698E-2</v>
      </c>
      <c r="J16" s="7">
        <f t="shared" si="3"/>
        <v>4.6326065298674077</v>
      </c>
      <c r="K16" s="6">
        <f t="shared" si="4"/>
        <v>3.6846451178922699</v>
      </c>
      <c r="L16" t="s">
        <v>162</v>
      </c>
      <c r="M16" t="s">
        <v>181</v>
      </c>
      <c r="P16">
        <f>B16</f>
        <v>140</v>
      </c>
      <c r="Q16" t="s">
        <v>81</v>
      </c>
      <c r="R16" t="s">
        <v>64</v>
      </c>
      <c r="S16" t="str">
        <f>F16</f>
        <v>12.7527 days</v>
      </c>
      <c r="T16" s="5">
        <v>537.29999999999995</v>
      </c>
      <c r="U16" s="5">
        <v>24.39</v>
      </c>
    </row>
    <row r="17" spans="1:21">
      <c r="A17" t="s">
        <v>18</v>
      </c>
      <c r="B17">
        <v>141</v>
      </c>
      <c r="C17" s="7">
        <v>5.4574844183761702</v>
      </c>
      <c r="D17" s="7">
        <v>0.168302675836487</v>
      </c>
      <c r="E17" s="6">
        <f t="shared" si="0"/>
        <v>3.0838874275075643</v>
      </c>
      <c r="F17" t="s">
        <v>45</v>
      </c>
      <c r="G17">
        <f>LN(2)/(32.511*24*60*60)</f>
        <v>2.4676376648015754E-7</v>
      </c>
      <c r="H17" s="2">
        <f t="shared" si="1"/>
        <v>0.90578110598504091</v>
      </c>
      <c r="I17" s="2">
        <f t="shared" si="2"/>
        <v>3.9994768439464923E-2</v>
      </c>
      <c r="J17" s="7">
        <f t="shared" si="3"/>
        <v>1.7839800614694754</v>
      </c>
      <c r="K17" s="6">
        <f t="shared" si="4"/>
        <v>3.9994768439464923</v>
      </c>
      <c r="L17" t="s">
        <v>163</v>
      </c>
      <c r="M17" t="s">
        <v>182</v>
      </c>
      <c r="P17">
        <f>B17</f>
        <v>141</v>
      </c>
      <c r="Q17" t="s">
        <v>82</v>
      </c>
      <c r="R17" t="s">
        <v>64</v>
      </c>
      <c r="S17" t="str">
        <f>F17</f>
        <v>32.511 days</v>
      </c>
      <c r="T17" s="5">
        <v>145.4</v>
      </c>
      <c r="U17" s="5">
        <v>48.29</v>
      </c>
    </row>
    <row r="18" spans="1:21">
      <c r="A18" t="s">
        <v>19</v>
      </c>
      <c r="B18">
        <v>143</v>
      </c>
      <c r="C18" s="7">
        <v>5.0618993876164096</v>
      </c>
      <c r="D18" s="7">
        <v>0.146189121428834</v>
      </c>
      <c r="E18" s="6">
        <f t="shared" si="0"/>
        <v>2.8880289834775397</v>
      </c>
      <c r="F18" t="s">
        <v>46</v>
      </c>
      <c r="G18">
        <f>LN(2)/(33.039*60*60)</f>
        <v>5.827684962888516E-6</v>
      </c>
      <c r="H18" s="2">
        <f t="shared" si="1"/>
        <v>0.84012568322905334</v>
      </c>
      <c r="I18" s="2">
        <f t="shared" si="2"/>
        <v>3.8504759146281237E-2</v>
      </c>
      <c r="J18" s="6">
        <f t="shared" si="3"/>
        <v>39.077401433595014</v>
      </c>
      <c r="K18" s="6">
        <f t="shared" si="4"/>
        <v>3.8504759146281238</v>
      </c>
      <c r="L18" t="s">
        <v>108</v>
      </c>
      <c r="M18" t="s">
        <v>183</v>
      </c>
      <c r="P18">
        <f>B18</f>
        <v>143</v>
      </c>
      <c r="Q18" t="s">
        <v>83</v>
      </c>
      <c r="R18" t="s">
        <v>64</v>
      </c>
      <c r="S18" t="str">
        <f>F18</f>
        <v>33.039 hrs</v>
      </c>
      <c r="T18" s="5">
        <v>293.3</v>
      </c>
      <c r="U18" s="5">
        <v>42.8</v>
      </c>
    </row>
    <row r="19" spans="1:21">
      <c r="A19" t="s">
        <v>20</v>
      </c>
      <c r="B19">
        <v>144</v>
      </c>
      <c r="C19" s="7">
        <v>4.6884707384811097</v>
      </c>
      <c r="D19" s="7">
        <v>0.15569659478787101</v>
      </c>
      <c r="E19" s="6">
        <f t="shared" si="0"/>
        <v>3.3208396398846021</v>
      </c>
      <c r="F19" t="s">
        <v>47</v>
      </c>
      <c r="G19">
        <f>LN(2)/(284.91*24*60*60)</f>
        <v>2.8158144017536781E-8</v>
      </c>
      <c r="H19" s="2">
        <f t="shared" si="1"/>
        <v>0.77814756494412496</v>
      </c>
      <c r="I19" s="2">
        <f t="shared" si="2"/>
        <v>4.1849049300496495E-2</v>
      </c>
      <c r="J19" s="2">
        <f t="shared" si="3"/>
        <v>0.17488450696185534</v>
      </c>
      <c r="K19" s="6">
        <f t="shared" si="4"/>
        <v>4.1849049300496493</v>
      </c>
      <c r="L19" t="s">
        <v>164</v>
      </c>
      <c r="M19" t="s">
        <v>184</v>
      </c>
      <c r="P19">
        <f>B19</f>
        <v>144</v>
      </c>
      <c r="Q19" t="s">
        <v>84</v>
      </c>
      <c r="R19" t="s">
        <v>64</v>
      </c>
      <c r="S19" t="str">
        <f>F19</f>
        <v>284.91 days</v>
      </c>
      <c r="T19" s="5">
        <v>133.5</v>
      </c>
      <c r="U19" s="5">
        <v>11.09</v>
      </c>
    </row>
    <row r="20" spans="1:21">
      <c r="A20" t="s">
        <v>21</v>
      </c>
      <c r="B20">
        <v>147</v>
      </c>
      <c r="C20" s="7">
        <v>2.0812322882310799</v>
      </c>
      <c r="D20" s="7">
        <v>5.78462630414786E-2</v>
      </c>
      <c r="E20" s="6">
        <f t="shared" si="0"/>
        <v>2.7794236793550993</v>
      </c>
      <c r="F20" t="s">
        <v>48</v>
      </c>
      <c r="G20">
        <f>LN(2)/(10.98*24*60*60)</f>
        <v>7.3064998288127551E-7</v>
      </c>
      <c r="H20" s="2">
        <f t="shared" si="1"/>
        <v>0.34542304463539508</v>
      </c>
      <c r="I20" s="2">
        <f t="shared" si="2"/>
        <v>3.7697014933658624E-2</v>
      </c>
      <c r="J20" s="7">
        <f t="shared" si="3"/>
        <v>2.0144014930868503</v>
      </c>
      <c r="K20" s="6">
        <f t="shared" si="4"/>
        <v>3.7697014933658624</v>
      </c>
      <c r="L20" t="s">
        <v>165</v>
      </c>
      <c r="M20" t="s">
        <v>185</v>
      </c>
      <c r="P20">
        <f>B20</f>
        <v>147</v>
      </c>
      <c r="Q20" t="s">
        <v>85</v>
      </c>
      <c r="R20" t="s">
        <v>65</v>
      </c>
      <c r="S20" t="str">
        <f>F20</f>
        <v>10.98 days</v>
      </c>
      <c r="T20" s="5">
        <v>531</v>
      </c>
      <c r="U20" s="5">
        <v>13.4</v>
      </c>
    </row>
    <row r="21" spans="1:21">
      <c r="A21" t="s">
        <v>22</v>
      </c>
      <c r="B21">
        <v>149</v>
      </c>
      <c r="C21" s="7">
        <v>1.0056966909640399</v>
      </c>
      <c r="D21" s="7">
        <v>4.1779764949735301E-2</v>
      </c>
      <c r="E21" s="6">
        <f t="shared" si="0"/>
        <v>4.1543106709127269</v>
      </c>
      <c r="F21" t="s">
        <v>49</v>
      </c>
      <c r="G21">
        <f>LN(2)/(53.08*60*60)</f>
        <v>3.6273715804233933E-6</v>
      </c>
      <c r="H21" s="2">
        <f t="shared" si="1"/>
        <v>0.16691592521265447</v>
      </c>
      <c r="I21" s="2">
        <f t="shared" si="2"/>
        <v>4.8727559460929624E-2</v>
      </c>
      <c r="J21" s="7">
        <f t="shared" si="3"/>
        <v>4.8325367851771031</v>
      </c>
      <c r="K21" s="6">
        <f t="shared" si="4"/>
        <v>4.8727559460929628</v>
      </c>
      <c r="L21" t="s">
        <v>166</v>
      </c>
      <c r="M21" t="s">
        <v>186</v>
      </c>
      <c r="P21">
        <f t="shared" ref="P21:P22" si="7">B21</f>
        <v>149</v>
      </c>
      <c r="Q21" t="s">
        <v>92</v>
      </c>
      <c r="R21" t="s">
        <v>65</v>
      </c>
      <c r="S21" t="s">
        <v>94</v>
      </c>
      <c r="T21" s="5">
        <v>385.95</v>
      </c>
      <c r="U21" s="5">
        <v>3.1</v>
      </c>
    </row>
    <row r="22" spans="1:21">
      <c r="A22" t="s">
        <v>23</v>
      </c>
      <c r="B22">
        <v>151</v>
      </c>
      <c r="C22" s="7">
        <v>0.46683270135782801</v>
      </c>
      <c r="D22" s="7">
        <v>2.29914335190637E-2</v>
      </c>
      <c r="E22" s="6">
        <f t="shared" si="0"/>
        <v>4.9249835009824494</v>
      </c>
      <c r="F22" t="s">
        <v>30</v>
      </c>
      <c r="G22">
        <f>LN(2)/(5.25*60)</f>
        <v>2.2004672398728423E-3</v>
      </c>
      <c r="H22" s="2">
        <f t="shared" si="1"/>
        <v>7.7480430200054115E-2</v>
      </c>
      <c r="I22" s="2">
        <f t="shared" si="2"/>
        <v>5.5444491020005149E-2</v>
      </c>
      <c r="J22" s="10">
        <f t="shared" si="3"/>
        <v>1360.7936658020199</v>
      </c>
      <c r="K22" s="6">
        <f t="shared" si="4"/>
        <v>5.5444491020005149</v>
      </c>
      <c r="L22" t="s">
        <v>109</v>
      </c>
      <c r="M22" t="s">
        <v>187</v>
      </c>
      <c r="P22">
        <f t="shared" si="7"/>
        <v>151</v>
      </c>
      <c r="Q22" t="s">
        <v>93</v>
      </c>
      <c r="R22" t="s">
        <v>65</v>
      </c>
      <c r="S22" t="s">
        <v>95</v>
      </c>
      <c r="T22" s="5">
        <v>340.08</v>
      </c>
      <c r="U22" s="5">
        <v>22.5</v>
      </c>
    </row>
    <row r="23" spans="1:21">
      <c r="A23" t="s">
        <v>24</v>
      </c>
      <c r="B23">
        <v>153</v>
      </c>
      <c r="C23" s="7">
        <v>0.178191710905163</v>
      </c>
      <c r="D23" s="7">
        <v>1.0903500894190499E-2</v>
      </c>
      <c r="E23" s="6">
        <f t="shared" si="0"/>
        <v>6.1189719986433868</v>
      </c>
      <c r="F23" t="s">
        <v>50</v>
      </c>
      <c r="G23">
        <f>LN(2)/(46.284*60*60)</f>
        <v>4.1599879761661417E-6</v>
      </c>
      <c r="H23" s="2">
        <f t="shared" si="1"/>
        <v>2.9574557178317931E-2</v>
      </c>
      <c r="I23" s="2">
        <f t="shared" si="2"/>
        <v>6.6277652100769857E-2</v>
      </c>
      <c r="J23" s="2">
        <f t="shared" si="3"/>
        <v>0.98196424435678176</v>
      </c>
      <c r="K23" s="6">
        <f t="shared" si="4"/>
        <v>6.6277652100769853</v>
      </c>
      <c r="L23" t="s">
        <v>115</v>
      </c>
      <c r="M23" t="s">
        <v>188</v>
      </c>
      <c r="P23">
        <f>B23</f>
        <v>153</v>
      </c>
      <c r="Q23" t="s">
        <v>86</v>
      </c>
      <c r="R23" t="s">
        <v>65</v>
      </c>
      <c r="S23" t="str">
        <f>F23</f>
        <v>46.284 hrs</v>
      </c>
      <c r="T23" s="5">
        <v>103.2</v>
      </c>
      <c r="U23" s="5">
        <v>29.25</v>
      </c>
    </row>
    <row r="24" spans="1:21">
      <c r="A24" t="s">
        <v>25</v>
      </c>
      <c r="B24">
        <v>156</v>
      </c>
      <c r="C24" s="2">
        <v>2.7987984884596601E-2</v>
      </c>
      <c r="D24" s="2">
        <v>1.34416042347695E-3</v>
      </c>
      <c r="E24" s="6">
        <f t="shared" si="0"/>
        <v>4.8026338052537634</v>
      </c>
      <c r="F24" t="s">
        <v>51</v>
      </c>
      <c r="G24">
        <f>LN(2)/(15.19*24*60*60)</f>
        <v>5.2814593890957231E-7</v>
      </c>
      <c r="H24" s="2">
        <f t="shared" si="1"/>
        <v>4.6451782469047334E-3</v>
      </c>
      <c r="I24" s="2">
        <f t="shared" si="2"/>
        <v>5.4360596783967721E-2</v>
      </c>
      <c r="J24" s="2">
        <f t="shared" si="3"/>
        <v>1.9581307011573658E-2</v>
      </c>
      <c r="K24" s="6">
        <f t="shared" si="4"/>
        <v>5.4360596783967718</v>
      </c>
      <c r="L24" t="s">
        <v>167</v>
      </c>
      <c r="M24" t="s">
        <v>189</v>
      </c>
      <c r="P24">
        <f>B24</f>
        <v>156</v>
      </c>
      <c r="Q24" t="s">
        <v>87</v>
      </c>
      <c r="R24" t="s">
        <v>65</v>
      </c>
      <c r="S24" t="str">
        <f>F24</f>
        <v>15.19 days</v>
      </c>
      <c r="T24" s="5">
        <v>1153.8</v>
      </c>
      <c r="U24" s="5">
        <v>11.5</v>
      </c>
    </row>
    <row r="25" spans="1:21">
      <c r="A25" t="s">
        <v>26</v>
      </c>
      <c r="B25">
        <v>161</v>
      </c>
      <c r="C25" s="8">
        <v>1.2659808903498801E-3</v>
      </c>
      <c r="D25" s="9">
        <v>6.14568186965272E-5</v>
      </c>
      <c r="E25" s="6">
        <f t="shared" si="0"/>
        <v>4.8544823357912081</v>
      </c>
      <c r="F25" t="s">
        <v>52</v>
      </c>
      <c r="G25">
        <f>LN(2)/(6.89*24*60*60)</f>
        <v>1.1643739930386656E-6</v>
      </c>
      <c r="H25" s="2">
        <f t="shared" si="1"/>
        <v>2.1011540906208082E-4</v>
      </c>
      <c r="I25" s="2">
        <f t="shared" si="2"/>
        <v>5.4819204762778018E-2</v>
      </c>
      <c r="J25" s="8">
        <f t="shared" si="3"/>
        <v>1.9527009975418229E-3</v>
      </c>
      <c r="K25" s="6">
        <f t="shared" si="4"/>
        <v>5.4819204762778018</v>
      </c>
      <c r="L25" t="s">
        <v>168</v>
      </c>
      <c r="M25" t="s">
        <v>190</v>
      </c>
      <c r="O25" t="s">
        <v>66</v>
      </c>
      <c r="P25">
        <f>B25</f>
        <v>161</v>
      </c>
      <c r="Q25" t="s">
        <v>88</v>
      </c>
      <c r="R25" t="s">
        <v>65</v>
      </c>
      <c r="S25" t="str">
        <f>F25</f>
        <v>6.89 days</v>
      </c>
      <c r="T25" s="5">
        <v>25.65</v>
      </c>
      <c r="U25" s="5">
        <v>23.2</v>
      </c>
    </row>
    <row r="27" spans="1:21">
      <c r="P27" t="s">
        <v>119</v>
      </c>
      <c r="R27" t="s">
        <v>89</v>
      </c>
    </row>
    <row r="28" spans="1:21">
      <c r="O28" t="s">
        <v>57</v>
      </c>
      <c r="P28" t="s">
        <v>96</v>
      </c>
      <c r="Q28" t="s">
        <v>97</v>
      </c>
      <c r="R28" t="s">
        <v>101</v>
      </c>
      <c r="S28" t="s">
        <v>102</v>
      </c>
    </row>
    <row r="29" spans="1:21">
      <c r="O29" t="s">
        <v>68</v>
      </c>
      <c r="P29" t="str">
        <f t="shared" ref="P29:P41" si="8">L2</f>
        <v>5.34 $\pm$ 0.15</v>
      </c>
      <c r="Q29" t="s">
        <v>120</v>
      </c>
      <c r="R29" t="str">
        <f t="shared" ref="R29:R41" si="9">M2</f>
        <v>141 $\pm$ 3.7\%</v>
      </c>
      <c r="S29" t="s">
        <v>121</v>
      </c>
    </row>
    <row r="30" spans="1:21">
      <c r="O30" t="s">
        <v>69</v>
      </c>
      <c r="P30" t="str">
        <f t="shared" si="8"/>
        <v>5.38 $\pm$ 0.16</v>
      </c>
      <c r="Q30" t="s">
        <v>122</v>
      </c>
      <c r="R30" t="str">
        <f t="shared" si="9"/>
        <v>516 $\pm$ 4.0\%</v>
      </c>
      <c r="S30" t="s">
        <v>123</v>
      </c>
    </row>
    <row r="31" spans="1:21">
      <c r="O31" t="s">
        <v>70</v>
      </c>
      <c r="P31" t="str">
        <f t="shared" si="8"/>
        <v>6.03 $\pm$ 0.15</v>
      </c>
      <c r="Q31" t="s">
        <v>124</v>
      </c>
      <c r="R31" t="str">
        <f t="shared" si="9"/>
        <v>1 $\pm$ 3.6\%</v>
      </c>
      <c r="S31" t="s">
        <v>100</v>
      </c>
    </row>
    <row r="32" spans="1:21">
      <c r="O32" t="s">
        <v>71</v>
      </c>
      <c r="P32" t="str">
        <f t="shared" si="8"/>
        <v>5.71 $\pm$ 0.16</v>
      </c>
      <c r="Q32" t="s">
        <v>111</v>
      </c>
      <c r="R32" t="str">
        <f t="shared" si="9"/>
        <v>87.0 $\pm$ 3.7\%</v>
      </c>
      <c r="S32" t="s">
        <v>125</v>
      </c>
    </row>
    <row r="33" spans="15:19">
      <c r="O33" t="s">
        <v>72</v>
      </c>
      <c r="P33" t="str">
        <f t="shared" si="8"/>
        <v>5.62 $\pm$ 0.16</v>
      </c>
      <c r="Q33" t="s">
        <v>126</v>
      </c>
      <c r="R33" t="str">
        <f t="shared" si="9"/>
        <v>21.7 $\pm$ 3.8\%</v>
      </c>
      <c r="S33" t="s">
        <v>127</v>
      </c>
    </row>
    <row r="34" spans="15:19">
      <c r="O34" t="s">
        <v>73</v>
      </c>
      <c r="P34" t="str">
        <f t="shared" si="8"/>
        <v>3.20 $\pm$ 0.09</v>
      </c>
      <c r="Q34" t="s">
        <v>128</v>
      </c>
      <c r="R34" t="str">
        <f t="shared" si="9"/>
        <v>0.867 $\pm$ 3.8\%</v>
      </c>
      <c r="S34" t="s">
        <v>129</v>
      </c>
    </row>
    <row r="35" spans="15:19">
      <c r="O35" t="s">
        <v>74</v>
      </c>
      <c r="P35" t="str">
        <f t="shared" si="8"/>
        <v>1.41 $\pm$ 0.05</v>
      </c>
      <c r="Q35" t="s">
        <v>130</v>
      </c>
      <c r="R35" t="str">
        <f t="shared" si="9"/>
        <v>81.3 $\pm$ 4.6\%</v>
      </c>
      <c r="S35" t="s">
        <v>131</v>
      </c>
    </row>
    <row r="36" spans="15:19">
      <c r="O36" t="s">
        <v>75</v>
      </c>
      <c r="P36" t="str">
        <f t="shared" si="8"/>
        <v>0.32 $\pm$ 0.02</v>
      </c>
      <c r="Q36" t="s">
        <v>112</v>
      </c>
      <c r="R36" t="str">
        <f t="shared" si="9"/>
        <v>6.01 $\pm$ 6.3\%</v>
      </c>
      <c r="S36" t="s">
        <v>132</v>
      </c>
    </row>
    <row r="37" spans="15:19">
      <c r="O37" t="s">
        <v>76</v>
      </c>
      <c r="P37" t="str">
        <f t="shared" si="8"/>
        <v>0.28 $\pm$ 0.01</v>
      </c>
      <c r="Q37" t="s">
        <v>113</v>
      </c>
      <c r="R37" t="str">
        <f t="shared" si="9"/>
        <v>0.399 $\pm$ 4.8\%</v>
      </c>
      <c r="S37" t="s">
        <v>133</v>
      </c>
    </row>
    <row r="38" spans="15:19">
      <c r="O38" t="s">
        <v>77</v>
      </c>
      <c r="P38" t="str">
        <f t="shared" si="8"/>
        <v>0.27 $\pm$ 0.01</v>
      </c>
      <c r="Q38" t="s">
        <v>114</v>
      </c>
      <c r="R38" t="str">
        <f t="shared" si="9"/>
        <v>3.22 $\pm$ 5.9\%</v>
      </c>
      <c r="S38" t="s">
        <v>134</v>
      </c>
    </row>
    <row r="39" spans="15:19">
      <c r="O39" t="s">
        <v>78</v>
      </c>
      <c r="P39" t="str">
        <f t="shared" si="8"/>
        <v>0.20 $\pm$ 0.01</v>
      </c>
      <c r="Q39" t="s">
        <v>115</v>
      </c>
      <c r="R39" t="str">
        <f t="shared" si="9"/>
        <v>9.50 $\pm$ 7.0\%</v>
      </c>
      <c r="S39" t="s">
        <v>135</v>
      </c>
    </row>
    <row r="40" spans="15:19">
      <c r="O40" t="s">
        <v>79</v>
      </c>
      <c r="P40" t="str">
        <f t="shared" si="8"/>
        <v>0.28 $\pm$ 0.01</v>
      </c>
      <c r="Q40" t="s">
        <v>113</v>
      </c>
      <c r="R40" t="str">
        <f t="shared" si="9"/>
        <v>1.36 $\pm$ 5.6\%</v>
      </c>
      <c r="S40" t="s">
        <v>136</v>
      </c>
    </row>
    <row r="41" spans="15:19">
      <c r="O41" t="s">
        <v>80</v>
      </c>
      <c r="P41" t="str">
        <f t="shared" si="8"/>
        <v>4.32 $\pm$ 0.13</v>
      </c>
      <c r="Q41" t="s">
        <v>137</v>
      </c>
      <c r="R41" t="str">
        <f t="shared" si="9"/>
        <v>14.3 $\pm$ 3.9\%</v>
      </c>
      <c r="S41" t="s">
        <v>138</v>
      </c>
    </row>
    <row r="42" spans="15:19">
      <c r="O42" t="s">
        <v>81</v>
      </c>
      <c r="P42" t="str">
        <f t="shared" ref="P42:P51" si="10">L16</f>
        <v>5.56 $\pm$ 0.15</v>
      </c>
      <c r="Q42" t="s">
        <v>116</v>
      </c>
      <c r="R42" t="str">
        <f t="shared" ref="R42:R51" si="11">M16</f>
        <v>4.63 $\pm$ 3.7\%</v>
      </c>
      <c r="S42" t="s">
        <v>139</v>
      </c>
    </row>
    <row r="43" spans="15:19">
      <c r="O43" t="s">
        <v>82</v>
      </c>
      <c r="P43" t="str">
        <f t="shared" si="10"/>
        <v>5.46 $\pm$ 0.17</v>
      </c>
      <c r="Q43" t="s">
        <v>117</v>
      </c>
      <c r="R43" t="str">
        <f t="shared" si="11"/>
        <v>1.78 $\pm$ 4.0\%</v>
      </c>
      <c r="S43" t="s">
        <v>140</v>
      </c>
    </row>
    <row r="44" spans="15:19">
      <c r="O44" t="s">
        <v>83</v>
      </c>
      <c r="P44" t="str">
        <f t="shared" si="10"/>
        <v>5.06 $\pm$ 0.15</v>
      </c>
      <c r="Q44" t="s">
        <v>141</v>
      </c>
      <c r="R44" t="str">
        <f t="shared" si="11"/>
        <v>39.1 $\pm$ 3.9\%</v>
      </c>
      <c r="S44" t="s">
        <v>142</v>
      </c>
    </row>
    <row r="45" spans="15:19">
      <c r="O45" t="s">
        <v>84</v>
      </c>
      <c r="P45" t="str">
        <f t="shared" si="10"/>
        <v>4.69 $\pm$ 0.16</v>
      </c>
      <c r="Q45" t="s">
        <v>143</v>
      </c>
      <c r="R45" t="str">
        <f t="shared" si="11"/>
        <v>0.175 $\pm$ 4.2\%</v>
      </c>
      <c r="S45" t="s">
        <v>144</v>
      </c>
    </row>
    <row r="46" spans="15:19">
      <c r="O46" t="s">
        <v>85</v>
      </c>
      <c r="P46" t="str">
        <f t="shared" si="10"/>
        <v>2.08 $\pm$ 0.06</v>
      </c>
      <c r="Q46" t="s">
        <v>145</v>
      </c>
      <c r="R46" t="str">
        <f t="shared" si="11"/>
        <v>2.01 $\pm$ 3.8\%</v>
      </c>
      <c r="S46" t="s">
        <v>146</v>
      </c>
    </row>
    <row r="47" spans="15:19">
      <c r="O47" t="s">
        <v>92</v>
      </c>
      <c r="P47" t="str">
        <f t="shared" si="10"/>
        <v>1.01 $\pm$ 0.04</v>
      </c>
      <c r="Q47" t="s">
        <v>147</v>
      </c>
      <c r="R47" t="str">
        <f t="shared" si="11"/>
        <v>4.83 $\pm$ 4.9\%</v>
      </c>
      <c r="S47" t="s">
        <v>148</v>
      </c>
    </row>
    <row r="48" spans="15:19">
      <c r="O48" t="s">
        <v>93</v>
      </c>
      <c r="P48" t="str">
        <f t="shared" si="10"/>
        <v>0.47 $\pm$ 0.02</v>
      </c>
      <c r="Q48" t="s">
        <v>118</v>
      </c>
      <c r="R48" t="str">
        <f t="shared" si="11"/>
        <v>1361 $\pm$ 5.5\%</v>
      </c>
      <c r="S48" t="s">
        <v>149</v>
      </c>
    </row>
    <row r="49" spans="8:19">
      <c r="O49" t="s">
        <v>86</v>
      </c>
      <c r="P49" t="str">
        <f t="shared" si="10"/>
        <v>0.18 $\pm$ 0.01</v>
      </c>
      <c r="Q49" t="s">
        <v>115</v>
      </c>
      <c r="R49" t="str">
        <f t="shared" si="11"/>
        <v>0.982 $\pm$ 6.6\%</v>
      </c>
      <c r="S49" t="s">
        <v>150</v>
      </c>
    </row>
    <row r="50" spans="8:19">
      <c r="O50" t="s">
        <v>87</v>
      </c>
      <c r="P50" t="str">
        <f t="shared" si="10"/>
        <v>0.028 $\pm$ 0.001</v>
      </c>
      <c r="Q50" t="s">
        <v>110</v>
      </c>
      <c r="R50" t="str">
        <f t="shared" si="11"/>
        <v>0.020 $\pm$ 5.4\%</v>
      </c>
      <c r="S50" t="s">
        <v>151</v>
      </c>
    </row>
    <row r="51" spans="8:19">
      <c r="H51" s="1"/>
      <c r="O51" t="s">
        <v>88</v>
      </c>
      <c r="P51" t="str">
        <f t="shared" si="10"/>
        <v>0.0013 $\pm$ 0.00006</v>
      </c>
      <c r="Q51" t="s">
        <v>152</v>
      </c>
      <c r="R51" t="str">
        <f t="shared" si="11"/>
        <v>0.0020 $\pm$ 5.5\%</v>
      </c>
      <c r="S5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2018-11-29T15:25:14Z</dcterms:created>
  <dcterms:modified xsi:type="dcterms:W3CDTF">2019-01-21T19:21:44Z</dcterms:modified>
</cp:coreProperties>
</file>