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q\Documents\AFIT_Masters\NIF-ETA-Experiment\Models\FissionProduct\NagyFits\ObjectiveSpectrum\"/>
    </mc:Choice>
  </mc:AlternateContent>
  <xr:revisionPtr revIDLastSave="0" documentId="13_ncr:1_{7B685AED-2AC8-4C59-AD16-9638F59EA8CA}" xr6:coauthVersionLast="40" xr6:coauthVersionMax="40" xr10:uidLastSave="{00000000-0000-0000-0000-000000000000}"/>
  <bookViews>
    <workbookView xWindow="0" yWindow="0" windowWidth="18936" windowHeight="9024" xr2:uid="{FA6D43D8-B038-4486-B126-A21E274FCE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K25" i="1" s="1"/>
  <c r="H25" i="1"/>
  <c r="G25" i="1"/>
  <c r="J25" i="1" s="1"/>
  <c r="E25" i="1"/>
  <c r="I24" i="1"/>
  <c r="K24" i="1" s="1"/>
  <c r="H24" i="1"/>
  <c r="G24" i="1"/>
  <c r="E24" i="1"/>
  <c r="I23" i="1"/>
  <c r="K23" i="1" s="1"/>
  <c r="H23" i="1"/>
  <c r="G23" i="1"/>
  <c r="E23" i="1"/>
  <c r="I22" i="1"/>
  <c r="K22" i="1" s="1"/>
  <c r="H22" i="1"/>
  <c r="G22" i="1"/>
  <c r="E22" i="1"/>
  <c r="I21" i="1"/>
  <c r="K21" i="1" s="1"/>
  <c r="H21" i="1"/>
  <c r="G21" i="1"/>
  <c r="J21" i="1" s="1"/>
  <c r="E21" i="1"/>
  <c r="I20" i="1"/>
  <c r="K20" i="1" s="1"/>
  <c r="H20" i="1"/>
  <c r="G20" i="1"/>
  <c r="E20" i="1"/>
  <c r="I19" i="1"/>
  <c r="K19" i="1" s="1"/>
  <c r="H19" i="1"/>
  <c r="G19" i="1"/>
  <c r="J19" i="1" s="1"/>
  <c r="E19" i="1"/>
  <c r="I18" i="1"/>
  <c r="K18" i="1" s="1"/>
  <c r="H18" i="1"/>
  <c r="G18" i="1"/>
  <c r="E18" i="1"/>
  <c r="J17" i="1"/>
  <c r="I17" i="1"/>
  <c r="K17" i="1" s="1"/>
  <c r="H17" i="1"/>
  <c r="G17" i="1"/>
  <c r="E17" i="1"/>
  <c r="I16" i="1"/>
  <c r="K16" i="1" s="1"/>
  <c r="H16" i="1"/>
  <c r="G16" i="1"/>
  <c r="E16" i="1"/>
  <c r="I15" i="1"/>
  <c r="K15" i="1" s="1"/>
  <c r="H15" i="1"/>
  <c r="G15" i="1"/>
  <c r="E15" i="1"/>
  <c r="I14" i="1"/>
  <c r="K14" i="1" s="1"/>
  <c r="H14" i="1"/>
  <c r="G14" i="1"/>
  <c r="J14" i="1" s="1"/>
  <c r="E14" i="1"/>
  <c r="I13" i="1"/>
  <c r="K13" i="1" s="1"/>
  <c r="H13" i="1"/>
  <c r="G13" i="1"/>
  <c r="J13" i="1" s="1"/>
  <c r="E13" i="1"/>
  <c r="I12" i="1"/>
  <c r="K12" i="1" s="1"/>
  <c r="H12" i="1"/>
  <c r="G12" i="1"/>
  <c r="E12" i="1"/>
  <c r="I11" i="1"/>
  <c r="K11" i="1" s="1"/>
  <c r="H11" i="1"/>
  <c r="G11" i="1"/>
  <c r="J11" i="1" s="1"/>
  <c r="E11" i="1"/>
  <c r="I10" i="1"/>
  <c r="K10" i="1" s="1"/>
  <c r="H10" i="1"/>
  <c r="G10" i="1"/>
  <c r="E10" i="1"/>
  <c r="I9" i="1"/>
  <c r="K9" i="1" s="1"/>
  <c r="H9" i="1"/>
  <c r="G9" i="1"/>
  <c r="J9" i="1" s="1"/>
  <c r="E9" i="1"/>
  <c r="I8" i="1"/>
  <c r="K8" i="1" s="1"/>
  <c r="H8" i="1"/>
  <c r="G8" i="1"/>
  <c r="E8" i="1"/>
  <c r="I7" i="1"/>
  <c r="K7" i="1" s="1"/>
  <c r="H7" i="1"/>
  <c r="G7" i="1"/>
  <c r="J7" i="1" s="1"/>
  <c r="E7" i="1"/>
  <c r="I6" i="1"/>
  <c r="K6" i="1" s="1"/>
  <c r="H6" i="1"/>
  <c r="G6" i="1"/>
  <c r="J6" i="1" s="1"/>
  <c r="E6" i="1"/>
  <c r="I5" i="1"/>
  <c r="K5" i="1" s="1"/>
  <c r="H5" i="1"/>
  <c r="G5" i="1"/>
  <c r="J5" i="1" s="1"/>
  <c r="E5" i="1"/>
  <c r="I4" i="1"/>
  <c r="K4" i="1" s="1"/>
  <c r="H4" i="1"/>
  <c r="G4" i="1"/>
  <c r="J4" i="1" s="1"/>
  <c r="E4" i="1"/>
  <c r="J3" i="1"/>
  <c r="I3" i="1"/>
  <c r="K3" i="1" s="1"/>
  <c r="H3" i="1"/>
  <c r="G3" i="1"/>
  <c r="E3" i="1"/>
  <c r="I2" i="1"/>
  <c r="K2" i="1" s="1"/>
  <c r="H2" i="1"/>
  <c r="G2" i="1"/>
  <c r="J2" i="1" s="1"/>
  <c r="E2" i="1"/>
  <c r="J12" i="1" l="1"/>
  <c r="J15" i="1"/>
  <c r="J24" i="1"/>
  <c r="J16" i="1"/>
  <c r="J18" i="1"/>
  <c r="J20" i="1"/>
  <c r="J8" i="1"/>
  <c r="J23" i="1"/>
  <c r="J10" i="1"/>
  <c r="J22" i="1"/>
</calcChain>
</file>

<file path=xl/sharedStrings.xml><?xml version="1.0" encoding="utf-8"?>
<sst xmlns="http://schemas.openxmlformats.org/spreadsheetml/2006/main" count="110" uniqueCount="106">
  <si>
    <t>A</t>
  </si>
  <si>
    <t>Isotope</t>
  </si>
  <si>
    <t>FPY %</t>
  </si>
  <si>
    <t>Error</t>
  </si>
  <si>
    <t>Sr-91</t>
  </si>
  <si>
    <t>Sr-92</t>
  </si>
  <si>
    <t>Zr-95</t>
  </si>
  <si>
    <t>Zr-97</t>
  </si>
  <si>
    <t>Mo-99</t>
  </si>
  <si>
    <t>Ru-103</t>
  </si>
  <si>
    <t>Ru-105</t>
  </si>
  <si>
    <t>Pd-109</t>
  </si>
  <si>
    <t>Pd-112</t>
  </si>
  <si>
    <t>Ag-111</t>
  </si>
  <si>
    <t>Ag-113</t>
  </si>
  <si>
    <t>Te-132</t>
  </si>
  <si>
    <t>Ba-139</t>
  </si>
  <si>
    <t>Ba-140</t>
  </si>
  <si>
    <t>Ce-141</t>
  </si>
  <si>
    <t>Ce-143</t>
  </si>
  <si>
    <t>Ce-144</t>
  </si>
  <si>
    <t>Nd-147</t>
  </si>
  <si>
    <t>Pm-149</t>
  </si>
  <si>
    <t>Pm-151</t>
  </si>
  <si>
    <t>Sm-153</t>
  </si>
  <si>
    <t>Eu-156</t>
  </si>
  <si>
    <t>Tb-161</t>
  </si>
  <si>
    <t>Halflife</t>
  </si>
  <si>
    <t>Cd-115g</t>
  </si>
  <si>
    <t>83.06 min</t>
  </si>
  <si>
    <t>5.25 min</t>
  </si>
  <si>
    <t>9.65 hrs</t>
  </si>
  <si>
    <t>2.66 hrs</t>
  </si>
  <si>
    <t>64.032 days</t>
  </si>
  <si>
    <t>16.749 hrs</t>
  </si>
  <si>
    <t>65.976 hrs</t>
  </si>
  <si>
    <t>39.247 days</t>
  </si>
  <si>
    <t>4.44 hrs</t>
  </si>
  <si>
    <t>13.7012 hrs</t>
  </si>
  <si>
    <t>7.45 days</t>
  </si>
  <si>
    <t>21.04 hrs</t>
  </si>
  <si>
    <t>5.37 hrs</t>
  </si>
  <si>
    <t>53.46 hrs</t>
  </si>
  <si>
    <t>3.204 days</t>
  </si>
  <si>
    <t>12.7527 days</t>
  </si>
  <si>
    <t>32.511 days</t>
  </si>
  <si>
    <t>33.039 hrs</t>
  </si>
  <si>
    <t>284.91 days</t>
  </si>
  <si>
    <t>10.98 days</t>
  </si>
  <si>
    <t>53.08 hrs</t>
  </si>
  <si>
    <t>46.284 hrs</t>
  </si>
  <si>
    <t>15.19 days</t>
  </si>
  <si>
    <t>6.89 days</t>
  </si>
  <si>
    <t>Relative_Production_to_Zr95</t>
  </si>
  <si>
    <t>DecayConst_s^-1</t>
  </si>
  <si>
    <t>RelativeActivity_to_Zr95</t>
  </si>
  <si>
    <t>Error %</t>
  </si>
  <si>
    <t xml:space="preserve">copy </t>
  </si>
  <si>
    <t>copy</t>
  </si>
  <si>
    <t>x</t>
  </si>
  <si>
    <t>1.42E+2 $\pm$ 1.7\%</t>
  </si>
  <si>
    <t>5.39 $\pm$ 0.08</t>
  </si>
  <si>
    <t>5.74 $\pm$ 0.08</t>
  </si>
  <si>
    <t>0.29 $\pm$ 0.02</t>
  </si>
  <si>
    <t>0.25 $\pm$ 0.01</t>
  </si>
  <si>
    <t>0.23 $\pm$ 0.01</t>
  </si>
  <si>
    <t>0.18 $\pm$ 0.01</t>
  </si>
  <si>
    <t>5.60 $\pm$ 0.07</t>
  </si>
  <si>
    <t>5.49 $\pm$ 0.10</t>
  </si>
  <si>
    <t>0.46 $\pm$ 0.02</t>
  </si>
  <si>
    <t>5.37 $\pm$ 0.08</t>
  </si>
  <si>
    <t>5.41 $\pm$ 0.10</t>
  </si>
  <si>
    <t>6.05 $\pm$ 0.06</t>
  </si>
  <si>
    <t>5.65 $\pm$ 0.08</t>
  </si>
  <si>
    <t>3.21 $\pm$ 0.05</t>
  </si>
  <si>
    <t>1.39 $\pm$ 0.04</t>
  </si>
  <si>
    <t>4.33 $\pm$ 0.07</t>
  </si>
  <si>
    <t>5.11 $\pm$ 0.09</t>
  </si>
  <si>
    <t>4.75 $\pm$ 0.11</t>
  </si>
  <si>
    <t>2.10 $\pm$ 0.03</t>
  </si>
  <si>
    <t>1.01 $\pm$ 0.03</t>
  </si>
  <si>
    <t>0.027 $\pm$ 0.001</t>
  </si>
  <si>
    <t>0.0011 $\pm$ 0.00004</t>
  </si>
  <si>
    <t>141 $\pm$ 1.7\%</t>
  </si>
  <si>
    <t>517 $\pm$ 2.1\%</t>
  </si>
  <si>
    <t>1 $\pm$ 1.3\%</t>
  </si>
  <si>
    <t>87.0 $\pm$ 1.7\%</t>
  </si>
  <si>
    <t>21.7 $\pm$ 1.7\%</t>
  </si>
  <si>
    <t>0.864 $\pm$ 1.8\%</t>
  </si>
  <si>
    <t>79.7 $\pm$ 3.0\%</t>
  </si>
  <si>
    <t>5.31 $\pm$ 5.6\%</t>
  </si>
  <si>
    <t>0.350 $\pm$ 3.7\%</t>
  </si>
  <si>
    <t>2.82 $\pm$ 5.4\%</t>
  </si>
  <si>
    <t>8.30 $\pm$ 6.5\%</t>
  </si>
  <si>
    <t>1.18 $\pm$ 4.9\%</t>
  </si>
  <si>
    <t>14.3 $\pm$ 1.9\%</t>
  </si>
  <si>
    <t>4.65 $\pm$ 1.6\%</t>
  </si>
  <si>
    <t>1.79 $\pm$ 2.1\%</t>
  </si>
  <si>
    <t>39.3 $\pm$ 1.9\%</t>
  </si>
  <si>
    <t>0.176 $\pm$ 2.5\%</t>
  </si>
  <si>
    <t>2.02 $\pm$ 1.7\%</t>
  </si>
  <si>
    <t>4.84 $\pm$ 3.3\%</t>
  </si>
  <si>
    <t>1341 $\pm$ 4.3\%</t>
  </si>
  <si>
    <t>0.969 $\pm$ 5.5\%</t>
  </si>
  <si>
    <t>0.019 $\pm$ 4.3\%</t>
  </si>
  <si>
    <t>0.0017 $\pm$ 4.2\%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</si>
</sst>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6" formatCode="0.0"/>
    <numFmt numFmtId="167" formatCode="0.0000"/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EED7-703E-4E3C-8C41-2016A10564C2}">
  <dimension ref="A1:T25"/>
  <sheetViews>
    <sheetView tabSelected="1" workbookViewId="0">
      <selection activeCell="E25" sqref="E25"/>
    </sheetView>
  </sheetViews>
  <sheetFormatPr defaultRowHeight="14.4" x14ac:dyDescent="0.3"/>
  <cols>
    <col min="6" max="6" width="11.6640625" bestFit="1" customWidth="1"/>
    <col min="7" max="7" width="11.6640625" customWidth="1"/>
  </cols>
  <sheetData>
    <row r="1" spans="1:16" x14ac:dyDescent="0.3">
      <c r="A1" t="s">
        <v>1</v>
      </c>
      <c r="B1" t="s">
        <v>0</v>
      </c>
      <c r="C1" t="s">
        <v>2</v>
      </c>
      <c r="D1" t="s">
        <v>3</v>
      </c>
      <c r="E1" t="s">
        <v>56</v>
      </c>
      <c r="F1" t="s">
        <v>27</v>
      </c>
      <c r="G1" t="s">
        <v>54</v>
      </c>
      <c r="H1" t="s">
        <v>53</v>
      </c>
      <c r="I1" t="s">
        <v>3</v>
      </c>
      <c r="J1" t="s">
        <v>55</v>
      </c>
      <c r="K1" t="s">
        <v>56</v>
      </c>
      <c r="L1" t="s">
        <v>57</v>
      </c>
      <c r="M1" t="s">
        <v>58</v>
      </c>
    </row>
    <row r="2" spans="1:16" x14ac:dyDescent="0.3">
      <c r="A2" t="s">
        <v>4</v>
      </c>
      <c r="B2">
        <v>91</v>
      </c>
      <c r="C2" s="4">
        <v>5.3685747675188802</v>
      </c>
      <c r="D2" s="4">
        <v>7.6593429066673296E-2</v>
      </c>
      <c r="E2" s="3">
        <f>100*D2/C2</f>
        <v>1.4266994944371691</v>
      </c>
      <c r="F2" t="s">
        <v>31</v>
      </c>
      <c r="G2">
        <f>LN(2)/(9.65*60*60)</f>
        <v>1.9952423159468777E-5</v>
      </c>
      <c r="H2" s="2">
        <f>C2/$C$4</f>
        <v>0.88669760452515101</v>
      </c>
      <c r="I2" s="2">
        <f>SQRT((D2/C2)^2+($D$4/$C$4)^2)</f>
        <v>1.7117811263136239E-2</v>
      </c>
      <c r="J2" s="7">
        <f>G2*C2/($G$4*$C$4)</f>
        <v>141.20709889232199</v>
      </c>
      <c r="K2" s="3">
        <f>I2*100</f>
        <v>1.7117811263136238</v>
      </c>
      <c r="L2" t="s">
        <v>70</v>
      </c>
      <c r="M2" t="s">
        <v>83</v>
      </c>
      <c r="P2" t="s">
        <v>61</v>
      </c>
    </row>
    <row r="3" spans="1:16" x14ac:dyDescent="0.3">
      <c r="A3" t="s">
        <v>5</v>
      </c>
      <c r="B3">
        <v>92</v>
      </c>
      <c r="C3" s="4">
        <v>5.4129610311560103</v>
      </c>
      <c r="D3" s="4">
        <v>0.100488125841109</v>
      </c>
      <c r="E3" s="3">
        <f>100*D3/C3</f>
        <v>1.8564354197770461</v>
      </c>
      <c r="F3" t="s">
        <v>32</v>
      </c>
      <c r="G3">
        <f>LN(2)/(2.66*60*60)</f>
        <v>7.2383790785290848E-5</v>
      </c>
      <c r="H3" s="2">
        <f>C3/$C$4</f>
        <v>0.89402863656720899</v>
      </c>
      <c r="I3" s="2">
        <f>SQRT((D3/C3)^2+($D$4/$C$4)^2)</f>
        <v>2.0835248126142011E-2</v>
      </c>
      <c r="J3" s="7">
        <f>G3*C3/($G$4*$C$4)</f>
        <v>516.5092480301189</v>
      </c>
      <c r="K3" s="3">
        <f t="shared" ref="K3:K25" si="0">I3*100</f>
        <v>2.083524812614201</v>
      </c>
      <c r="L3" t="s">
        <v>71</v>
      </c>
      <c r="M3" t="s">
        <v>84</v>
      </c>
      <c r="P3" t="s">
        <v>60</v>
      </c>
    </row>
    <row r="4" spans="1:16" x14ac:dyDescent="0.3">
      <c r="A4" t="s">
        <v>6</v>
      </c>
      <c r="B4">
        <v>95</v>
      </c>
      <c r="C4" s="4">
        <v>6.0545723143053802</v>
      </c>
      <c r="D4" s="4">
        <v>5.7270083248537301E-2</v>
      </c>
      <c r="E4" s="3">
        <f>100*D4/C4</f>
        <v>0.94589807959222794</v>
      </c>
      <c r="F4" t="s">
        <v>33</v>
      </c>
      <c r="G4">
        <f>LN(2)/(64.032*24*60*60)</f>
        <v>1.2528949294159802E-7</v>
      </c>
      <c r="H4" s="2">
        <f>C4/$C$4</f>
        <v>1</v>
      </c>
      <c r="I4" s="2">
        <f>SQRT((D4/C4)^2+($D$4/$C$4)^2)</f>
        <v>1.3377018927819942E-2</v>
      </c>
      <c r="J4" s="7">
        <f>G4*C4/($G$4*$C$4)</f>
        <v>1</v>
      </c>
      <c r="K4" s="3">
        <f t="shared" si="0"/>
        <v>1.3377018927819941</v>
      </c>
      <c r="L4" t="s">
        <v>72</v>
      </c>
      <c r="M4" t="s">
        <v>85</v>
      </c>
    </row>
    <row r="5" spans="1:16" x14ac:dyDescent="0.3">
      <c r="A5" t="s">
        <v>7</v>
      </c>
      <c r="B5">
        <v>97</v>
      </c>
      <c r="C5" s="4">
        <v>5.7386080414886402</v>
      </c>
      <c r="D5" s="4">
        <v>7.9550270455283095E-2</v>
      </c>
      <c r="E5" s="3">
        <f>100*D5/C5</f>
        <v>1.3862293761859212</v>
      </c>
      <c r="F5" t="s">
        <v>34</v>
      </c>
      <c r="G5">
        <f>LN(2)/(16.749*60*60)</f>
        <v>1.1495664427062732E-5</v>
      </c>
      <c r="H5" s="2">
        <f>C5/$C$4</f>
        <v>0.9478139402067759</v>
      </c>
      <c r="I5" s="2">
        <f>SQRT((D5/C5)^2+($D$4/$C$4)^2)</f>
        <v>1.6781999464834559E-2</v>
      </c>
      <c r="J5" s="3">
        <f>G5*C5/($G$4*$C$4)</f>
        <v>86.964602857704122</v>
      </c>
      <c r="K5" s="3">
        <f t="shared" si="0"/>
        <v>1.6781999464834558</v>
      </c>
      <c r="L5" t="s">
        <v>62</v>
      </c>
      <c r="M5" t="s">
        <v>86</v>
      </c>
    </row>
    <row r="6" spans="1:16" x14ac:dyDescent="0.3">
      <c r="A6" t="s">
        <v>8</v>
      </c>
      <c r="B6">
        <v>99</v>
      </c>
      <c r="C6" s="4">
        <v>5.65043831963039</v>
      </c>
      <c r="D6" s="4">
        <v>8.2013089973624997E-2</v>
      </c>
      <c r="E6" s="3">
        <f>100*D6/C6</f>
        <v>1.4514465132501382</v>
      </c>
      <c r="F6" t="s">
        <v>35</v>
      </c>
      <c r="G6">
        <f>LN(2)/(65.976*60*60)</f>
        <v>2.9183473306789393E-6</v>
      </c>
      <c r="H6" s="2">
        <f>C6/$C$4</f>
        <v>0.9332514381370709</v>
      </c>
      <c r="I6" s="2">
        <f>SQRT((D6/C6)^2+($D$4/$C$4)^2)</f>
        <v>1.7324607233072411E-2</v>
      </c>
      <c r="J6" s="3">
        <f>G6*C6/($G$4*$C$4)</f>
        <v>21.738070602689312</v>
      </c>
      <c r="K6" s="3">
        <f t="shared" si="0"/>
        <v>1.7324607233072411</v>
      </c>
      <c r="L6" t="s">
        <v>73</v>
      </c>
      <c r="M6" t="s">
        <v>87</v>
      </c>
    </row>
    <row r="7" spans="1:16" x14ac:dyDescent="0.3">
      <c r="A7" t="s">
        <v>9</v>
      </c>
      <c r="B7">
        <v>103</v>
      </c>
      <c r="C7" s="4">
        <v>3.2076298914936299</v>
      </c>
      <c r="D7" s="4">
        <v>4.8474533306636501E-2</v>
      </c>
      <c r="E7" s="3">
        <f>100*D7/C7</f>
        <v>1.5112258878490616</v>
      </c>
      <c r="F7" t="s">
        <v>36</v>
      </c>
      <c r="G7">
        <f>LN(2)/(39.247*24*60*60)</f>
        <v>2.0441146615120656E-7</v>
      </c>
      <c r="H7" s="2">
        <f>C7/$C$4</f>
        <v>0.52978637052774713</v>
      </c>
      <c r="I7" s="2">
        <f>SQRT((D7/C7)^2+($D$4/$C$4)^2)</f>
        <v>1.782842354523094E-2</v>
      </c>
      <c r="J7" s="2">
        <f>G7*C7/($G$4*$C$4)</f>
        <v>0.86435347612894498</v>
      </c>
      <c r="K7" s="3">
        <f t="shared" si="0"/>
        <v>1.782842354523094</v>
      </c>
      <c r="L7" t="s">
        <v>74</v>
      </c>
      <c r="M7" t="s">
        <v>88</v>
      </c>
    </row>
    <row r="8" spans="1:16" x14ac:dyDescent="0.3">
      <c r="A8" t="s">
        <v>10</v>
      </c>
      <c r="B8">
        <v>105</v>
      </c>
      <c r="C8" s="4">
        <v>1.39330116590097</v>
      </c>
      <c r="D8" s="4">
        <v>3.9793159487335798E-2</v>
      </c>
      <c r="E8" s="3">
        <f>100*D8/C8</f>
        <v>2.8560343205916854</v>
      </c>
      <c r="F8" t="s">
        <v>37</v>
      </c>
      <c r="G8">
        <f>LN(2)/(4.44*60*60)</f>
        <v>4.3365063848845423E-5</v>
      </c>
      <c r="H8" s="2">
        <f>C8/$C$4</f>
        <v>0.23012379629341639</v>
      </c>
      <c r="I8" s="2">
        <f>SQRT((D8/C8)^2+($D$4/$C$4)^2)</f>
        <v>3.0085968851565802E-2</v>
      </c>
      <c r="J8" s="3">
        <f>G8*C8/($G$4*$C$4)</f>
        <v>79.650199590594795</v>
      </c>
      <c r="K8" s="3">
        <f t="shared" si="0"/>
        <v>3.0085968851565803</v>
      </c>
      <c r="L8" t="s">
        <v>75</v>
      </c>
      <c r="M8" t="s">
        <v>89</v>
      </c>
    </row>
    <row r="9" spans="1:16" x14ac:dyDescent="0.3">
      <c r="A9" t="s">
        <v>11</v>
      </c>
      <c r="B9">
        <v>109</v>
      </c>
      <c r="C9" s="4">
        <v>0.28649016931303101</v>
      </c>
      <c r="D9" s="4">
        <v>1.5906603732016199E-2</v>
      </c>
      <c r="E9" s="3">
        <f>100*D9/C9</f>
        <v>5.552233701476851</v>
      </c>
      <c r="F9" t="s">
        <v>38</v>
      </c>
      <c r="G9">
        <f>LN(2)/(13.7012*60*60)</f>
        <v>1.4052848180369142E-5</v>
      </c>
      <c r="H9" s="2">
        <f>C9/$C$4</f>
        <v>4.7317986216157536E-2</v>
      </c>
      <c r="I9" s="2">
        <f>SQRT((D9/C9)^2+($D$4/$C$4)^2)</f>
        <v>5.6322306640257197E-2</v>
      </c>
      <c r="J9" s="4">
        <f>G9*C9/($G$4*$C$4)</f>
        <v>5.3073283392280945</v>
      </c>
      <c r="K9" s="3">
        <f t="shared" si="0"/>
        <v>5.6322306640257196</v>
      </c>
      <c r="L9" t="s">
        <v>63</v>
      </c>
      <c r="M9" t="s">
        <v>90</v>
      </c>
    </row>
    <row r="10" spans="1:16" x14ac:dyDescent="0.3">
      <c r="A10" t="s">
        <v>13</v>
      </c>
      <c r="B10">
        <v>111</v>
      </c>
      <c r="C10" s="4">
        <v>0.24660325030659999</v>
      </c>
      <c r="D10" s="4">
        <v>8.8122445116223507E-3</v>
      </c>
      <c r="E10" s="3">
        <f>100*D10/C10</f>
        <v>3.5734502690723469</v>
      </c>
      <c r="F10" t="s">
        <v>39</v>
      </c>
      <c r="G10">
        <f>LN(2)/(7.45*24*60*60)</f>
        <v>1.0768505787968328E-6</v>
      </c>
      <c r="H10" s="2">
        <f>C10/$C$4</f>
        <v>4.0730085876411228E-2</v>
      </c>
      <c r="I10" s="2">
        <f>SQRT((D10/C10)^2+($D$4/$C$4)^2)</f>
        <v>3.6965213380297825E-2</v>
      </c>
      <c r="J10" s="2">
        <f>G10*C10/($G$4*$C$4)</f>
        <v>0.35007098776353873</v>
      </c>
      <c r="K10" s="3">
        <f t="shared" si="0"/>
        <v>3.6965213380297826</v>
      </c>
      <c r="L10" t="s">
        <v>64</v>
      </c>
      <c r="M10" t="s">
        <v>91</v>
      </c>
    </row>
    <row r="11" spans="1:16" x14ac:dyDescent="0.3">
      <c r="A11" t="s">
        <v>12</v>
      </c>
      <c r="B11">
        <v>112</v>
      </c>
      <c r="C11" s="4">
        <v>0.23339850615712099</v>
      </c>
      <c r="D11" s="4">
        <v>1.25108671323858E-2</v>
      </c>
      <c r="E11" s="3">
        <f>100*D11/C11</f>
        <v>5.3603030020953266</v>
      </c>
      <c r="F11" t="s">
        <v>40</v>
      </c>
      <c r="G11">
        <f>LN(2)/(21.04*60*60)</f>
        <v>9.1511826753266977E-6</v>
      </c>
      <c r="H11" s="2">
        <f>C11/$C$4</f>
        <v>3.8549131803358103E-2</v>
      </c>
      <c r="I11" s="2">
        <f>SQRT((D11/C11)^2+($D$4/$C$4)^2)</f>
        <v>5.4431214804786805E-2</v>
      </c>
      <c r="J11" s="4">
        <f>G11*C11/($G$4*$C$4)</f>
        <v>2.8156403128889274</v>
      </c>
      <c r="K11" s="3">
        <f t="shared" si="0"/>
        <v>5.4431214804786805</v>
      </c>
      <c r="L11" t="s">
        <v>65</v>
      </c>
      <c r="M11" t="s">
        <v>92</v>
      </c>
    </row>
    <row r="12" spans="1:16" x14ac:dyDescent="0.3">
      <c r="A12" t="s">
        <v>14</v>
      </c>
      <c r="B12">
        <v>113</v>
      </c>
      <c r="C12" s="4">
        <v>0.175529769306008</v>
      </c>
      <c r="D12" s="4">
        <v>1.1249895866300199E-2</v>
      </c>
      <c r="E12" s="3">
        <f>100*D12/C12</f>
        <v>6.409109925216053</v>
      </c>
      <c r="F12" t="s">
        <v>41</v>
      </c>
      <c r="G12">
        <f>LN(2)/(5.37*60*60)</f>
        <v>3.5854913126419684E-5</v>
      </c>
      <c r="H12" s="2">
        <f>C12/$C$4</f>
        <v>2.8991274724934211E-2</v>
      </c>
      <c r="I12" s="2">
        <f>SQRT((D12/C12)^2+($D$4/$C$4)^2)</f>
        <v>6.4785348042963528E-2</v>
      </c>
      <c r="J12" s="4">
        <f>G12*C12/($G$4*$C$4)</f>
        <v>8.2966225840759211</v>
      </c>
      <c r="K12" s="3">
        <f t="shared" si="0"/>
        <v>6.4785348042963529</v>
      </c>
      <c r="L12" t="s">
        <v>66</v>
      </c>
      <c r="M12" t="s">
        <v>93</v>
      </c>
    </row>
    <row r="13" spans="1:16" x14ac:dyDescent="0.3">
      <c r="A13" t="s">
        <v>28</v>
      </c>
      <c r="B13">
        <v>115</v>
      </c>
      <c r="C13" s="4">
        <v>0.24952425400670999</v>
      </c>
      <c r="D13" s="4">
        <v>1.19233773200427E-2</v>
      </c>
      <c r="E13" s="3">
        <f>100*D13/C13</f>
        <v>4.77844423080494</v>
      </c>
      <c r="F13" t="s">
        <v>42</v>
      </c>
      <c r="G13">
        <f>LN(2)/(53.46*60*60)</f>
        <v>3.6015877944046708E-6</v>
      </c>
      <c r="H13" s="2">
        <f>C13/$C$4</f>
        <v>4.1212531794714721E-2</v>
      </c>
      <c r="I13" s="2">
        <f>SQRT((D13/C13)^2+($D$4/$C$4)^2)</f>
        <v>4.8711654092105407E-2</v>
      </c>
      <c r="J13" s="4">
        <f>G13*C13/($G$4*$C$4)</f>
        <v>1.1847007119547355</v>
      </c>
      <c r="K13" s="3">
        <f t="shared" si="0"/>
        <v>4.8711654092105405</v>
      </c>
      <c r="L13" t="s">
        <v>64</v>
      </c>
      <c r="M13" t="s">
        <v>94</v>
      </c>
    </row>
    <row r="14" spans="1:16" x14ac:dyDescent="0.3">
      <c r="A14" t="s">
        <v>15</v>
      </c>
      <c r="B14">
        <v>132</v>
      </c>
      <c r="C14" s="4">
        <v>4.3281241306454703</v>
      </c>
      <c r="D14" s="4">
        <v>7.2201469960548395E-2</v>
      </c>
      <c r="E14" s="3">
        <f>100*D14/C14</f>
        <v>1.6681931428288472</v>
      </c>
      <c r="F14" t="s">
        <v>43</v>
      </c>
      <c r="G14">
        <f>LN(2)/(3.204*24*60*60)</f>
        <v>2.5039128626830221E-6</v>
      </c>
      <c r="H14" s="2">
        <f>C14/$C$4</f>
        <v>0.71485216559710385</v>
      </c>
      <c r="I14" s="2">
        <f>SQRT((D14/C14)^2+($D$4/$C$4)^2)</f>
        <v>1.9177047579743478E-2</v>
      </c>
      <c r="J14" s="3">
        <f>G14*C14/($G$4*$C$4)</f>
        <v>14.286333916202793</v>
      </c>
      <c r="K14" s="3">
        <f t="shared" si="0"/>
        <v>1.9177047579743478</v>
      </c>
      <c r="L14" t="s">
        <v>76</v>
      </c>
      <c r="M14" t="s">
        <v>95</v>
      </c>
    </row>
    <row r="15" spans="1:16" x14ac:dyDescent="0.3">
      <c r="A15" t="s">
        <v>16</v>
      </c>
      <c r="B15">
        <v>139</v>
      </c>
      <c r="C15" s="4"/>
      <c r="D15" s="4"/>
      <c r="E15" s="3" t="e">
        <f>100*D15/C15</f>
        <v>#DIV/0!</v>
      </c>
      <c r="F15" t="s">
        <v>29</v>
      </c>
      <c r="G15">
        <f>LN(2)/(83.06*60)</f>
        <v>1.3908563700135349E-4</v>
      </c>
      <c r="H15" s="2">
        <f>C15/$C$4</f>
        <v>0</v>
      </c>
      <c r="I15" s="2" t="e">
        <f>SQRT((D15/C15)^2+($D$4/$C$4)^2)</f>
        <v>#DIV/0!</v>
      </c>
      <c r="J15" s="2">
        <f>G15*C15/($G$4*$C$4)</f>
        <v>0</v>
      </c>
      <c r="K15" s="3" t="e">
        <f t="shared" si="0"/>
        <v>#DIV/0!</v>
      </c>
      <c r="O15" t="s">
        <v>59</v>
      </c>
    </row>
    <row r="16" spans="1:16" x14ac:dyDescent="0.3">
      <c r="A16" t="s">
        <v>17</v>
      </c>
      <c r="B16">
        <v>140</v>
      </c>
      <c r="C16" s="4">
        <v>5.6028206002382701</v>
      </c>
      <c r="D16" s="4">
        <v>6.8857302874875806E-2</v>
      </c>
      <c r="E16" s="3">
        <f>100*D16/C16</f>
        <v>1.2289756854243652</v>
      </c>
      <c r="F16" t="s">
        <v>44</v>
      </c>
      <c r="G16">
        <f>LN(2)/(12.7527*24*60*60)</f>
        <v>6.2908535541778636E-7</v>
      </c>
      <c r="H16" s="2">
        <f>C16/$C$4</f>
        <v>0.92538668453926332</v>
      </c>
      <c r="I16" s="2">
        <f>SQRT((D16/C16)^2+($D$4/$C$4)^2)</f>
        <v>1.5508399054514148E-2</v>
      </c>
      <c r="J16" s="4">
        <f>G16*C16/($G$4*$C$4)</f>
        <v>4.6464168516798878</v>
      </c>
      <c r="K16" s="3">
        <f t="shared" si="0"/>
        <v>1.5508399054514148</v>
      </c>
      <c r="L16" t="s">
        <v>67</v>
      </c>
      <c r="M16" t="s">
        <v>96</v>
      </c>
    </row>
    <row r="17" spans="1:20" x14ac:dyDescent="0.3">
      <c r="A17" t="s">
        <v>18</v>
      </c>
      <c r="B17">
        <v>141</v>
      </c>
      <c r="C17" s="4">
        <v>5.4897405440746097</v>
      </c>
      <c r="D17" s="4">
        <v>0.104730228283316</v>
      </c>
      <c r="E17" s="3">
        <f>100*D17/C17</f>
        <v>1.9077445908870378</v>
      </c>
      <c r="F17" t="s">
        <v>45</v>
      </c>
      <c r="G17">
        <f>LN(2)/(32.511*24*60*60)</f>
        <v>2.4676376648015754E-7</v>
      </c>
      <c r="H17" s="2">
        <f>C17/$C$4</f>
        <v>0.90670988124194674</v>
      </c>
      <c r="I17" s="2">
        <f>SQRT((D17/C17)^2+($D$4/$C$4)^2)</f>
        <v>2.1293690617258006E-2</v>
      </c>
      <c r="J17" s="4">
        <f>G17*C17/($G$4*$C$4)</f>
        <v>1.7858093296325648</v>
      </c>
      <c r="K17" s="3">
        <f t="shared" si="0"/>
        <v>2.1293690617258005</v>
      </c>
      <c r="L17" t="s">
        <v>68</v>
      </c>
      <c r="M17" t="s">
        <v>97</v>
      </c>
    </row>
    <row r="18" spans="1:20" x14ac:dyDescent="0.3">
      <c r="A18" t="s">
        <v>19</v>
      </c>
      <c r="B18">
        <v>143</v>
      </c>
      <c r="C18" s="4">
        <v>5.1143506731733703</v>
      </c>
      <c r="D18" s="4">
        <v>8.5476333175753899E-2</v>
      </c>
      <c r="E18" s="3">
        <f>100*D18/C18</f>
        <v>1.6713037223690654</v>
      </c>
      <c r="F18" t="s">
        <v>46</v>
      </c>
      <c r="G18">
        <f>LN(2)/(33.039*60*60)</f>
        <v>5.827684962888516E-6</v>
      </c>
      <c r="H18" s="2">
        <f>C18/$C$4</f>
        <v>0.84470882626828803</v>
      </c>
      <c r="I18" s="2">
        <f>SQRT((D18/C18)^2+($D$4/$C$4)^2)</f>
        <v>1.9204112344445811E-2</v>
      </c>
      <c r="J18" s="3">
        <f>G18*C18/($G$4*$C$4)</f>
        <v>39.290580632787446</v>
      </c>
      <c r="K18" s="3">
        <f t="shared" si="0"/>
        <v>1.9204112344445812</v>
      </c>
      <c r="L18" t="s">
        <v>77</v>
      </c>
      <c r="M18" t="s">
        <v>98</v>
      </c>
    </row>
    <row r="19" spans="1:20" x14ac:dyDescent="0.3">
      <c r="A19" t="s">
        <v>20</v>
      </c>
      <c r="B19">
        <v>144</v>
      </c>
      <c r="C19" s="4">
        <v>4.7451681807692498</v>
      </c>
      <c r="D19" s="4">
        <v>0.109114499485712</v>
      </c>
      <c r="E19" s="3">
        <f>100*D19/C19</f>
        <v>2.2994864529337544</v>
      </c>
      <c r="F19" t="s">
        <v>47</v>
      </c>
      <c r="G19">
        <f>LN(2)/(284.91*24*60*60)</f>
        <v>2.8158144017536781E-8</v>
      </c>
      <c r="H19" s="2">
        <f>C19/$C$4</f>
        <v>0.78373300944108826</v>
      </c>
      <c r="I19" s="2">
        <f>SQRT((D19/C19)^2+($D$4/$C$4)^2)</f>
        <v>2.4864354253030834E-2</v>
      </c>
      <c r="J19" s="2">
        <f>G19*C19/($G$4*$C$4)</f>
        <v>0.17613980576508989</v>
      </c>
      <c r="K19" s="3">
        <f t="shared" si="0"/>
        <v>2.4864354253030836</v>
      </c>
      <c r="L19" t="s">
        <v>78</v>
      </c>
      <c r="M19" t="s">
        <v>99</v>
      </c>
    </row>
    <row r="20" spans="1:20" x14ac:dyDescent="0.3">
      <c r="A20" t="s">
        <v>21</v>
      </c>
      <c r="B20">
        <v>147</v>
      </c>
      <c r="C20" s="4">
        <v>2.0978791521099098</v>
      </c>
      <c r="D20" s="4">
        <v>3.0753885717544199E-2</v>
      </c>
      <c r="E20" s="3">
        <f>100*D20/C20</f>
        <v>1.4659512530363796</v>
      </c>
      <c r="F20" t="s">
        <v>48</v>
      </c>
      <c r="G20">
        <f>LN(2)/(10.98*24*60*60)</f>
        <v>7.3064998288127551E-7</v>
      </c>
      <c r="H20" s="2">
        <f>C20/$C$4</f>
        <v>0.34649501950008371</v>
      </c>
      <c r="I20" s="2">
        <f>SQRT((D20/C20)^2+($D$4/$C$4)^2)</f>
        <v>1.7446306925120846E-2</v>
      </c>
      <c r="J20" s="4">
        <f>G20*C20/($G$4*$C$4)</f>
        <v>2.0206529224616907</v>
      </c>
      <c r="K20" s="3">
        <f t="shared" si="0"/>
        <v>1.7446306925120847</v>
      </c>
      <c r="L20" t="s">
        <v>79</v>
      </c>
      <c r="M20" t="s">
        <v>100</v>
      </c>
    </row>
    <row r="21" spans="1:20" x14ac:dyDescent="0.3">
      <c r="A21" t="s">
        <v>22</v>
      </c>
      <c r="B21">
        <v>149</v>
      </c>
      <c r="C21" s="4">
        <v>1.0125185550687801</v>
      </c>
      <c r="D21" s="4">
        <v>3.2538463999745297E-2</v>
      </c>
      <c r="E21" s="3">
        <f>100*D21/C21</f>
        <v>3.2136165640475567</v>
      </c>
      <c r="F21" t="s">
        <v>49</v>
      </c>
      <c r="G21">
        <f>LN(2)/(53.08*60*60)</f>
        <v>3.6273715804233933E-6</v>
      </c>
      <c r="H21" s="2">
        <f>C21/$C$4</f>
        <v>0.16723205248972944</v>
      </c>
      <c r="I21" s="2">
        <f>SQRT((D21/C21)^2+($D$4/$C$4)^2)</f>
        <v>3.3499335213847278E-2</v>
      </c>
      <c r="J21" s="4">
        <f>G21*C21/($G$4*$C$4)</f>
        <v>4.8416892773273652</v>
      </c>
      <c r="K21" s="3">
        <f t="shared" si="0"/>
        <v>3.3499335213847279</v>
      </c>
      <c r="L21" t="s">
        <v>80</v>
      </c>
      <c r="M21" t="s">
        <v>101</v>
      </c>
    </row>
    <row r="22" spans="1:20" x14ac:dyDescent="0.3">
      <c r="A22" t="s">
        <v>23</v>
      </c>
      <c r="B22">
        <v>151</v>
      </c>
      <c r="C22" s="4">
        <v>0.46219210221989498</v>
      </c>
      <c r="D22" s="4">
        <v>1.95545382805483E-2</v>
      </c>
      <c r="E22" s="3">
        <f>100*D22/C22</f>
        <v>4.2308248424472055</v>
      </c>
      <c r="F22" t="s">
        <v>30</v>
      </c>
      <c r="G22">
        <f>LN(2)/(5.25*60)</f>
        <v>2.2004672398728423E-3</v>
      </c>
      <c r="H22" s="2">
        <f>C22/$C$4</f>
        <v>7.6337696244515113E-2</v>
      </c>
      <c r="I22" s="2">
        <f>SQRT((D22/C22)^2+($D$4/$C$4)^2)</f>
        <v>4.3352741579333463E-2</v>
      </c>
      <c r="J22" s="7">
        <f>G22*C22/($G$4*$C$4)</f>
        <v>1340.723757511897</v>
      </c>
      <c r="K22" s="3">
        <f t="shared" si="0"/>
        <v>4.3352741579333465</v>
      </c>
      <c r="L22" t="s">
        <v>69</v>
      </c>
      <c r="M22" t="s">
        <v>102</v>
      </c>
    </row>
    <row r="23" spans="1:20" x14ac:dyDescent="0.3">
      <c r="A23" t="s">
        <v>24</v>
      </c>
      <c r="B23">
        <v>153</v>
      </c>
      <c r="C23" s="4">
        <v>0.17669880759107701</v>
      </c>
      <c r="D23" s="4">
        <v>9.5243314585005193E-3</v>
      </c>
      <c r="E23" s="3">
        <f>100*D23/C23</f>
        <v>5.3901503854751995</v>
      </c>
      <c r="F23" t="s">
        <v>50</v>
      </c>
      <c r="G23">
        <f>LN(2)/(46.284*60*60)</f>
        <v>4.1599879761661417E-6</v>
      </c>
      <c r="H23" s="2">
        <f>C23/$C$4</f>
        <v>2.9184358269796144E-2</v>
      </c>
      <c r="I23" s="2">
        <f>SQRT((D23/C23)^2+($D$4/$C$4)^2)</f>
        <v>5.4725171863608355E-2</v>
      </c>
      <c r="J23" s="2">
        <f>G23*C23/($G$4*$C$4)</f>
        <v>0.96900846706330657</v>
      </c>
      <c r="K23" s="3">
        <f t="shared" si="0"/>
        <v>5.4725171863608351</v>
      </c>
      <c r="L23" t="s">
        <v>66</v>
      </c>
      <c r="M23" t="s">
        <v>103</v>
      </c>
    </row>
    <row r="24" spans="1:20" x14ac:dyDescent="0.3">
      <c r="A24" t="s">
        <v>25</v>
      </c>
      <c r="B24">
        <v>156</v>
      </c>
      <c r="C24" s="2">
        <v>2.6636688311966999E-2</v>
      </c>
      <c r="D24" s="2">
        <v>1.10639174462281E-3</v>
      </c>
      <c r="E24" s="3">
        <f>100*D24/C24</f>
        <v>4.1536385141607264</v>
      </c>
      <c r="F24" t="s">
        <v>51</v>
      </c>
      <c r="G24">
        <f>LN(2)/(15.19*24*60*60)</f>
        <v>5.2814593890957231E-7</v>
      </c>
      <c r="H24" s="2">
        <f>C24/$C$4</f>
        <v>4.3994335073067724E-3</v>
      </c>
      <c r="I24" s="2">
        <f>SQRT((D24/C24)^2+($D$4/$C$4)^2)</f>
        <v>4.2599807609067425E-2</v>
      </c>
      <c r="J24" s="2">
        <f>G24*C24/($G$4*$C$4)</f>
        <v>1.8545393439095934E-2</v>
      </c>
      <c r="K24" s="3">
        <f t="shared" si="0"/>
        <v>4.2599807609067426</v>
      </c>
      <c r="L24" t="s">
        <v>81</v>
      </c>
      <c r="M24" t="s">
        <v>104</v>
      </c>
    </row>
    <row r="25" spans="1:20" x14ac:dyDescent="0.3">
      <c r="A25" t="s">
        <v>26</v>
      </c>
      <c r="B25">
        <v>161</v>
      </c>
      <c r="C25" s="5">
        <v>1.10279936390231E-3</v>
      </c>
      <c r="D25" s="6">
        <v>4.4771538076839103E-5</v>
      </c>
      <c r="E25" s="3">
        <f t="shared" ref="E25" si="1">100*D25/C25</f>
        <v>4.059808115812908</v>
      </c>
      <c r="F25" t="s">
        <v>52</v>
      </c>
      <c r="G25">
        <f>LN(2)/(6.89*24*60*60)</f>
        <v>1.1643739930386656E-6</v>
      </c>
      <c r="H25" s="2">
        <f>C25/$C$4</f>
        <v>1.8214323104155216E-4</v>
      </c>
      <c r="I25" s="2">
        <f>SQRT((D25/C25)^2+($D$4/$C$4)^2)</f>
        <v>4.1685447237851031E-2</v>
      </c>
      <c r="J25" s="5">
        <f>G25*C25/($G$4*$C$4)</f>
        <v>1.6927424339699085E-3</v>
      </c>
      <c r="K25" s="3">
        <f t="shared" si="0"/>
        <v>4.1685447237851028</v>
      </c>
      <c r="L25" t="s">
        <v>82</v>
      </c>
      <c r="M25" t="s">
        <v>105</v>
      </c>
      <c r="T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quartemont</dc:creator>
  <cp:lastModifiedBy>nicholas quartemont</cp:lastModifiedBy>
  <dcterms:created xsi:type="dcterms:W3CDTF">2018-11-29T15:25:14Z</dcterms:created>
  <dcterms:modified xsi:type="dcterms:W3CDTF">2019-01-21T19:21:38Z</dcterms:modified>
</cp:coreProperties>
</file>