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IF-ETA-Experiment\Models\Spectra\"/>
    </mc:Choice>
  </mc:AlternateContent>
  <xr:revisionPtr revIDLastSave="0" documentId="10_ncr:8100000_{5B2073ED-FBE3-4E60-98EF-3C8DCC32A7D1}" xr6:coauthVersionLast="32" xr6:coauthVersionMax="32" xr10:uidLastSave="{00000000-0000-0000-0000-000000000000}"/>
  <bookViews>
    <workbookView xWindow="0" yWindow="0" windowWidth="17256" windowHeight="5652" xr2:uid="{1663C87B-664F-4283-803D-108DEB00EE00}"/>
  </bookViews>
  <sheets>
    <sheet name="Neutron Sources" sheetId="1" r:id="rId1"/>
    <sheet name="Gamma" sheetId="2" r:id="rId2"/>
  </sheets>
  <definedNames>
    <definedName name="_xlnm._FilterDatabase" localSheetId="0" hidden="1">'Neutron Sources'!$E$28:$F$28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F5" i="2" l="1"/>
  <c r="F6" i="2"/>
  <c r="F7" i="2"/>
  <c r="F4" i="2"/>
  <c r="E7" i="2"/>
  <c r="E6" i="2"/>
  <c r="E5" i="2"/>
  <c r="E4" i="2"/>
  <c r="C7" i="2"/>
  <c r="C6" i="2"/>
  <c r="C5" i="2"/>
  <c r="C4" i="2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J6" i="1"/>
  <c r="I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2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<sst xmlns="http://schemas.openxmlformats.org/spreadsheetml/2006/main" count="53" uniqueCount="35">
  <si>
    <t>Neutron Sources from EM-1</t>
  </si>
  <si>
    <t>Lower Bound</t>
  </si>
  <si>
    <t xml:space="preserve">Upper Bound </t>
  </si>
  <si>
    <t>MeV</t>
  </si>
  <si>
    <t>Source 3</t>
  </si>
  <si>
    <t>Neutrons Per kiloton</t>
  </si>
  <si>
    <t>Source 5</t>
  </si>
  <si>
    <t>Source 8</t>
  </si>
  <si>
    <t>Source 13</t>
  </si>
  <si>
    <t>n/MeV</t>
  </si>
  <si>
    <t xml:space="preserve">Unboosted </t>
  </si>
  <si>
    <t>Boosted</t>
  </si>
  <si>
    <t>Thermonuclear</t>
  </si>
  <si>
    <t xml:space="preserve">Enhanced Radiation </t>
  </si>
  <si>
    <t>Differential Flux Spectrum</t>
  </si>
  <si>
    <t>n/cm^2-s</t>
  </si>
  <si>
    <t>Sigma</t>
  </si>
  <si>
    <t>AVERAGE</t>
  </si>
  <si>
    <t>GAMMA-RAY</t>
  </si>
  <si>
    <t>ENERGY (MeV)</t>
  </si>
  <si>
    <t>PEAK GAMMA-RAY</t>
  </si>
  <si>
    <t>OUTPUT RATE a, b</t>
  </si>
  <si>
    <t>(MeV/nsec-KT)</t>
  </si>
  <si>
    <t xml:space="preserve">Weapon </t>
  </si>
  <si>
    <t>Type</t>
  </si>
  <si>
    <t>Unboosted</t>
  </si>
  <si>
    <t>Enhanced Radiation</t>
  </si>
  <si>
    <t xml:space="preserve">Total Gamma Ray Energy </t>
  </si>
  <si>
    <t>MeV/kT</t>
  </si>
  <si>
    <t>W=(kT)</t>
  </si>
  <si>
    <t>Some of the functions require the yield</t>
  </si>
  <si>
    <t xml:space="preserve">kT </t>
  </si>
  <si>
    <t>from average energy =(3/2)*kT</t>
  </si>
  <si>
    <t>This can be used to define the Plankian</t>
  </si>
  <si>
    <t>Plankiann is an estimate. Figure 8.3 is plankian-ish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</si>
</sst>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5F43B-CC59-4B37-ADB4-947BC5AA5841}">
  <dimension ref="A1:K25"/>
  <sheetViews>
    <sheetView tabSelected="1" workbookViewId="0">
      <selection activeCell="C26" sqref="C26"/>
    </sheetView>
  </sheetViews>
  <sheetFormatPr defaultRowHeight="14.4" x14ac:dyDescent="0.3"/>
  <cols>
    <col min="1" max="1" width="13" customWidth="1"/>
    <col min="2" max="2" width="11.77734375" bestFit="1" customWidth="1"/>
    <col min="3" max="3" width="10.44140625" bestFit="1" customWidth="1"/>
    <col min="4" max="4" width="9" bestFit="1" customWidth="1"/>
    <col min="5" max="5" width="13.44140625" bestFit="1" customWidth="1"/>
    <col min="6" max="6" width="17.77734375" bestFit="1" customWidth="1"/>
    <col min="10" max="10" width="17.77734375" bestFit="1" customWidth="1"/>
  </cols>
  <sheetData>
    <row r="1" spans="1:11" x14ac:dyDescent="0.3">
      <c r="A1" t="s">
        <v>0</v>
      </c>
      <c r="C1" t="s">
        <v>14</v>
      </c>
    </row>
    <row r="2" spans="1:11" x14ac:dyDescent="0.3">
      <c r="A2" t="s">
        <v>5</v>
      </c>
      <c r="C2">
        <f>2.7*10^23</f>
        <v>2.6999999999999999E+23</v>
      </c>
      <c r="D2">
        <f>3.38*10^23</f>
        <v>3.3799999999999995E+23</v>
      </c>
      <c r="E2">
        <f>1.95*10^23</f>
        <v>1.9499999999999997E+23</v>
      </c>
      <c r="F2">
        <f>1.77*10^24</f>
        <v>1.77E+24</v>
      </c>
    </row>
    <row r="3" spans="1:11" x14ac:dyDescent="0.3">
      <c r="C3" t="s">
        <v>10</v>
      </c>
      <c r="D3" t="s">
        <v>11</v>
      </c>
      <c r="E3" t="s">
        <v>12</v>
      </c>
      <c r="F3" t="s">
        <v>13</v>
      </c>
      <c r="G3" t="s">
        <v>10</v>
      </c>
      <c r="H3" t="s">
        <v>11</v>
      </c>
      <c r="I3" t="s">
        <v>12</v>
      </c>
      <c r="J3" t="s">
        <v>13</v>
      </c>
      <c r="K3" t="s">
        <v>16</v>
      </c>
    </row>
    <row r="4" spans="1:11" x14ac:dyDescent="0.3">
      <c r="A4" t="s">
        <v>2</v>
      </c>
      <c r="B4" t="s">
        <v>1</v>
      </c>
      <c r="C4" t="s">
        <v>4</v>
      </c>
      <c r="D4" t="s">
        <v>6</v>
      </c>
      <c r="E4" t="s">
        <v>7</v>
      </c>
      <c r="F4" t="s">
        <v>8</v>
      </c>
      <c r="G4" t="s">
        <v>4</v>
      </c>
      <c r="H4" t="s">
        <v>6</v>
      </c>
      <c r="I4" t="s">
        <v>7</v>
      </c>
      <c r="J4" t="s">
        <v>8</v>
      </c>
    </row>
    <row r="5" spans="1:11" x14ac:dyDescent="0.3">
      <c r="A5" t="s">
        <v>3</v>
      </c>
      <c r="B5" t="s">
        <v>3</v>
      </c>
      <c r="C5" t="s">
        <v>9</v>
      </c>
      <c r="D5" t="s">
        <v>9</v>
      </c>
      <c r="E5" t="s">
        <v>9</v>
      </c>
      <c r="F5" t="s">
        <v>9</v>
      </c>
      <c r="G5" t="s">
        <v>15</v>
      </c>
      <c r="H5" t="s">
        <v>15</v>
      </c>
      <c r="I5" t="s">
        <v>15</v>
      </c>
      <c r="J5" t="s">
        <v>15</v>
      </c>
    </row>
    <row r="6" spans="1:11" x14ac:dyDescent="0.3">
      <c r="A6">
        <f>1.49*10^1</f>
        <v>14.9</v>
      </c>
      <c r="B6">
        <f>1.22*10^1</f>
        <v>12.2</v>
      </c>
      <c r="C6">
        <f>8.85*10^-5</f>
        <v>8.850000000000001E-5</v>
      </c>
      <c r="D6">
        <f>9.47*10^-3</f>
        <v>9.470000000000001E-3</v>
      </c>
      <c r="E6">
        <f>1.65*10^-2</f>
        <v>1.6500000000000001E-2</v>
      </c>
      <c r="F6">
        <f>1.42*10^-1</f>
        <v>0.14199999999999999</v>
      </c>
      <c r="G6">
        <f>C6*(A6-B6)</f>
        <v>2.3895000000000012E-4</v>
      </c>
      <c r="H6">
        <f>D6*(A6-B6)</f>
        <v>2.5569000000000012E-2</v>
      </c>
      <c r="I6">
        <f>E6*(A6-B6)</f>
        <v>4.455000000000002E-2</v>
      </c>
      <c r="J6">
        <f>F6*(A6-B6)</f>
        <v>0.38340000000000013</v>
      </c>
      <c r="K6">
        <v>0</v>
      </c>
    </row>
    <row r="7" spans="1:11" x14ac:dyDescent="0.3">
      <c r="A7">
        <f>1.22*10^1</f>
        <v>12.2</v>
      </c>
      <c r="B7">
        <f>1*10^1</f>
        <v>10</v>
      </c>
      <c r="C7">
        <f>5.63*10^-4</f>
        <v>5.6300000000000002E-4</v>
      </c>
      <c r="D7">
        <f>2.38*10^-3</f>
        <v>2.3799999999999997E-3</v>
      </c>
      <c r="E7">
        <f>5.49*10^-3</f>
        <v>5.4900000000000001E-3</v>
      </c>
      <c r="F7">
        <f>2.03*10^-2</f>
        <v>2.0299999999999999E-2</v>
      </c>
      <c r="G7">
        <f t="shared" ref="G7:G23" si="0">C7*(A7-B7)</f>
        <v>1.2385999999999996E-3</v>
      </c>
      <c r="H7">
        <f t="shared" ref="H7:H23" si="1">D7*(A7-B7)</f>
        <v>5.2359999999999976E-3</v>
      </c>
      <c r="I7">
        <f t="shared" ref="I7:I23" si="2">E7*(A7-B7)</f>
        <v>1.2077999999999997E-2</v>
      </c>
      <c r="J7">
        <f t="shared" ref="J7:J23" si="3">F7*(A7-B7)</f>
        <v>4.4659999999999984E-2</v>
      </c>
      <c r="K7">
        <v>0</v>
      </c>
    </row>
    <row r="8" spans="1:11" x14ac:dyDescent="0.3">
      <c r="A8">
        <f>1*10^1</f>
        <v>10</v>
      </c>
      <c r="B8">
        <f>8.19*10^0</f>
        <v>8.19</v>
      </c>
      <c r="C8">
        <f>2.06*10^-3</f>
        <v>2.0600000000000002E-3</v>
      </c>
      <c r="D8">
        <f>3.14*10^-3</f>
        <v>3.14E-3</v>
      </c>
      <c r="E8">
        <f>3.86*10^-3</f>
        <v>3.8600000000000001E-3</v>
      </c>
      <c r="F8">
        <f>2.11*10^-2</f>
        <v>2.1100000000000001E-2</v>
      </c>
      <c r="G8">
        <f t="shared" si="0"/>
        <v>3.7286000000000012E-3</v>
      </c>
      <c r="H8">
        <f t="shared" si="1"/>
        <v>5.6834000000000016E-3</v>
      </c>
      <c r="I8">
        <f t="shared" si="2"/>
        <v>6.9866000000000025E-3</v>
      </c>
      <c r="J8">
        <f t="shared" si="3"/>
        <v>3.819100000000001E-2</v>
      </c>
      <c r="K8">
        <v>0</v>
      </c>
    </row>
    <row r="9" spans="1:11" x14ac:dyDescent="0.3">
      <c r="A9">
        <f>8.19*10^0</f>
        <v>8.19</v>
      </c>
      <c r="B9">
        <f>6.38*10^0</f>
        <v>6.38</v>
      </c>
      <c r="C9">
        <f>5.26*10^-3</f>
        <v>5.2599999999999999E-3</v>
      </c>
      <c r="D9">
        <f>6.27*10^-3</f>
        <v>6.2699999999999995E-3</v>
      </c>
      <c r="E9">
        <f>6*10^-3</f>
        <v>6.0000000000000001E-3</v>
      </c>
      <c r="F9">
        <f>2.06*10^-2</f>
        <v>2.06E-2</v>
      </c>
      <c r="G9">
        <f t="shared" si="0"/>
        <v>9.5205999999999971E-3</v>
      </c>
      <c r="H9">
        <f t="shared" si="1"/>
        <v>1.1348699999999996E-2</v>
      </c>
      <c r="I9">
        <f t="shared" si="2"/>
        <v>1.0859999999999998E-2</v>
      </c>
      <c r="J9">
        <f t="shared" si="3"/>
        <v>3.7285999999999993E-2</v>
      </c>
      <c r="K9">
        <v>0</v>
      </c>
    </row>
    <row r="10" spans="1:11" x14ac:dyDescent="0.3">
      <c r="A10">
        <f>6.38*10^0</f>
        <v>6.38</v>
      </c>
      <c r="B10">
        <f>4.97*10^0</f>
        <v>4.97</v>
      </c>
      <c r="C10">
        <f>1.34*10^-2</f>
        <v>1.34E-2</v>
      </c>
      <c r="D10">
        <f>1.59*10^-2</f>
        <v>1.5900000000000001E-2</v>
      </c>
      <c r="E10">
        <f>1.25*10^-2</f>
        <v>1.2500000000000001E-2</v>
      </c>
      <c r="F10">
        <f>2.33*10^-2</f>
        <v>2.3300000000000001E-2</v>
      </c>
      <c r="G10">
        <f t="shared" si="0"/>
        <v>1.8894000000000001E-2</v>
      </c>
      <c r="H10">
        <f t="shared" si="1"/>
        <v>2.2419000000000005E-2</v>
      </c>
      <c r="I10">
        <f t="shared" si="2"/>
        <v>1.7625000000000002E-2</v>
      </c>
      <c r="J10">
        <f t="shared" si="3"/>
        <v>3.2853000000000007E-2</v>
      </c>
      <c r="K10">
        <v>0</v>
      </c>
    </row>
    <row r="11" spans="1:11" x14ac:dyDescent="0.3">
      <c r="A11">
        <f>4.97*10^0</f>
        <v>4.97</v>
      </c>
      <c r="B11">
        <f>4.07*10^0</f>
        <v>4.07</v>
      </c>
      <c r="C11">
        <f>2.81*10^-2</f>
        <v>2.81E-2</v>
      </c>
      <c r="D11">
        <f>3.05*10^-2</f>
        <v>3.0499999999999999E-2</v>
      </c>
      <c r="E11">
        <f>2.22*10^-2</f>
        <v>2.2200000000000001E-2</v>
      </c>
      <c r="F11">
        <f>2.74*10^-2</f>
        <v>2.7400000000000004E-2</v>
      </c>
      <c r="G11">
        <f t="shared" si="0"/>
        <v>2.5289999999999986E-2</v>
      </c>
      <c r="H11">
        <f t="shared" si="1"/>
        <v>2.7449999999999985E-2</v>
      </c>
      <c r="I11">
        <f t="shared" si="2"/>
        <v>1.9979999999999987E-2</v>
      </c>
      <c r="J11">
        <f t="shared" si="3"/>
        <v>2.4659999999999987E-2</v>
      </c>
      <c r="K11">
        <v>0</v>
      </c>
    </row>
    <row r="12" spans="1:11" x14ac:dyDescent="0.3">
      <c r="A12">
        <f>4.07*10^0</f>
        <v>4.07</v>
      </c>
      <c r="B12">
        <f>3.01*10^0</f>
        <v>3.01</v>
      </c>
      <c r="C12">
        <f>4.19*10^-2</f>
        <v>4.1900000000000007E-2</v>
      </c>
      <c r="D12">
        <f>4.59*10^-2</f>
        <v>4.5899999999999996E-2</v>
      </c>
      <c r="E12">
        <f>3.39*10^-2</f>
        <v>3.39E-2</v>
      </c>
      <c r="F12">
        <f>3.05*10^-2</f>
        <v>3.0499999999999999E-2</v>
      </c>
      <c r="G12">
        <f t="shared" si="0"/>
        <v>4.441400000000003E-2</v>
      </c>
      <c r="H12">
        <f t="shared" si="1"/>
        <v>4.8654000000000017E-2</v>
      </c>
      <c r="I12">
        <f t="shared" si="2"/>
        <v>3.5934000000000015E-2</v>
      </c>
      <c r="J12">
        <f t="shared" si="3"/>
        <v>3.2330000000000012E-2</v>
      </c>
      <c r="K12">
        <v>0</v>
      </c>
    </row>
    <row r="13" spans="1:11" x14ac:dyDescent="0.3">
      <c r="A13">
        <f>3.01*10^0</f>
        <v>3.01</v>
      </c>
      <c r="B13">
        <f>2.31*10^0</f>
        <v>2.31</v>
      </c>
      <c r="C13">
        <f>8.11*10^-2</f>
        <v>8.1099999999999992E-2</v>
      </c>
      <c r="D13">
        <f>8.76*10^-2</f>
        <v>8.7599999999999997E-2</v>
      </c>
      <c r="E13">
        <f>5.85*10^-2</f>
        <v>5.8499999999999996E-2</v>
      </c>
      <c r="F13">
        <f>4.87*10^-2</f>
        <v>4.87E-2</v>
      </c>
      <c r="G13">
        <f t="shared" si="0"/>
        <v>5.6769999999999973E-2</v>
      </c>
      <c r="H13">
        <f t="shared" si="1"/>
        <v>6.1319999999999972E-2</v>
      </c>
      <c r="I13">
        <f t="shared" si="2"/>
        <v>4.0949999999999979E-2</v>
      </c>
      <c r="J13">
        <f t="shared" si="3"/>
        <v>3.4089999999999988E-2</v>
      </c>
      <c r="K13">
        <v>0</v>
      </c>
    </row>
    <row r="14" spans="1:11" x14ac:dyDescent="0.3">
      <c r="A14">
        <f>2.31*10^0</f>
        <v>2.31</v>
      </c>
      <c r="B14">
        <f>1.83*10^0</f>
        <v>1.83</v>
      </c>
      <c r="C14">
        <f>1.37*10^-1</f>
        <v>0.13700000000000001</v>
      </c>
      <c r="D14">
        <f>1.44*10^-1</f>
        <v>0.14399999999999999</v>
      </c>
      <c r="E14">
        <f>9.75*10^-2</f>
        <v>9.7500000000000003E-2</v>
      </c>
      <c r="F14">
        <f>8.65*10^-2</f>
        <v>8.6500000000000007E-2</v>
      </c>
      <c r="G14">
        <f t="shared" si="0"/>
        <v>6.5759999999999999E-2</v>
      </c>
      <c r="H14">
        <f t="shared" si="1"/>
        <v>6.9119999999999987E-2</v>
      </c>
      <c r="I14">
        <f t="shared" si="2"/>
        <v>4.6800000000000001E-2</v>
      </c>
      <c r="J14">
        <f t="shared" si="3"/>
        <v>4.1520000000000001E-2</v>
      </c>
      <c r="K14">
        <v>0</v>
      </c>
    </row>
    <row r="15" spans="1:11" x14ac:dyDescent="0.3">
      <c r="A15">
        <f>1.83*10^0</f>
        <v>1.83</v>
      </c>
      <c r="B15">
        <f>1.11*10^0</f>
        <v>1.1100000000000001</v>
      </c>
      <c r="C15">
        <f>1.85*10^-1</f>
        <v>0.18500000000000003</v>
      </c>
      <c r="D15">
        <f>1.89*10^-1</f>
        <v>0.189</v>
      </c>
      <c r="E15">
        <f>1.42*10^-1</f>
        <v>0.14199999999999999</v>
      </c>
      <c r="F15">
        <f>9.83*10^-2</f>
        <v>9.8299999999999998E-2</v>
      </c>
      <c r="G15">
        <f t="shared" si="0"/>
        <v>0.13320000000000001</v>
      </c>
      <c r="H15">
        <f t="shared" si="1"/>
        <v>0.13608000000000001</v>
      </c>
      <c r="I15">
        <f t="shared" si="2"/>
        <v>0.10223999999999998</v>
      </c>
      <c r="J15">
        <f t="shared" si="3"/>
        <v>7.0775999999999992E-2</v>
      </c>
      <c r="K15">
        <v>0</v>
      </c>
    </row>
    <row r="16" spans="1:11" x14ac:dyDescent="0.3">
      <c r="A16">
        <f>1.11*10^0</f>
        <v>1.1100000000000001</v>
      </c>
      <c r="B16">
        <f>5.5*10^-1</f>
        <v>0.55000000000000004</v>
      </c>
      <c r="C16">
        <f>2.88*10^-1</f>
        <v>0.28799999999999998</v>
      </c>
      <c r="D16">
        <f>2.99*10^-1</f>
        <v>0.29900000000000004</v>
      </c>
      <c r="E16">
        <f>2.73*10^-1</f>
        <v>0.27300000000000002</v>
      </c>
      <c r="F16">
        <f>1.23*10^-1</f>
        <v>0.123</v>
      </c>
      <c r="G16">
        <f t="shared" si="0"/>
        <v>0.16128000000000001</v>
      </c>
      <c r="H16">
        <f t="shared" si="1"/>
        <v>0.16744000000000003</v>
      </c>
      <c r="I16">
        <f t="shared" si="2"/>
        <v>0.15288000000000002</v>
      </c>
      <c r="J16">
        <f t="shared" si="3"/>
        <v>6.8880000000000011E-2</v>
      </c>
      <c r="K16">
        <v>0</v>
      </c>
    </row>
    <row r="17" spans="1:11" x14ac:dyDescent="0.3">
      <c r="A17">
        <f>5.5*10^-1</f>
        <v>0.55000000000000004</v>
      </c>
      <c r="B17">
        <f>1.58*10^-1</f>
        <v>0.15800000000000003</v>
      </c>
      <c r="C17">
        <f>4.37*10^-1</f>
        <v>0.43700000000000006</v>
      </c>
      <c r="D17">
        <f>4.56*10^-1</f>
        <v>0.45599999999999996</v>
      </c>
      <c r="E17">
        <f>4.77*10^-1</f>
        <v>0.47699999999999998</v>
      </c>
      <c r="F17">
        <f>2.12*10^-1</f>
        <v>0.21200000000000002</v>
      </c>
      <c r="G17">
        <f t="shared" si="0"/>
        <v>0.17130400000000004</v>
      </c>
      <c r="H17">
        <f t="shared" si="1"/>
        <v>0.17875199999999999</v>
      </c>
      <c r="I17">
        <f t="shared" si="2"/>
        <v>0.18698400000000001</v>
      </c>
      <c r="J17">
        <f t="shared" si="3"/>
        <v>8.3104000000000011E-2</v>
      </c>
      <c r="K17">
        <v>0</v>
      </c>
    </row>
    <row r="18" spans="1:11" x14ac:dyDescent="0.3">
      <c r="A18">
        <f>1.58*10^-1</f>
        <v>0.15800000000000003</v>
      </c>
      <c r="B18">
        <f>1.11*10^-1</f>
        <v>0.11100000000000002</v>
      </c>
      <c r="C18">
        <f>4.56*10^-1</f>
        <v>0.45599999999999996</v>
      </c>
      <c r="D18">
        <f>4.85*10^-1</f>
        <v>0.48499999999999999</v>
      </c>
      <c r="E18">
        <f>6.82*10^-1</f>
        <v>0.68200000000000005</v>
      </c>
      <c r="F18">
        <f>2.27*10^-1</f>
        <v>0.22700000000000001</v>
      </c>
      <c r="G18">
        <f t="shared" si="0"/>
        <v>2.1432000000000003E-2</v>
      </c>
      <c r="H18">
        <f t="shared" si="1"/>
        <v>2.2795000000000006E-2</v>
      </c>
      <c r="I18">
        <f t="shared" si="2"/>
        <v>3.2054000000000013E-2</v>
      </c>
      <c r="J18">
        <f t="shared" si="3"/>
        <v>1.0669000000000003E-2</v>
      </c>
      <c r="K18">
        <v>0</v>
      </c>
    </row>
    <row r="19" spans="1:11" x14ac:dyDescent="0.3">
      <c r="A19">
        <f>1.11*10^-1</f>
        <v>0.11100000000000002</v>
      </c>
      <c r="B19">
        <f>2.19*10^-2</f>
        <v>2.1899999999999999E-2</v>
      </c>
      <c r="C19">
        <f>1.27*10^0</f>
        <v>1.27</v>
      </c>
      <c r="D19">
        <f>1.11*10^0</f>
        <v>1.1100000000000001</v>
      </c>
      <c r="E19">
        <f>2.25*10^0</f>
        <v>2.25</v>
      </c>
      <c r="F19">
        <f>5.93*10^-1</f>
        <v>0.59299999999999997</v>
      </c>
      <c r="G19">
        <f t="shared" si="0"/>
        <v>0.11315700000000002</v>
      </c>
      <c r="H19">
        <f t="shared" si="1"/>
        <v>9.8901000000000017E-2</v>
      </c>
      <c r="I19">
        <f t="shared" si="2"/>
        <v>0.20047500000000001</v>
      </c>
      <c r="J19">
        <f t="shared" si="3"/>
        <v>5.2836300000000003E-2</v>
      </c>
      <c r="K19">
        <v>0</v>
      </c>
    </row>
    <row r="20" spans="1:11" x14ac:dyDescent="0.3">
      <c r="A20">
        <f>2.19*10^-2</f>
        <v>2.1899999999999999E-2</v>
      </c>
      <c r="B20">
        <f>1.23*10^-3</f>
        <v>1.23E-3</v>
      </c>
      <c r="C20">
        <f>3.5*10^0</f>
        <v>3.5</v>
      </c>
      <c r="D20">
        <f>5.15*10^0</f>
        <v>5.15</v>
      </c>
      <c r="E20">
        <f>4.1*10^0</f>
        <v>4.0999999999999996</v>
      </c>
      <c r="F20">
        <f>1.93*10^-1</f>
        <v>0.193</v>
      </c>
      <c r="G20">
        <f t="shared" si="0"/>
        <v>7.2345000000000007E-2</v>
      </c>
      <c r="H20">
        <f t="shared" si="1"/>
        <v>0.10645050000000002</v>
      </c>
      <c r="I20">
        <f t="shared" si="2"/>
        <v>8.4747000000000003E-2</v>
      </c>
      <c r="J20">
        <f t="shared" si="3"/>
        <v>3.9893100000000003E-3</v>
      </c>
      <c r="K20">
        <v>0</v>
      </c>
    </row>
    <row r="21" spans="1:11" x14ac:dyDescent="0.3">
      <c r="A21">
        <f>1.23*10^-3</f>
        <v>1.23E-3</v>
      </c>
      <c r="B21">
        <f>1.01*10^-4</f>
        <v>1.01E-4</v>
      </c>
      <c r="C21">
        <f>7.08*10^1</f>
        <v>70.8</v>
      </c>
      <c r="D21">
        <f>1.22*10^1</f>
        <v>12.2</v>
      </c>
      <c r="E21">
        <f>4.42*10^0</f>
        <v>4.42</v>
      </c>
      <c r="F21">
        <f>5.01*10^0</f>
        <v>5.01</v>
      </c>
      <c r="G21">
        <f t="shared" si="0"/>
        <v>7.9933199999999996E-2</v>
      </c>
      <c r="H21">
        <f t="shared" si="1"/>
        <v>1.3773799999999999E-2</v>
      </c>
      <c r="I21">
        <f t="shared" si="2"/>
        <v>4.9901800000000003E-3</v>
      </c>
      <c r="J21">
        <f t="shared" si="3"/>
        <v>5.6562899999999996E-3</v>
      </c>
      <c r="K21">
        <v>0</v>
      </c>
    </row>
    <row r="22" spans="1:11" x14ac:dyDescent="0.3">
      <c r="A22">
        <f>1.01*10^-4</f>
        <v>1.01E-4</v>
      </c>
      <c r="B22">
        <f>2.9*10^-5</f>
        <v>2.9E-5</v>
      </c>
      <c r="C22">
        <f>2.29*10^2</f>
        <v>229</v>
      </c>
      <c r="D22">
        <f>2.72*10^0</f>
        <v>2.72</v>
      </c>
      <c r="E22">
        <f>4.61*10^0</f>
        <v>4.6100000000000003</v>
      </c>
      <c r="F22">
        <f>0*10^0</f>
        <v>0</v>
      </c>
      <c r="G22">
        <f t="shared" si="0"/>
        <v>1.6487999999999999E-2</v>
      </c>
      <c r="H22">
        <f t="shared" si="1"/>
        <v>1.9584000000000002E-4</v>
      </c>
      <c r="I22">
        <f t="shared" si="2"/>
        <v>3.3192000000000003E-4</v>
      </c>
      <c r="J22">
        <f t="shared" si="3"/>
        <v>0</v>
      </c>
      <c r="K22">
        <v>0</v>
      </c>
    </row>
    <row r="23" spans="1:11" x14ac:dyDescent="0.3">
      <c r="A23">
        <f>2.9*10^-5</f>
        <v>2.9E-5</v>
      </c>
      <c r="B23">
        <f>1.07*10^-5</f>
        <v>1.0700000000000001E-5</v>
      </c>
      <c r="C23">
        <f>3.15*10^2</f>
        <v>315</v>
      </c>
      <c r="D23">
        <f>7.61*10^-1</f>
        <v>0.76100000000000012</v>
      </c>
      <c r="E23">
        <f>6.41*10^-1</f>
        <v>0.64100000000000001</v>
      </c>
      <c r="F23">
        <f>0*10^0</f>
        <v>0</v>
      </c>
      <c r="G23">
        <f t="shared" si="0"/>
        <v>5.7644999999999997E-3</v>
      </c>
      <c r="H23">
        <f t="shared" si="1"/>
        <v>1.3926300000000001E-5</v>
      </c>
      <c r="I23">
        <f t="shared" si="2"/>
        <v>1.1730299999999998E-5</v>
      </c>
      <c r="J23">
        <f t="shared" si="3"/>
        <v>0</v>
      </c>
      <c r="K23">
        <v>0</v>
      </c>
    </row>
    <row r="25" spans="1:11" x14ac:dyDescent="0.3">
      <c r="C25">
        <f>C2*20</f>
        <v>5.4E+24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A215-F46B-4875-A667-FA0FBF95A9C2}">
  <dimension ref="A1:G10"/>
  <sheetViews>
    <sheetView workbookViewId="0">
      <selection activeCell="D7" sqref="D7"/>
    </sheetView>
  </sheetViews>
  <sheetFormatPr defaultRowHeight="14.4" x14ac:dyDescent="0.3"/>
  <cols>
    <col min="1" max="1" width="17.33203125" bestFit="1" customWidth="1"/>
    <col min="2" max="2" width="18.5546875" bestFit="1" customWidth="1"/>
    <col min="3" max="3" width="22.109375" bestFit="1" customWidth="1"/>
    <col min="4" max="4" width="13.109375" bestFit="1" customWidth="1"/>
    <col min="5" max="5" width="16.33203125" bestFit="1" customWidth="1"/>
  </cols>
  <sheetData>
    <row r="1" spans="1:7" x14ac:dyDescent="0.3">
      <c r="C1" t="s">
        <v>27</v>
      </c>
      <c r="D1" t="s">
        <v>17</v>
      </c>
      <c r="E1" t="s">
        <v>20</v>
      </c>
      <c r="F1" t="s">
        <v>31</v>
      </c>
    </row>
    <row r="2" spans="1:7" x14ac:dyDescent="0.3">
      <c r="B2" t="s">
        <v>23</v>
      </c>
      <c r="C2" t="s">
        <v>28</v>
      </c>
      <c r="D2" t="s">
        <v>18</v>
      </c>
      <c r="E2" t="s">
        <v>21</v>
      </c>
      <c r="F2" t="s">
        <v>32</v>
      </c>
    </row>
    <row r="3" spans="1:7" x14ac:dyDescent="0.3">
      <c r="B3" t="s">
        <v>24</v>
      </c>
      <c r="D3" t="s">
        <v>19</v>
      </c>
      <c r="E3" t="s">
        <v>22</v>
      </c>
      <c r="F3" t="s">
        <v>3</v>
      </c>
      <c r="G3" t="s">
        <v>33</v>
      </c>
    </row>
    <row r="4" spans="1:7" x14ac:dyDescent="0.3">
      <c r="A4" t="s">
        <v>25</v>
      </c>
      <c r="B4">
        <v>3</v>
      </c>
      <c r="C4">
        <f>9.8*10^22</f>
        <v>9.8000000000000013E+22</v>
      </c>
      <c r="D4">
        <v>1.5</v>
      </c>
      <c r="E4">
        <f>4.92 * 10^21</f>
        <v>4.92E+21</v>
      </c>
      <c r="F4">
        <f>D4/1.5</f>
        <v>1</v>
      </c>
      <c r="G4" t="s">
        <v>34</v>
      </c>
    </row>
    <row r="5" spans="1:7" x14ac:dyDescent="0.3">
      <c r="A5" t="s">
        <v>11</v>
      </c>
      <c r="B5">
        <v>5</v>
      </c>
      <c r="C5">
        <f>1.04*10^23</f>
        <v>1.04E+23</v>
      </c>
      <c r="D5">
        <v>1.61</v>
      </c>
      <c r="E5">
        <f>5.22 * 10^21</f>
        <v>5.22E+21</v>
      </c>
      <c r="F5">
        <f t="shared" ref="F5:F7" si="0">D5/1.5</f>
        <v>1.0733333333333335</v>
      </c>
    </row>
    <row r="6" spans="1:7" x14ac:dyDescent="0.3">
      <c r="A6" t="s">
        <v>12</v>
      </c>
      <c r="B6">
        <v>8</v>
      </c>
      <c r="C6">
        <f>3.55*10^23*C9^(0.29)</f>
        <v>8.4630528273111729E+23</v>
      </c>
      <c r="D6">
        <v>1.63</v>
      </c>
      <c r="E6">
        <f>1.79 * 10^22 *C9^-0.29</f>
        <v>7.5085198328118085E+21</v>
      </c>
      <c r="F6">
        <f t="shared" si="0"/>
        <v>1.0866666666666667</v>
      </c>
    </row>
    <row r="7" spans="1:7" x14ac:dyDescent="0.3">
      <c r="A7" t="s">
        <v>26</v>
      </c>
      <c r="B7">
        <v>13</v>
      </c>
      <c r="C7">
        <f>6.7*10^23</f>
        <v>6.7000000000000002E+23</v>
      </c>
      <c r="D7">
        <v>2</v>
      </c>
      <c r="E7">
        <f>3.37 * 10^22</f>
        <v>3.3700000000000003E+22</v>
      </c>
      <c r="F7">
        <f t="shared" si="0"/>
        <v>1.3333333333333333</v>
      </c>
    </row>
    <row r="9" spans="1:7" x14ac:dyDescent="0.3">
      <c r="B9" t="s">
        <v>29</v>
      </c>
      <c r="C9">
        <v>20</v>
      </c>
    </row>
    <row r="10" spans="1:7" x14ac:dyDescent="0.3">
      <c r="B10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Neutron Sources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2018-04-07T19:39:01Z</dcterms:created>
  <dcterms:modified xsi:type="dcterms:W3CDTF">2018-05-05T20:12:49Z</dcterms:modified>
</cp:coreProperties>
</file>