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NICKSON MICHAEL S\Downloads\"/>
    </mc:Choice>
  </mc:AlternateContent>
  <xr:revisionPtr revIDLastSave="0" documentId="13_ncr:1_{3A556F9E-0618-47F1-9016-CDA9EE4C5FC2}" xr6:coauthVersionLast="47" xr6:coauthVersionMax="47" xr10:uidLastSave="{00000000-0000-0000-0000-000000000000}"/>
  <bookViews>
    <workbookView xWindow="-120" yWindow="-120" windowWidth="20730" windowHeight="11160" firstSheet="3" activeTab="9" xr2:uid="{26D4546B-D2A1-4444-8EAF-A6228F96F0C1}"/>
  </bookViews>
  <sheets>
    <sheet name="Data" sheetId="1" r:id="rId1"/>
    <sheet name="India Staff" sheetId="2" r:id="rId2"/>
    <sheet name="All staff" sheetId="3" r:id="rId3"/>
    <sheet name="Sheet2" sheetId="4" r:id="rId4"/>
    <sheet name="Sheet3" sheetId="5" r:id="rId5"/>
    <sheet name="Sheet6" sheetId="8" r:id="rId6"/>
    <sheet name="Sheet5" sheetId="7" r:id="rId7"/>
    <sheet name="Sheet7" sheetId="9" r:id="rId8"/>
    <sheet name="Sheet8" sheetId="10" r:id="rId9"/>
    <sheet name="Sheet9" sheetId="11" r:id="rId10"/>
    <sheet name="Sheet10" sheetId="12" r:id="rId11"/>
    <sheet name="Sheet4" sheetId="6" state="hidden" r:id="rId12"/>
  </sheets>
  <definedNames>
    <definedName name="_xlnm._FilterDatabase" localSheetId="0" hidden="1">Data!$C$5:$I$105</definedName>
    <definedName name="_xlnm._FilterDatabase" localSheetId="1" hidden="1">'India Staff'!$B$2:$H$114</definedName>
    <definedName name="_xlchart.v1.0" hidden="1">'All staff'!$I$5:$I$188</definedName>
    <definedName name="_xlchart.v1.1" hidden="1">'All staff'!$I$5:$I$188</definedName>
    <definedName name="_xlchart.v1.2" hidden="1">Sheet8!$W$16:$W$51</definedName>
    <definedName name="_xlchart.v1.3" hidden="1">Sheet8!$Y$15</definedName>
    <definedName name="_xlchart.v1.4" hidden="1">Sheet8!$Y$16:$Y$51</definedName>
    <definedName name="_xlcn.WorksheetConnection_blankdatafile1.xlsxstaff1" hidden="1">staff[]</definedName>
    <definedName name="ExternalData_1" localSheetId="2" hidden="1">'All staff'!$C$4:$J$188</definedName>
    <definedName name="ExternalData_1" localSheetId="5" hidden="1">Sheet6!$A$3:$I$7</definedName>
    <definedName name="Slicer_Country">#N/A</definedName>
  </definedNames>
  <calcPr calcId="191029"/>
  <pivotCaches>
    <pivotCache cacheId="88" r:id="rId13"/>
    <pivotCache cacheId="94" r:id="rId14"/>
    <pivotCache cacheId="98" r:id="rId15"/>
    <pivotCache cacheId="152" r:id="rId16"/>
    <pivotCache cacheId="176" r:id="rId17"/>
    <pivotCache cacheId="179" r:id="rId18"/>
  </pivotCaches>
  <extLst>
    <ext xmlns:x14="http://schemas.microsoft.com/office/spreadsheetml/2009/9/main" uri="{876F7934-8845-4945-9796-88D515C7AA90}">
      <x14:pivotCaches>
        <pivotCache cacheId="97"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 (1).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P4" i="11" l="1"/>
  <c r="L4" i="11"/>
  <c r="N4" i="11" s="1"/>
  <c r="G4" i="11"/>
  <c r="C4" i="11"/>
  <c r="E4" i="11" s="1"/>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16" i="10"/>
  <c r="W43" i="10"/>
  <c r="W44" i="10"/>
  <c r="W45" i="10"/>
  <c r="W46" i="10"/>
  <c r="W47" i="10"/>
  <c r="W48" i="10"/>
  <c r="W49" i="10"/>
  <c r="W50" i="10"/>
  <c r="W51" i="10"/>
  <c r="W31" i="10"/>
  <c r="W32" i="10"/>
  <c r="W33" i="10"/>
  <c r="W34" i="10"/>
  <c r="W35" i="10"/>
  <c r="W36" i="10"/>
  <c r="W37" i="10"/>
  <c r="W38" i="10"/>
  <c r="W39" i="10"/>
  <c r="W40" i="10"/>
  <c r="W41" i="10"/>
  <c r="W42" i="10"/>
  <c r="W17" i="10"/>
  <c r="W18" i="10"/>
  <c r="W19" i="10"/>
  <c r="W20" i="10"/>
  <c r="W21" i="10"/>
  <c r="W22" i="10"/>
  <c r="W23" i="10"/>
  <c r="W24" i="10"/>
  <c r="W25" i="10"/>
  <c r="W26" i="10"/>
  <c r="W27" i="10"/>
  <c r="W28" i="10"/>
  <c r="W29" i="10"/>
  <c r="W30" i="10"/>
  <c r="W16" i="10"/>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P18" i="3"/>
  <c r="Q10" i="3"/>
  <c r="K165" i="3"/>
  <c r="L165" i="3" s="1"/>
  <c r="K21" i="3"/>
  <c r="L21" i="3" s="1"/>
  <c r="K145" i="3"/>
  <c r="L145" i="3" s="1"/>
  <c r="K23" i="3"/>
  <c r="L23" i="3" s="1"/>
  <c r="K179" i="3"/>
  <c r="L179" i="3" s="1"/>
  <c r="K49" i="3"/>
  <c r="L49" i="3" s="1"/>
  <c r="K133" i="3"/>
  <c r="L133" i="3" s="1"/>
  <c r="K127" i="3"/>
  <c r="L127" i="3" s="1"/>
  <c r="K93" i="3"/>
  <c r="L93" i="3" s="1"/>
  <c r="K159" i="3"/>
  <c r="L159" i="3" s="1"/>
  <c r="K149" i="3"/>
  <c r="L149" i="3" s="1"/>
  <c r="K137" i="3"/>
  <c r="L137" i="3" s="1"/>
  <c r="K27" i="3"/>
  <c r="L27" i="3" s="1"/>
  <c r="K11" i="3"/>
  <c r="L11" i="3" s="1"/>
  <c r="K166" i="3"/>
  <c r="L166" i="3" s="1"/>
  <c r="K35" i="3"/>
  <c r="L35" i="3" s="1"/>
  <c r="K185" i="3"/>
  <c r="L185" i="3" s="1"/>
  <c r="K85" i="3"/>
  <c r="L85" i="3" s="1"/>
  <c r="K111" i="3"/>
  <c r="L111" i="3" s="1"/>
  <c r="K105" i="3"/>
  <c r="L105" i="3" s="1"/>
  <c r="K47" i="3"/>
  <c r="L47" i="3" s="1"/>
  <c r="K123" i="3"/>
  <c r="L123" i="3" s="1"/>
  <c r="K9" i="3"/>
  <c r="L9" i="3" s="1"/>
  <c r="K95" i="3"/>
  <c r="L95" i="3" s="1"/>
  <c r="K13" i="3"/>
  <c r="L13" i="3" s="1"/>
  <c r="K143" i="3"/>
  <c r="L143" i="3" s="1"/>
  <c r="K53" i="3"/>
  <c r="L53" i="3" s="1"/>
  <c r="K175" i="3"/>
  <c r="L175" i="3" s="1"/>
  <c r="K15" i="3"/>
  <c r="L15" i="3" s="1"/>
  <c r="K163" i="3"/>
  <c r="L163" i="3" s="1"/>
  <c r="K25" i="3"/>
  <c r="L25" i="3" s="1"/>
  <c r="K73" i="3"/>
  <c r="L73" i="3" s="1"/>
  <c r="K141" i="3"/>
  <c r="L141" i="3" s="1"/>
  <c r="K113" i="3"/>
  <c r="L113" i="3" s="1"/>
  <c r="K37" i="3"/>
  <c r="L37" i="3" s="1"/>
  <c r="K161" i="3"/>
  <c r="L161" i="3" s="1"/>
  <c r="K187" i="3"/>
  <c r="L187" i="3" s="1"/>
  <c r="K168" i="3"/>
  <c r="L168" i="3" s="1"/>
  <c r="K177" i="3"/>
  <c r="L177" i="3" s="1"/>
  <c r="K33" i="3"/>
  <c r="L33" i="3" s="1"/>
  <c r="K101" i="3"/>
  <c r="L101" i="3" s="1"/>
  <c r="K39" i="3"/>
  <c r="L39" i="3" s="1"/>
  <c r="K117" i="3"/>
  <c r="L117" i="3" s="1"/>
  <c r="K5" i="3"/>
  <c r="L5" i="3" s="1"/>
  <c r="K97" i="3"/>
  <c r="L97" i="3" s="1"/>
  <c r="K55" i="3"/>
  <c r="L55" i="3" s="1"/>
  <c r="K151" i="3"/>
  <c r="L151" i="3" s="1"/>
  <c r="K51" i="3"/>
  <c r="L51" i="3" s="1"/>
  <c r="K129" i="3"/>
  <c r="L129" i="3" s="1"/>
  <c r="K87" i="3"/>
  <c r="L87" i="3" s="1"/>
  <c r="K103" i="3"/>
  <c r="L103" i="3" s="1"/>
  <c r="K125" i="3"/>
  <c r="L125" i="3" s="1"/>
  <c r="K63" i="3"/>
  <c r="L63" i="3" s="1"/>
  <c r="K181" i="3"/>
  <c r="L181" i="3" s="1"/>
  <c r="K69" i="3"/>
  <c r="L69" i="3" s="1"/>
  <c r="K67" i="3"/>
  <c r="L67" i="3" s="1"/>
  <c r="K131" i="3"/>
  <c r="L131" i="3" s="1"/>
  <c r="K31" i="3"/>
  <c r="L31" i="3" s="1"/>
  <c r="K115" i="3"/>
  <c r="L115" i="3" s="1"/>
  <c r="K121" i="3"/>
  <c r="L121" i="3" s="1"/>
  <c r="K79" i="3"/>
  <c r="L79" i="3" s="1"/>
  <c r="K41" i="3"/>
  <c r="L41" i="3" s="1"/>
  <c r="K19" i="3"/>
  <c r="L19" i="3" s="1"/>
  <c r="K157" i="3"/>
  <c r="L157" i="3" s="1"/>
  <c r="K139" i="3"/>
  <c r="L139" i="3" s="1"/>
  <c r="K17" i="3"/>
  <c r="L17" i="3" s="1"/>
  <c r="K91" i="3"/>
  <c r="L91" i="3" s="1"/>
  <c r="K171" i="3"/>
  <c r="L171" i="3" s="1"/>
  <c r="K119" i="3"/>
  <c r="L119" i="3" s="1"/>
  <c r="K42" i="3"/>
  <c r="L42" i="3" s="1"/>
  <c r="K81" i="3"/>
  <c r="L81" i="3" s="1"/>
  <c r="K75" i="3"/>
  <c r="L75" i="3" s="1"/>
  <c r="K83" i="3"/>
  <c r="L83" i="3" s="1"/>
  <c r="K61" i="3"/>
  <c r="L61" i="3" s="1"/>
  <c r="K153" i="3"/>
  <c r="L153" i="3" s="1"/>
  <c r="K183" i="3"/>
  <c r="L183" i="3" s="1"/>
  <c r="K107" i="3"/>
  <c r="L107" i="3" s="1"/>
  <c r="K173" i="3"/>
  <c r="L173" i="3" s="1"/>
  <c r="K147" i="3"/>
  <c r="L147" i="3" s="1"/>
  <c r="K77" i="3"/>
  <c r="L77" i="3" s="1"/>
  <c r="K7" i="3"/>
  <c r="L7" i="3" s="1"/>
  <c r="K65" i="3"/>
  <c r="L65" i="3" s="1"/>
  <c r="K155" i="3"/>
  <c r="L155" i="3" s="1"/>
  <c r="K71" i="3"/>
  <c r="L71" i="3" s="1"/>
  <c r="K99" i="3"/>
  <c r="L99" i="3" s="1"/>
  <c r="K45" i="3"/>
  <c r="L45" i="3" s="1"/>
  <c r="K109" i="3"/>
  <c r="L109" i="3" s="1"/>
  <c r="K57" i="3"/>
  <c r="L57" i="3" s="1"/>
  <c r="K89" i="3"/>
  <c r="L89" i="3" s="1"/>
  <c r="K59" i="3"/>
  <c r="L59" i="3" s="1"/>
  <c r="K29" i="3"/>
  <c r="L29" i="3" s="1"/>
  <c r="K135" i="3"/>
  <c r="L135" i="3" s="1"/>
  <c r="K169" i="3"/>
  <c r="L169" i="3" s="1"/>
  <c r="K90" i="3"/>
  <c r="L90" i="3" s="1"/>
  <c r="K40" i="3"/>
  <c r="L40" i="3" s="1"/>
  <c r="K180" i="3"/>
  <c r="L180" i="3" s="1"/>
  <c r="K43" i="3"/>
  <c r="L43" i="3" s="1"/>
  <c r="K164" i="3"/>
  <c r="L164" i="3" s="1"/>
  <c r="K30" i="3"/>
  <c r="L30" i="3" s="1"/>
  <c r="K66" i="3"/>
  <c r="L66" i="3" s="1"/>
  <c r="K46" i="3"/>
  <c r="L46" i="3" s="1"/>
  <c r="K188" i="3"/>
  <c r="L188" i="3" s="1"/>
  <c r="K162" i="3"/>
  <c r="L162" i="3" s="1"/>
  <c r="K72" i="3"/>
  <c r="L72" i="3" s="1"/>
  <c r="K82" i="3"/>
  <c r="L82" i="3" s="1"/>
  <c r="K156" i="3"/>
  <c r="L156" i="3" s="1"/>
  <c r="K22" i="3"/>
  <c r="L22" i="3" s="1"/>
  <c r="K140" i="3"/>
  <c r="L140" i="3" s="1"/>
  <c r="K12" i="3"/>
  <c r="L12" i="3" s="1"/>
  <c r="K52" i="3"/>
  <c r="L52" i="3" s="1"/>
  <c r="K18" i="3"/>
  <c r="L18" i="3" s="1"/>
  <c r="K102" i="3"/>
  <c r="L102" i="3" s="1"/>
  <c r="K56" i="3"/>
  <c r="L56" i="3" s="1"/>
  <c r="K76" i="3"/>
  <c r="L76" i="3" s="1"/>
  <c r="K54" i="3"/>
  <c r="L54" i="3" s="1"/>
  <c r="K34" i="3"/>
  <c r="L34" i="3" s="1"/>
  <c r="K68" i="3"/>
  <c r="L68" i="3" s="1"/>
  <c r="K96" i="3"/>
  <c r="L96" i="3" s="1"/>
  <c r="K122" i="3"/>
  <c r="L122" i="3" s="1"/>
  <c r="K8" i="3"/>
  <c r="L8" i="3" s="1"/>
  <c r="K104" i="3"/>
  <c r="L104" i="3" s="1"/>
  <c r="K62" i="3"/>
  <c r="L62" i="3" s="1"/>
  <c r="K100" i="3"/>
  <c r="L100" i="3" s="1"/>
  <c r="K182" i="3"/>
  <c r="L182" i="3" s="1"/>
  <c r="K110" i="3"/>
  <c r="L110" i="3" s="1"/>
  <c r="K160" i="3"/>
  <c r="L160" i="3" s="1"/>
  <c r="K36" i="3"/>
  <c r="L36" i="3" s="1"/>
  <c r="K142" i="3"/>
  <c r="L142" i="3" s="1"/>
  <c r="K136" i="3"/>
  <c r="L136" i="3" s="1"/>
  <c r="K146" i="3"/>
  <c r="L146" i="3" s="1"/>
  <c r="K32" i="3"/>
  <c r="L32" i="3" s="1"/>
  <c r="K38" i="3"/>
  <c r="L38" i="3" s="1"/>
  <c r="K108" i="3"/>
  <c r="L108" i="3" s="1"/>
  <c r="K120" i="3"/>
  <c r="L120" i="3" s="1"/>
  <c r="K116" i="3"/>
  <c r="L116" i="3" s="1"/>
  <c r="K132" i="3"/>
  <c r="L132" i="3" s="1"/>
  <c r="K167" i="3"/>
  <c r="L167" i="3" s="1"/>
  <c r="K112" i="3"/>
  <c r="L112" i="3" s="1"/>
  <c r="K80" i="3"/>
  <c r="L80" i="3" s="1"/>
  <c r="K114" i="3"/>
  <c r="L114" i="3" s="1"/>
  <c r="K58" i="3"/>
  <c r="L58" i="3" s="1"/>
  <c r="K186" i="3"/>
  <c r="L186" i="3" s="1"/>
  <c r="K28" i="3"/>
  <c r="L28" i="3" s="1"/>
  <c r="K24" i="3"/>
  <c r="L24" i="3" s="1"/>
  <c r="K178" i="3"/>
  <c r="L178" i="3" s="1"/>
  <c r="K86" i="3"/>
  <c r="L86" i="3" s="1"/>
  <c r="K92" i="3"/>
  <c r="L92" i="3" s="1"/>
  <c r="K158" i="3"/>
  <c r="L158" i="3" s="1"/>
  <c r="K172" i="3"/>
  <c r="L172" i="3" s="1"/>
  <c r="K84" i="3"/>
  <c r="L84" i="3" s="1"/>
  <c r="K184" i="3"/>
  <c r="L184" i="3" s="1"/>
  <c r="K106" i="3"/>
  <c r="L106" i="3" s="1"/>
  <c r="K176" i="3"/>
  <c r="L176" i="3" s="1"/>
  <c r="K128" i="3"/>
  <c r="L128" i="3" s="1"/>
  <c r="K152" i="3"/>
  <c r="L152" i="3" s="1"/>
  <c r="K48" i="3"/>
  <c r="L48" i="3" s="1"/>
  <c r="K126" i="3"/>
  <c r="L126" i="3" s="1"/>
  <c r="K50" i="3"/>
  <c r="L50" i="3" s="1"/>
  <c r="K134" i="3"/>
  <c r="L134" i="3" s="1"/>
  <c r="K74" i="3"/>
  <c r="L74" i="3" s="1"/>
  <c r="K26" i="3"/>
  <c r="L26" i="3" s="1"/>
  <c r="K64" i="3"/>
  <c r="L64" i="3" s="1"/>
  <c r="K148" i="3"/>
  <c r="L148" i="3" s="1"/>
  <c r="K124" i="3"/>
  <c r="L124" i="3" s="1"/>
  <c r="K144" i="3"/>
  <c r="L144" i="3" s="1"/>
  <c r="K174" i="3"/>
  <c r="L174" i="3" s="1"/>
  <c r="K6" i="3"/>
  <c r="L6" i="3" s="1"/>
  <c r="K154" i="3"/>
  <c r="L154" i="3" s="1"/>
  <c r="K14" i="3"/>
  <c r="L14" i="3" s="1"/>
  <c r="K130" i="3"/>
  <c r="L130" i="3" s="1"/>
  <c r="K10" i="3"/>
  <c r="L10" i="3" s="1"/>
  <c r="K150" i="3"/>
  <c r="L150" i="3" s="1"/>
  <c r="K138" i="3"/>
  <c r="L138" i="3" s="1"/>
  <c r="K118" i="3"/>
  <c r="L118" i="3" s="1"/>
  <c r="K20" i="3"/>
  <c r="L20" i="3" s="1"/>
  <c r="K60" i="3"/>
  <c r="L60" i="3" s="1"/>
  <c r="K70" i="3"/>
  <c r="L70" i="3" s="1"/>
  <c r="K16" i="3"/>
  <c r="L16" i="3" s="1"/>
  <c r="K98" i="3"/>
  <c r="L98" i="3" s="1"/>
  <c r="K94" i="3"/>
  <c r="L94" i="3" s="1"/>
  <c r="K78" i="3"/>
  <c r="L78" i="3" s="1"/>
  <c r="K88" i="3"/>
  <c r="L88" i="3" s="1"/>
  <c r="K44" i="3"/>
  <c r="L44" i="3" s="1"/>
  <c r="K170" i="3"/>
  <c r="L170" i="3" s="1"/>
  <c r="S7" i="3"/>
  <c r="S6" i="3"/>
  <c r="Q7" i="3"/>
  <c r="Q6" i="3"/>
  <c r="Q5" i="3"/>
  <c r="F106" i="1"/>
  <c r="H106" i="1"/>
  <c r="H115" i="2"/>
  <c r="I106" i="1"/>
  <c r="Q11" i="3" l="1"/>
  <c r="Q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74F791-7DC6-416D-ADDD-66C9B973FD98}" keepAlive="1" name="ModelConnection_ExternalData_1" description="Data Model" type="5" refreshedVersion="8" minRefreshableVersion="5" saveData="1">
    <dbPr connection="Data Model Connection" command="DRILLTHROUGH MAXROWS 1000 SELECT FROM [Model] WHERE (([Measures].[Average of Salary],[staff].[Rating].&amp;[Exceptional])) RETURN [$staff].[Name],[$staff].[Gender],[$staff].[Age],[$staff].[Rating],[$staff].[Date Joined],[$staff].[Department],[$staff].[Salary],[$staff].[Country],[$staff].[tenure]" commandType="4"/>
    <extLst>
      <ext xmlns:x15="http://schemas.microsoft.com/office/spreadsheetml/2010/11/main" uri="{DE250136-89BD-433C-8126-D09CA5730AF9}">
        <x15:connection id="" model="1"/>
      </ext>
    </extLst>
  </connection>
  <connection id="2" xr16:uid="{26848745-C900-418A-9997-65587564B707}" keepAlive="1" name="Query - ind_staff" description="Connection to the 'ind_staff' query in the workbook." type="5" refreshedVersion="0" background="1">
    <dbPr connection="Provider=Microsoft.Mashup.OleDb.1;Data Source=$Workbook$;Location=ind_staff;Extended Properties=&quot;&quot;" command="SELECT * FROM [ind_staff]"/>
  </connection>
  <connection id="3" xr16:uid="{752FACB7-2004-410E-9DD4-4B7EEFE44135}"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4" xr16:uid="{34152C44-07F5-435E-AABD-68D8632177AB}"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5" xr16:uid="{850A4093-260C-4029-97B6-2D1E10A0BA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046092E4-5AAD-45D4-BE51-AD6E00992734}" name="WorksheetConnection_blank-data-file (1).xlsx!staff" type="102" refreshedVersion="8" minRefreshableVersion="5">
    <extLst>
      <ext xmlns:x15="http://schemas.microsoft.com/office/spreadsheetml/2010/11/main" uri="{DE250136-89BD-433C-8126-D09CA5730AF9}">
        <x15:connection id="staff" autoDelete="1">
          <x15:rangePr sourceName="_xlcn.WorksheetConnection_blankdatafile1.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IND]}"/>
    <s v="{[staff].[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<sst xmlns="http://schemas.openxmlformats.org/spreadsheetml/2006/main" count="1912" uniqueCount="260">
  <si>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</si>
  <si>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</si>
  <si>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</si>
  <si>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</si>
  <si>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</si>
  <si>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</si>
  <si>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</si>
  <si>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</si>
  <si>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</si>
  <si>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</si>
  <si>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</si>
  <si>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</si>
  <si>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</si>
  <si>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</si>
  <si>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</si>
  <si>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</si>
  <si>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</si>
  <si>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</si>
  <si>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</si>
  <si>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</si>
  <si>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</si>
  <si>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</si>
  <si>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</si>
  <si>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</si>
  <si>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</si>
  <si>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</si>
  <si>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</si>
  <si>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</si>
  <si>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</si>
  <si>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</si>
  <si>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</si>
  <si>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</si>
  <si>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</si>
  <si>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</si>
  <si>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</si>
  <si>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</si>
  <si>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</si>
  <si>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</si>
  <si>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</si>
  <si>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</si>
  <si>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</si>
  <si>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</si>
  <si>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</si>
  <si>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</si>
  <si>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</si>
  <si>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</si>
  <si>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</si>
  <si>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</si>
  <si>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</si>
  <si>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</si>
  <si>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</si>
  <si>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</si>
  <si>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</si>
  <si>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</si>
  <si>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</si>
  <si>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</si>
  <si>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</si>
  <si>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</si>
  <si>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</si>
  <si>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</si>
  <si>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</si>
  <si>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</si>
  <si>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</si>
  <si>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</si>
  <si>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</si>
  <si>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</si>
  <si>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</si>
  <si>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</si>
  <si>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</si>
  <si>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</si>
  <si>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</si>
  <si>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</si>
  <si>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</si>
  <si>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</si>
  <si>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</si>
  <si>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</si>
  <si>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</si>
  <si>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</si>
  <si>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</si>
  <si>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</si>
  <si>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</si>
  <si>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</si>
  <si>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</si>
  <si>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</si>
  <si>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</si>
  <si>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</si>
  <si>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</si>
  <si>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</si>
  <si>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</si>
  <si>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</si>
  <si>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</si>
  <si>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</si>
  <si>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</si>
  <si>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</si>
  <si>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</si>
  <si>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</si>
  <si>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</si>
  <si>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</si>
  <si>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</si>
  <si>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</si>
  <si>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</si>
  <si>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</si>
  <si>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</si>
  <si>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</si>
  <si>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</si>
  <si>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</si>
  <si>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</si>
  <si>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</si>
  <si>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</si>
  <si>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</si>
  <si>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</si>
  <si>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</si>
  <si>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</si>
  <si>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</si>
  <si>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</si>
  <si>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</si>
  <si>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</si>
  <si>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</si>
  <si>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</si>
  <si>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</si>
  <si>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</si>
  <si>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</si>
  <si>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</si>
  <si>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</si>
  <si>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</si>
  <si>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</si>
  <si>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</si>
  <si>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</si>
  <si>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</si>
  <si>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</si>
  <si>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</si>
  <si>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</si>
  <si>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</si>
  <si>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</si>
  <si>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</si>
  <si>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</si>
  <si>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</si>
  <si>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</si>
  <si>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</si>
  <si>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</si>
  <si>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</si>
  <si>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</si>
  <si>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</si>
  <si>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</si>
  <si>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</si>
  <si>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</si>
  <si>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</si>
  <si>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</si>
  <si>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</si>
  <si>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</si>
  <si>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</si>
  <si>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</si>
  <si>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</si>
  <si>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</si>
  <si>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</si>
  <si>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</si>
  <si>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</si>
  <si>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</si>
  <si>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</si>
  <si>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</si>
  <si>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</si>
  <si>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</si>
  <si>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</si>
  <si>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</si>
  <si>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</si>
  <si>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</si>
  <si>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</si>
  <si>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</si>
  <si>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</si>
  <si>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</si>
  <si>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</si>
  <si>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</si>
  <si>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</si>
  <si>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</si>
  <si>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</si>
  <si>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</si>
  <si>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</si>
  <si>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</si>
  <si>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</si>
  <si>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</si>
  <si>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</si>
  <si>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</si>
  <si>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</si>
  <si>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</si>
  <si>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</si>
  <si>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</si>
  <si>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</si>
  <si>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</si>
  <si>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</si>
  <si>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</si>
  <si>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</si>
  <si>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</si>
  <si>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</si>
  <si>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</si>
  <si>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</si>
  <si>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</si>
  <si>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</si>
  <si>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</si>
  <si>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</si>
  <si>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</si>
  <si>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</si>
  <si>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</si>
  <si>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</si>
  <si>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</si>
  <si>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 xml:space="preserve">                                                                                                                                                                                                                                                                                                                                                                                                                                                                                                                                                                                                                                                                                                                                                        </t>
  </si>
  <si>
    <t>Country</t>
  </si>
  <si>
    <t>IND</t>
  </si>
  <si>
    <t>Other</t>
  </si>
  <si>
    <t>NZ</t>
  </si>
  <si>
    <t>count of employees</t>
  </si>
  <si>
    <t>average salary</t>
  </si>
  <si>
    <t>average age</t>
  </si>
  <si>
    <t>average tenure</t>
  </si>
  <si>
    <t>female ratio %</t>
  </si>
  <si>
    <t>median</t>
  </si>
  <si>
    <t>tenure</t>
  </si>
  <si>
    <t>Ratio%</t>
  </si>
  <si>
    <t>Female count</t>
  </si>
  <si>
    <t>Column Labels</t>
  </si>
  <si>
    <t>Grand Total</t>
  </si>
  <si>
    <t>Count of Name</t>
  </si>
  <si>
    <t>Average of Age</t>
  </si>
  <si>
    <t>Values</t>
  </si>
  <si>
    <t>Average of Salary</t>
  </si>
  <si>
    <t>Average of tenure</t>
  </si>
  <si>
    <t>bonus</t>
  </si>
  <si>
    <t>Row Labels</t>
  </si>
  <si>
    <t>staff[Name]</t>
  </si>
  <si>
    <t>staff[Gender]</t>
  </si>
  <si>
    <t>staff[Age]</t>
  </si>
  <si>
    <t>staff[Rating]</t>
  </si>
  <si>
    <t>staff[Date Joined]</t>
  </si>
  <si>
    <t>staff[Department]</t>
  </si>
  <si>
    <t>staff[Salary]</t>
  </si>
  <si>
    <t>staff[Country]</t>
  </si>
  <si>
    <t>staff[tenure]</t>
  </si>
  <si>
    <t>Data returned for Average of Salary, Exceptional (First 1000 rows).</t>
  </si>
  <si>
    <t>rating as snumber</t>
  </si>
  <si>
    <t>2020</t>
  </si>
  <si>
    <t>May</t>
  </si>
  <si>
    <t>Jun</t>
  </si>
  <si>
    <t>Jul</t>
  </si>
  <si>
    <t>Aug</t>
  </si>
  <si>
    <t>Sep</t>
  </si>
  <si>
    <t>Oct</t>
  </si>
  <si>
    <t>Nov</t>
  </si>
  <si>
    <t>Dec</t>
  </si>
  <si>
    <t>2021</t>
  </si>
  <si>
    <t>Jan</t>
  </si>
  <si>
    <t>Feb</t>
  </si>
  <si>
    <t>Mar</t>
  </si>
  <si>
    <t>Apr</t>
  </si>
  <si>
    <t>2022</t>
  </si>
  <si>
    <t>2023</t>
  </si>
  <si>
    <t>month</t>
  </si>
  <si>
    <t>headcount</t>
  </si>
  <si>
    <t>running total</t>
  </si>
  <si>
    <t>Headcount by department</t>
  </si>
  <si>
    <t>New Zealand</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</si>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</sst>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_-[$$-409]* #,##0.00_ ;_-[$$-409]* \-#,##0.00\ ;_-[$$-409]* &quot;-&quot;??_ ;_-@_ "/>
    <numFmt numFmtId="166" formatCode="0.0"/>
    <numFmt numFmtId="167" formatCode="[$$-409]#,##0"/>
  </numFmts>
  <fonts count="10"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6"/>
      <color theme="0"/>
      <name val="Calibri"/>
      <family val="2"/>
      <scheme val="minor"/>
    </font>
    <font>
      <sz val="20"/>
      <color theme="0"/>
      <name val="Calibri"/>
      <family val="2"/>
      <scheme val="minor"/>
    </font>
    <font>
      <sz val="18"/>
      <color theme="0"/>
      <name val="Calibri"/>
      <family val="2"/>
      <scheme val="minor"/>
    </font>
    <font>
      <sz val="22"/>
      <color theme="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0" tint="-0.249977111117893"/>
        <bgColor indexed="64"/>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164" fontId="0" fillId="0" borderId="0" xfId="0" applyNumberFormat="1"/>
    <xf numFmtId="0" fontId="0" fillId="0" borderId="0" xfId="0" applyNumberFormat="1"/>
    <xf numFmtId="14" fontId="0" fillId="0" borderId="0" xfId="0" applyNumberFormat="1"/>
    <xf numFmtId="2" fontId="0" fillId="0" borderId="0" xfId="0" applyNumberFormat="1"/>
    <xf numFmtId="9" fontId="0" fillId="0" borderId="0" xfId="1" applyFont="1"/>
    <xf numFmtId="0" fontId="0" fillId="4"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3" fillId="0" borderId="0" xfId="0" applyFont="1"/>
    <xf numFmtId="0" fontId="0" fillId="0" borderId="10" xfId="0" applyBorder="1" applyAlignment="1">
      <alignment horizontal="left"/>
    </xf>
    <xf numFmtId="0" fontId="0" fillId="0" borderId="10" xfId="0" applyBorder="1"/>
    <xf numFmtId="1" fontId="0" fillId="0" borderId="0" xfId="0" applyNumberFormat="1"/>
    <xf numFmtId="0" fontId="0" fillId="0" borderId="0" xfId="0" applyAlignment="1">
      <alignment horizontal="left" indent="1"/>
    </xf>
    <xf numFmtId="17"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5" borderId="0" xfId="0" applyFill="1"/>
    <xf numFmtId="0" fontId="6" fillId="6" borderId="0" xfId="0" applyFont="1" applyFill="1" applyAlignment="1">
      <alignment horizontal="center" vertical="center"/>
    </xf>
    <xf numFmtId="9" fontId="0" fillId="0" borderId="0" xfId="0" applyNumberFormat="1"/>
    <xf numFmtId="9" fontId="6" fillId="6" borderId="0" xfId="0" applyNumberFormat="1" applyFont="1" applyFill="1" applyAlignment="1">
      <alignment horizontal="center" vertical="center"/>
    </xf>
    <xf numFmtId="164" fontId="7" fillId="6" borderId="0" xfId="0" applyNumberFormat="1" applyFont="1" applyFill="1" applyAlignment="1">
      <alignment horizontal="center" vertical="center"/>
    </xf>
    <xf numFmtId="0" fontId="6" fillId="2" borderId="0" xfId="0" applyFont="1" applyFill="1" applyAlignment="1">
      <alignment horizontal="center" vertical="center"/>
    </xf>
    <xf numFmtId="164" fontId="9" fillId="2" borderId="0" xfId="0" applyNumberFormat="1" applyFont="1" applyFill="1" applyAlignment="1">
      <alignment horizontal="center" vertical="center"/>
    </xf>
    <xf numFmtId="9" fontId="6" fillId="2" borderId="0" xfId="0" applyNumberFormat="1" applyFont="1" applyFill="1" applyAlignment="1">
      <alignment horizontal="center" vertical="center"/>
    </xf>
    <xf numFmtId="0" fontId="8" fillId="6" borderId="0" xfId="0" applyFont="1" applyFill="1" applyAlignment="1">
      <alignment horizontal="center" vertical="center"/>
    </xf>
    <xf numFmtId="0" fontId="4" fillId="6" borderId="0" xfId="0" applyFont="1" applyFill="1" applyAlignment="1">
      <alignment horizontal="center" vertical="center"/>
    </xf>
    <xf numFmtId="0" fontId="8" fillId="2" borderId="0" xfId="0" applyFont="1" applyFill="1" applyAlignment="1">
      <alignment horizontal="center" vertical="center"/>
    </xf>
    <xf numFmtId="0" fontId="4" fillId="2" borderId="0" xfId="0" applyFont="1" applyFill="1" applyAlignment="1">
      <alignment horizontal="center" vertical="center"/>
    </xf>
    <xf numFmtId="0" fontId="5" fillId="7" borderId="0" xfId="0" applyFont="1" applyFill="1" applyAlignment="1">
      <alignment horizontal="center" vertical="center"/>
    </xf>
  </cellXfs>
  <cellStyles count="2">
    <cellStyle name="Normal" xfId="0" builtinId="0"/>
    <cellStyle name="Percent" xfId="1" builtinId="5"/>
  </cellStyles>
  <dxfs count="15">
    <dxf>
      <font>
        <color rgb="FF9C0006"/>
      </font>
      <fill>
        <patternFill>
          <bgColor rgb="FFFFC7CE"/>
        </patternFill>
      </fill>
    </dxf>
    <dxf>
      <font>
        <color rgb="FF9C0006"/>
      </font>
      <fill>
        <patternFill>
          <bgColor rgb="FFFFC7CE"/>
        </patternFill>
      </fill>
    </dxf>
    <dxf>
      <numFmt numFmtId="1" formatCode="0"/>
    </dxf>
    <dxf>
      <numFmt numFmtId="167" formatCode="[$$-409]#,##0"/>
    </dxf>
    <dxf>
      <numFmt numFmtId="167" formatCode="[$$-409]#,##0"/>
    </dxf>
    <dxf>
      <numFmt numFmtId="19" formatCode="dd/mm/yyyy"/>
    </dxf>
    <dxf>
      <numFmt numFmtId="167" formatCode="[$$-409]#,##0"/>
    </dxf>
    <dxf>
      <numFmt numFmtId="164" formatCode="_-[$$-409]* #,##0.00_ ;_-[$$-409]* \-#,##0.00\ ;_-[$$-409]* &quot;-&quot;??_ ;_-@_ "/>
    </dxf>
    <dxf>
      <numFmt numFmtId="2" formatCode="0.00"/>
    </dxf>
    <dxf>
      <numFmt numFmtId="0" formatCode="General"/>
    </dxf>
    <dxf>
      <numFmt numFmtId="19" formatCode="dd/mm/yyyy"/>
    </dxf>
    <dxf>
      <numFmt numFmtId="0" formatCode="General"/>
    </dxf>
    <dxf>
      <numFmt numFmtId="0" formatCode="General"/>
    </dxf>
    <dxf>
      <numFmt numFmtId="164" formatCode="_-[$$-409]* #,##0.00_ ;_-[$$-409]* \-#,##0.00\ ;_-[$$-409]* &quot;-&quot;??_ ;_-@_ "/>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vs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staff'!$I$5:$I$188</c:f>
              <c:numCache>
                <c:formatCode>General</c:formatCode>
                <c:ptCount val="184"/>
                <c:pt idx="0">
                  <c:v>33920</c:v>
                </c:pt>
                <c:pt idx="1">
                  <c:v>33920</c:v>
                </c:pt>
                <c:pt idx="2">
                  <c:v>34980</c:v>
                </c:pt>
                <c:pt idx="3">
                  <c:v>34980</c:v>
                </c:pt>
                <c:pt idx="4">
                  <c:v>36040</c:v>
                </c:pt>
                <c:pt idx="5">
                  <c:v>36040</c:v>
                </c:pt>
                <c:pt idx="6">
                  <c:v>37920</c:v>
                </c:pt>
                <c:pt idx="7">
                  <c:v>37920</c:v>
                </c:pt>
                <c:pt idx="8">
                  <c:v>40400</c:v>
                </c:pt>
                <c:pt idx="9">
                  <c:v>25000</c:v>
                </c:pt>
                <c:pt idx="10">
                  <c:v>19000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112780</c:v>
                </c:pt>
                <c:pt idx="166">
                  <c:v>113280</c:v>
                </c:pt>
                <c:pt idx="167">
                  <c:v>113280</c:v>
                </c:pt>
                <c:pt idx="168">
                  <c:v>114180</c:v>
                </c:pt>
                <c:pt idx="169">
                  <c:v>114180</c:v>
                </c:pt>
                <c:pt idx="170">
                  <c:v>114870</c:v>
                </c:pt>
                <c:pt idx="171">
                  <c:v>114870</c:v>
                </c:pt>
                <c:pt idx="172">
                  <c:v>114890</c:v>
                </c:pt>
                <c:pt idx="173">
                  <c:v>114890</c:v>
                </c:pt>
                <c:pt idx="174">
                  <c:v>115440</c:v>
                </c:pt>
                <c:pt idx="175">
                  <c:v>115440</c:v>
                </c:pt>
                <c:pt idx="176">
                  <c:v>115920</c:v>
                </c:pt>
                <c:pt idx="177">
                  <c:v>115920</c:v>
                </c:pt>
                <c:pt idx="178">
                  <c:v>118100</c:v>
                </c:pt>
                <c:pt idx="179">
                  <c:v>132000</c:v>
                </c:pt>
                <c:pt idx="180">
                  <c:v>148000</c:v>
                </c:pt>
                <c:pt idx="181">
                  <c:v>118840</c:v>
                </c:pt>
                <c:pt idx="182">
                  <c:v>119110</c:v>
                </c:pt>
                <c:pt idx="183">
                  <c:v>119110</c:v>
                </c:pt>
              </c:numCache>
            </c:numRef>
          </c:xVal>
          <c:yVal>
            <c:numRef>
              <c:f>'All staff'!$M$5:$M$188</c:f>
              <c:numCache>
                <c:formatCode>0</c:formatCode>
                <c:ptCount val="18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4</c:v>
                </c:pt>
                <c:pt idx="166">
                  <c:v>1</c:v>
                </c:pt>
                <c:pt idx="167">
                  <c:v>1</c:v>
                </c:pt>
                <c:pt idx="168">
                  <c:v>3</c:v>
                </c:pt>
                <c:pt idx="169">
                  <c:v>3</c:v>
                </c:pt>
                <c:pt idx="170">
                  <c:v>3</c:v>
                </c:pt>
                <c:pt idx="171">
                  <c:v>3</c:v>
                </c:pt>
                <c:pt idx="172">
                  <c:v>3</c:v>
                </c:pt>
                <c:pt idx="173">
                  <c:v>3</c:v>
                </c:pt>
                <c:pt idx="174">
                  <c:v>2</c:v>
                </c:pt>
                <c:pt idx="175">
                  <c:v>2</c:v>
                </c:pt>
                <c:pt idx="176">
                  <c:v>3</c:v>
                </c:pt>
                <c:pt idx="177">
                  <c:v>3</c:v>
                </c:pt>
                <c:pt idx="178">
                  <c:v>3</c:v>
                </c:pt>
                <c:pt idx="179">
                  <c:v>3</c:v>
                </c:pt>
                <c:pt idx="180">
                  <c:v>3</c:v>
                </c:pt>
                <c:pt idx="181">
                  <c:v>3</c:v>
                </c:pt>
                <c:pt idx="182">
                  <c:v>3</c:v>
                </c:pt>
                <c:pt idx="183">
                  <c:v>3</c:v>
                </c:pt>
              </c:numCache>
            </c:numRef>
          </c:yVal>
          <c:smooth val="0"/>
          <c:extLst>
            <c:ext xmlns:c16="http://schemas.microsoft.com/office/drawing/2014/chart" uri="{C3380CC4-5D6E-409C-BE32-E72D297353CC}">
              <c16:uniqueId val="{00000000-7013-4A9D-9910-FD9E69B74C54}"/>
            </c:ext>
          </c:extLst>
        </c:ser>
        <c:dLbls>
          <c:showLegendKey val="0"/>
          <c:showVal val="0"/>
          <c:showCatName val="0"/>
          <c:showSerName val="0"/>
          <c:showPercent val="0"/>
          <c:showBubbleSize val="0"/>
        </c:dLbls>
        <c:axId val="1064691664"/>
        <c:axId val="1228520624"/>
      </c:scatterChart>
      <c:valAx>
        <c:axId val="1064691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20624"/>
        <c:crosses val="autoZero"/>
        <c:crossBetween val="midCat"/>
      </c:valAx>
      <c:valAx>
        <c:axId val="1228520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91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 (1).xlsx]Sheet8!PivotTable4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Sheet8!$D$4</c:f>
              <c:strCache>
                <c:ptCount val="1"/>
                <c:pt idx="0">
                  <c:v>Total</c:v>
                </c:pt>
              </c:strCache>
            </c:strRef>
          </c:tx>
          <c:spPr>
            <a:ln w="28575" cap="rnd">
              <a:solidFill>
                <a:schemeClr val="accent1"/>
              </a:solidFill>
              <a:round/>
            </a:ln>
            <a:effectLst/>
          </c:spPr>
          <c:marker>
            <c:symbol val="none"/>
          </c:marker>
          <c:cat>
            <c:multiLvlStrRef>
              <c:f>Sheet8!$C$5:$C$41</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Sheet8!$D$5:$D$41</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69</c:v>
                </c:pt>
                <c:pt idx="17">
                  <c:v>72</c:v>
                </c:pt>
                <c:pt idx="18">
                  <c:v>76</c:v>
                </c:pt>
                <c:pt idx="19">
                  <c:v>83</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61CA-4348-A873-AE3D1EBCF80C}"/>
            </c:ext>
          </c:extLst>
        </c:ser>
        <c:dLbls>
          <c:showLegendKey val="0"/>
          <c:showVal val="0"/>
          <c:showCatName val="0"/>
          <c:showSerName val="0"/>
          <c:showPercent val="0"/>
          <c:showBubbleSize val="0"/>
        </c:dLbls>
        <c:smooth val="0"/>
        <c:axId val="1893488704"/>
        <c:axId val="1228511696"/>
      </c:lineChart>
      <c:catAx>
        <c:axId val="189348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11696"/>
        <c:crosses val="autoZero"/>
        <c:auto val="1"/>
        <c:lblAlgn val="ctr"/>
        <c:lblOffset val="100"/>
        <c:noMultiLvlLbl val="0"/>
      </c:catAx>
      <c:valAx>
        <c:axId val="12285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8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Sheet8!$Y$15</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Sheet8!$W$16:$W$51</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Sheet8!$Y$16:$Y$51</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106</c:v>
                </c:pt>
                <c:pt idx="17">
                  <c:v>109</c:v>
                </c:pt>
                <c:pt idx="18">
                  <c:v>113</c:v>
                </c:pt>
                <c:pt idx="19">
                  <c:v>120</c:v>
                </c:pt>
                <c:pt idx="20">
                  <c:v>123</c:v>
                </c:pt>
                <c:pt idx="21">
                  <c:v>133</c:v>
                </c:pt>
                <c:pt idx="22">
                  <c:v>142</c:v>
                </c:pt>
                <c:pt idx="23">
                  <c:v>151</c:v>
                </c:pt>
                <c:pt idx="24">
                  <c:v>160</c:v>
                </c:pt>
                <c:pt idx="25">
                  <c:v>167</c:v>
                </c:pt>
                <c:pt idx="26">
                  <c:v>172</c:v>
                </c:pt>
                <c:pt idx="27">
                  <c:v>177</c:v>
                </c:pt>
                <c:pt idx="28">
                  <c:v>179</c:v>
                </c:pt>
                <c:pt idx="29">
                  <c:v>182</c:v>
                </c:pt>
                <c:pt idx="30">
                  <c:v>182</c:v>
                </c:pt>
                <c:pt idx="31">
                  <c:v>182</c:v>
                </c:pt>
                <c:pt idx="32">
                  <c:v>182</c:v>
                </c:pt>
                <c:pt idx="33">
                  <c:v>183</c:v>
                </c:pt>
                <c:pt idx="34">
                  <c:v>183</c:v>
                </c:pt>
                <c:pt idx="35">
                  <c:v>184</c:v>
                </c:pt>
              </c:numCache>
            </c:numRef>
          </c:val>
          <c:smooth val="0"/>
          <c:extLst>
            <c:ext xmlns:c16="http://schemas.microsoft.com/office/drawing/2014/chart" uri="{C3380CC4-5D6E-409C-BE32-E72D297353CC}">
              <c16:uniqueId val="{00000000-AF3B-4D99-92ED-68542D2879FE}"/>
            </c:ext>
          </c:extLst>
        </c:ser>
        <c:dLbls>
          <c:showLegendKey val="0"/>
          <c:showVal val="0"/>
          <c:showCatName val="0"/>
          <c:showSerName val="0"/>
          <c:showPercent val="0"/>
          <c:showBubbleSize val="0"/>
        </c:dLbls>
        <c:marker val="1"/>
        <c:smooth val="0"/>
        <c:axId val="1893489184"/>
        <c:axId val="1228514672"/>
      </c:lineChart>
      <c:dateAx>
        <c:axId val="18934891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14672"/>
        <c:crosses val="autoZero"/>
        <c:auto val="1"/>
        <c:lblOffset val="100"/>
        <c:baseTimeUnit val="months"/>
      </c:dateAx>
      <c:valAx>
        <c:axId val="122851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8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 (1).xlsx]Sheet10!PivotTable5</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Sheet10!$B$5</c:f>
              <c:strCache>
                <c:ptCount val="1"/>
                <c:pt idx="0">
                  <c:v>Total</c:v>
                </c:pt>
              </c:strCache>
            </c:strRef>
          </c:tx>
          <c:spPr>
            <a:solidFill>
              <a:schemeClr val="accent1"/>
            </a:solidFill>
            <a:ln>
              <a:noFill/>
            </a:ln>
            <a:effectLst/>
          </c:spPr>
          <c:invertIfNegative val="0"/>
          <c:cat>
            <c:strRef>
              <c:f>Sheet10!$A$6:$A$11</c:f>
              <c:strCache>
                <c:ptCount val="5"/>
                <c:pt idx="0">
                  <c:v>Procurement</c:v>
                </c:pt>
                <c:pt idx="1">
                  <c:v>Website</c:v>
                </c:pt>
                <c:pt idx="2">
                  <c:v>Finance</c:v>
                </c:pt>
                <c:pt idx="3">
                  <c:v>Sales</c:v>
                </c:pt>
                <c:pt idx="4">
                  <c:v>HR</c:v>
                </c:pt>
              </c:strCache>
            </c:strRef>
          </c:cat>
          <c:val>
            <c:numRef>
              <c:f>Sheet10!$B$6:$B$11</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6B4D-4B43-BA6C-8D92318CDE75}"/>
            </c:ext>
          </c:extLst>
        </c:ser>
        <c:dLbls>
          <c:showLegendKey val="0"/>
          <c:showVal val="0"/>
          <c:showCatName val="0"/>
          <c:showSerName val="0"/>
          <c:showPercent val="0"/>
          <c:showBubbleSize val="0"/>
        </c:dLbls>
        <c:gapWidth val="25"/>
        <c:axId val="1430322096"/>
        <c:axId val="1228501280"/>
      </c:barChart>
      <c:catAx>
        <c:axId val="14303220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01280"/>
        <c:crosses val="autoZero"/>
        <c:auto val="1"/>
        <c:lblAlgn val="ctr"/>
        <c:lblOffset val="100"/>
        <c:noMultiLvlLbl val="0"/>
      </c:catAx>
      <c:valAx>
        <c:axId val="122850128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2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 (1).xlsx]Sheet10!PivotTable6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Sheet10!$F$5</c:f>
              <c:strCache>
                <c:ptCount val="1"/>
                <c:pt idx="0">
                  <c:v>Total</c:v>
                </c:pt>
              </c:strCache>
            </c:strRef>
          </c:tx>
          <c:spPr>
            <a:solidFill>
              <a:schemeClr val="accent2"/>
            </a:solidFill>
            <a:ln>
              <a:noFill/>
            </a:ln>
            <a:effectLst/>
          </c:spPr>
          <c:invertIfNegative val="0"/>
          <c:cat>
            <c:strRef>
              <c:f>Sheet10!$E$6:$E$11</c:f>
              <c:strCache>
                <c:ptCount val="5"/>
                <c:pt idx="0">
                  <c:v>Website</c:v>
                </c:pt>
                <c:pt idx="1">
                  <c:v>Procurement</c:v>
                </c:pt>
                <c:pt idx="2">
                  <c:v>Finance</c:v>
                </c:pt>
                <c:pt idx="3">
                  <c:v>Sales</c:v>
                </c:pt>
                <c:pt idx="4">
                  <c:v>HR</c:v>
                </c:pt>
              </c:strCache>
            </c:strRef>
          </c:cat>
          <c:val>
            <c:numRef>
              <c:f>Sheet10!$F$6:$F$11</c:f>
              <c:numCache>
                <c:formatCode>General</c:formatCode>
                <c:ptCount val="5"/>
                <c:pt idx="0">
                  <c:v>27</c:v>
                </c:pt>
                <c:pt idx="1">
                  <c:v>27</c:v>
                </c:pt>
                <c:pt idx="2">
                  <c:v>19</c:v>
                </c:pt>
                <c:pt idx="3">
                  <c:v>15</c:v>
                </c:pt>
                <c:pt idx="4">
                  <c:v>4</c:v>
                </c:pt>
              </c:numCache>
            </c:numRef>
          </c:val>
          <c:extLst>
            <c:ext xmlns:c16="http://schemas.microsoft.com/office/drawing/2014/chart" uri="{C3380CC4-5D6E-409C-BE32-E72D297353CC}">
              <c16:uniqueId val="{00000000-311E-4732-AD68-CDB2AD3618D8}"/>
            </c:ext>
          </c:extLst>
        </c:ser>
        <c:dLbls>
          <c:showLegendKey val="0"/>
          <c:showVal val="0"/>
          <c:showCatName val="0"/>
          <c:showSerName val="0"/>
          <c:showPercent val="0"/>
          <c:showBubbleSize val="0"/>
        </c:dLbls>
        <c:gapWidth val="25"/>
        <c:axId val="1064692624"/>
        <c:axId val="1228516160"/>
      </c:barChart>
      <c:catAx>
        <c:axId val="1064692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16160"/>
        <c:crosses val="autoZero"/>
        <c:auto val="1"/>
        <c:lblAlgn val="ctr"/>
        <c:lblOffset val="100"/>
        <c:noMultiLvlLbl val="0"/>
      </c:catAx>
      <c:valAx>
        <c:axId val="122851616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 (1).xlsx]Sheet10!PivotTable6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Sheet10!$F$5</c:f>
              <c:strCache>
                <c:ptCount val="1"/>
                <c:pt idx="0">
                  <c:v>Total</c:v>
                </c:pt>
              </c:strCache>
            </c:strRef>
          </c:tx>
          <c:spPr>
            <a:solidFill>
              <a:schemeClr val="accent1"/>
            </a:solidFill>
            <a:ln>
              <a:noFill/>
            </a:ln>
            <a:effectLst/>
          </c:spPr>
          <c:invertIfNegative val="0"/>
          <c:cat>
            <c:strRef>
              <c:f>Sheet10!$E$6:$E$11</c:f>
              <c:strCache>
                <c:ptCount val="5"/>
                <c:pt idx="0">
                  <c:v>Website</c:v>
                </c:pt>
                <c:pt idx="1">
                  <c:v>Procurement</c:v>
                </c:pt>
                <c:pt idx="2">
                  <c:v>Finance</c:v>
                </c:pt>
                <c:pt idx="3">
                  <c:v>Sales</c:v>
                </c:pt>
                <c:pt idx="4">
                  <c:v>HR</c:v>
                </c:pt>
              </c:strCache>
            </c:strRef>
          </c:cat>
          <c:val>
            <c:numRef>
              <c:f>Sheet10!$F$6:$F$11</c:f>
              <c:numCache>
                <c:formatCode>General</c:formatCode>
                <c:ptCount val="5"/>
                <c:pt idx="0">
                  <c:v>27</c:v>
                </c:pt>
                <c:pt idx="1">
                  <c:v>27</c:v>
                </c:pt>
                <c:pt idx="2">
                  <c:v>19</c:v>
                </c:pt>
                <c:pt idx="3">
                  <c:v>15</c:v>
                </c:pt>
                <c:pt idx="4">
                  <c:v>4</c:v>
                </c:pt>
              </c:numCache>
            </c:numRef>
          </c:val>
          <c:extLst>
            <c:ext xmlns:c16="http://schemas.microsoft.com/office/drawing/2014/chart" uri="{C3380CC4-5D6E-409C-BE32-E72D297353CC}">
              <c16:uniqueId val="{00000000-1CDD-4739-87E7-2FAAFC5F88CB}"/>
            </c:ext>
          </c:extLst>
        </c:ser>
        <c:dLbls>
          <c:showLegendKey val="0"/>
          <c:showVal val="0"/>
          <c:showCatName val="0"/>
          <c:showSerName val="0"/>
          <c:showPercent val="0"/>
          <c:showBubbleSize val="0"/>
        </c:dLbls>
        <c:gapWidth val="182"/>
        <c:axId val="1064692624"/>
        <c:axId val="1228516160"/>
      </c:barChart>
      <c:catAx>
        <c:axId val="106469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16160"/>
        <c:crosses val="autoZero"/>
        <c:auto val="1"/>
        <c:lblAlgn val="ctr"/>
        <c:lblOffset val="100"/>
        <c:noMultiLvlLbl val="0"/>
      </c:catAx>
      <c:valAx>
        <c:axId val="122851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9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 (1).xlsx]Sheet10!PivotTable5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Sheet10!$B$5</c:f>
              <c:strCache>
                <c:ptCount val="1"/>
                <c:pt idx="0">
                  <c:v>Total</c:v>
                </c:pt>
              </c:strCache>
            </c:strRef>
          </c:tx>
          <c:spPr>
            <a:solidFill>
              <a:schemeClr val="accent2"/>
            </a:solidFill>
            <a:ln>
              <a:noFill/>
            </a:ln>
            <a:effectLst/>
          </c:spPr>
          <c:invertIfNegative val="0"/>
          <c:cat>
            <c:strRef>
              <c:f>Sheet10!$A$6:$A$11</c:f>
              <c:strCache>
                <c:ptCount val="5"/>
                <c:pt idx="0">
                  <c:v>Procurement</c:v>
                </c:pt>
                <c:pt idx="1">
                  <c:v>Website</c:v>
                </c:pt>
                <c:pt idx="2">
                  <c:v>Finance</c:v>
                </c:pt>
                <c:pt idx="3">
                  <c:v>Sales</c:v>
                </c:pt>
                <c:pt idx="4">
                  <c:v>HR</c:v>
                </c:pt>
              </c:strCache>
            </c:strRef>
          </c:cat>
          <c:val>
            <c:numRef>
              <c:f>Sheet10!$B$6:$B$11</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ED47-491B-97D8-1597F814926E}"/>
            </c:ext>
          </c:extLst>
        </c:ser>
        <c:dLbls>
          <c:showLegendKey val="0"/>
          <c:showVal val="0"/>
          <c:showCatName val="0"/>
          <c:showSerName val="0"/>
          <c:showPercent val="0"/>
          <c:showBubbleSize val="0"/>
        </c:dLbls>
        <c:gapWidth val="182"/>
        <c:axId val="1430322096"/>
        <c:axId val="1228501280"/>
      </c:barChart>
      <c:catAx>
        <c:axId val="1430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01280"/>
        <c:crosses val="autoZero"/>
        <c:auto val="1"/>
        <c:lblAlgn val="ctr"/>
        <c:lblOffset val="100"/>
        <c:noMultiLvlLbl val="0"/>
      </c:catAx>
      <c:valAx>
        <c:axId val="1228501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salary spread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a:t>
          </a:r>
        </a:p>
      </cx:txPr>
    </cx:title>
    <cx:plotArea>
      <cx:plotAreaRegion>
        <cx:series layoutId="clusteredColumn" uniqueId="{5B1F0AFA-B982-4818-9B79-530F61F73876}">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box plot</a:t>
          </a:r>
        </a:p>
      </cx:txPr>
    </cx:title>
    <cx:plotArea>
      <cx:plotAreaRegion>
        <cx:series layoutId="boxWhisker" uniqueId="{390E8A0E-9707-47F3-BCD2-14C33D973F7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youtu.be/H6k28jhclwI" TargetMode="External"/><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3.png"/><Relationship Id="rId5" Type="http://schemas.openxmlformats.org/officeDocument/2006/relationships/hyperlink" Target="https://chandoo.org/wp/excel-school-progra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149958</xdr:rowOff>
    </xdr:from>
    <xdr:to>
      <xdr:col>16</xdr:col>
      <xdr:colOff>47625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twoCellAnchor editAs="oneCell">
    <xdr:from>
      <xdr:col>12</xdr:col>
      <xdr:colOff>0</xdr:colOff>
      <xdr:row>4</xdr:row>
      <xdr:rowOff>0</xdr:rowOff>
    </xdr:from>
    <xdr:to>
      <xdr:col>16</xdr:col>
      <xdr:colOff>6350</xdr:colOff>
      <xdr:row>11</xdr:row>
      <xdr:rowOff>41055</xdr:rowOff>
    </xdr:to>
    <xdr:pic>
      <xdr:nvPicPr>
        <xdr:cNvPr id="2" name="Picture 1">
          <a:hlinkClick xmlns:r="http://schemas.openxmlformats.org/officeDocument/2006/relationships" r:id="rId3"/>
          <a:extLst>
            <a:ext uri="{FF2B5EF4-FFF2-40B4-BE49-F238E27FC236}">
              <a16:creationId xmlns:a16="http://schemas.microsoft.com/office/drawing/2014/main" id="{57E6FE93-84F3-45D7-B277-295969E51D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24625" y="1238250"/>
          <a:ext cx="2444750" cy="1374555"/>
        </a:xfrm>
        <a:prstGeom prst="rect">
          <a:avLst/>
        </a:prstGeom>
        <a:ln>
          <a:solidFill>
            <a:schemeClr val="tx1"/>
          </a:solidFill>
        </a:ln>
      </xdr:spPr>
    </xdr:pic>
    <xdr:clientData/>
  </xdr:twoCellAnchor>
  <xdr:twoCellAnchor>
    <xdr:from>
      <xdr:col>12</xdr:col>
      <xdr:colOff>548508</xdr:colOff>
      <xdr:row>10</xdr:row>
      <xdr:rowOff>124811</xdr:rowOff>
    </xdr:from>
    <xdr:to>
      <xdr:col>15</xdr:col>
      <xdr:colOff>67167</xdr:colOff>
      <xdr:row>12</xdr:row>
      <xdr:rowOff>19707</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FB0C10A5-873E-49A5-819F-85042883FE66}"/>
            </a:ext>
          </a:extLst>
        </xdr:cNvPr>
        <xdr:cNvSpPr/>
      </xdr:nvSpPr>
      <xdr:spPr>
        <a:xfrm>
          <a:off x="7073133" y="2506061"/>
          <a:ext cx="1347459" cy="27589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latin typeface="Roboto" panose="02000000000000000000" pitchFamily="2" charset="0"/>
              <a:ea typeface="Roboto" panose="02000000000000000000" pitchFamily="2" charset="0"/>
            </a:rPr>
            <a:t>Watch the video</a:t>
          </a:r>
        </a:p>
      </xdr:txBody>
    </xdr:sp>
    <xdr:clientData/>
  </xdr:twoCellAnchor>
  <xdr:twoCellAnchor editAs="oneCell">
    <xdr:from>
      <xdr:col>12</xdr:col>
      <xdr:colOff>0</xdr:colOff>
      <xdr:row>13</xdr:row>
      <xdr:rowOff>0</xdr:rowOff>
    </xdr:from>
    <xdr:to>
      <xdr:col>16</xdr:col>
      <xdr:colOff>19488</xdr:colOff>
      <xdr:row>25</xdr:row>
      <xdr:rowOff>170793</xdr:rowOff>
    </xdr:to>
    <xdr:pic>
      <xdr:nvPicPr>
        <xdr:cNvPr id="5" name="Picture 4">
          <a:hlinkClick xmlns:r="http://schemas.openxmlformats.org/officeDocument/2006/relationships" r:id="rId5"/>
          <a:extLst>
            <a:ext uri="{FF2B5EF4-FFF2-40B4-BE49-F238E27FC236}">
              <a16:creationId xmlns:a16="http://schemas.microsoft.com/office/drawing/2014/main" id="{B36909BE-7360-4913-9D8E-2CCF602982C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24625" y="2952750"/>
          <a:ext cx="2457888" cy="245679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657225</xdr:colOff>
      <xdr:row>1</xdr:row>
      <xdr:rowOff>9525</xdr:rowOff>
    </xdr:from>
    <xdr:to>
      <xdr:col>7</xdr:col>
      <xdr:colOff>885825</xdr:colOff>
      <xdr:row>14</xdr:row>
      <xdr:rowOff>57150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31D02B97-339A-E7BB-DB3F-DA34AE17E2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19625"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152400</xdr:colOff>
      <xdr:row>22</xdr:row>
      <xdr:rowOff>4763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9B8285-3FD0-4424-BDB4-9A67A22E4F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571500"/>
              <a:ext cx="5638800" cy="36242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152400</xdr:colOff>
      <xdr:row>6</xdr:row>
      <xdr:rowOff>152400</xdr:rowOff>
    </xdr:from>
    <xdr:to>
      <xdr:col>18</xdr:col>
      <xdr:colOff>457200</xdr:colOff>
      <xdr:row>21</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F85EC96-B4CB-4A0D-9E5B-AB97679DB8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58000" y="1295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2</xdr:row>
      <xdr:rowOff>114300</xdr:rowOff>
    </xdr:from>
    <xdr:to>
      <xdr:col>13</xdr:col>
      <xdr:colOff>28575</xdr:colOff>
      <xdr:row>17</xdr:row>
      <xdr:rowOff>0</xdr:rowOff>
    </xdr:to>
    <xdr:graphicFrame macro="">
      <xdr:nvGraphicFramePr>
        <xdr:cNvPr id="2" name="Chart 1">
          <a:extLst>
            <a:ext uri="{FF2B5EF4-FFF2-40B4-BE49-F238E27FC236}">
              <a16:creationId xmlns:a16="http://schemas.microsoft.com/office/drawing/2014/main" id="{2B922DCF-F0C6-4DF9-81DC-44BC13D21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552449</xdr:colOff>
      <xdr:row>2</xdr:row>
      <xdr:rowOff>90487</xdr:rowOff>
    </xdr:from>
    <xdr:to>
      <xdr:col>13</xdr:col>
      <xdr:colOff>485774</xdr:colOff>
      <xdr:row>16</xdr:row>
      <xdr:rowOff>166687</xdr:rowOff>
    </xdr:to>
    <xdr:graphicFrame macro="">
      <xdr:nvGraphicFramePr>
        <xdr:cNvPr id="2" name="Chart 1">
          <a:extLst>
            <a:ext uri="{FF2B5EF4-FFF2-40B4-BE49-F238E27FC236}">
              <a16:creationId xmlns:a16="http://schemas.microsoft.com/office/drawing/2014/main" id="{377D5011-1322-171F-5225-D38104B4E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xdr:colOff>
      <xdr:row>33</xdr:row>
      <xdr:rowOff>61912</xdr:rowOff>
    </xdr:from>
    <xdr:to>
      <xdr:col>20</xdr:col>
      <xdr:colOff>561975</xdr:colOff>
      <xdr:row>47</xdr:row>
      <xdr:rowOff>138112</xdr:rowOff>
    </xdr:to>
    <xdr:graphicFrame macro="">
      <xdr:nvGraphicFramePr>
        <xdr:cNvPr id="3" name="Chart 2">
          <a:extLst>
            <a:ext uri="{FF2B5EF4-FFF2-40B4-BE49-F238E27FC236}">
              <a16:creationId xmlns:a16="http://schemas.microsoft.com/office/drawing/2014/main" id="{C5F826E3-BE78-53EE-0758-3FA0717DA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xdr:colOff>
      <xdr:row>7</xdr:row>
      <xdr:rowOff>1</xdr:rowOff>
    </xdr:from>
    <xdr:to>
      <xdr:col>16</xdr:col>
      <xdr:colOff>1</xdr:colOff>
      <xdr:row>25</xdr:row>
      <xdr:rowOff>0</xdr:rowOff>
    </xdr:to>
    <xdr:graphicFrame macro="">
      <xdr:nvGraphicFramePr>
        <xdr:cNvPr id="2" name="Chart 1">
          <a:extLst>
            <a:ext uri="{FF2B5EF4-FFF2-40B4-BE49-F238E27FC236}">
              <a16:creationId xmlns:a16="http://schemas.microsoft.com/office/drawing/2014/main" id="{733A25D7-AAB2-47A2-A505-22B223A6F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7</xdr:row>
      <xdr:rowOff>9525</xdr:rowOff>
    </xdr:from>
    <xdr:to>
      <xdr:col>7</xdr:col>
      <xdr:colOff>9525</xdr:colOff>
      <xdr:row>25</xdr:row>
      <xdr:rowOff>0</xdr:rowOff>
    </xdr:to>
    <xdr:graphicFrame macro="">
      <xdr:nvGraphicFramePr>
        <xdr:cNvPr id="3" name="Chart 2">
          <a:extLst>
            <a:ext uri="{FF2B5EF4-FFF2-40B4-BE49-F238E27FC236}">
              <a16:creationId xmlns:a16="http://schemas.microsoft.com/office/drawing/2014/main" id="{EFAF4AED-03FD-469C-8239-5235BD801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228600</xdr:colOff>
      <xdr:row>1</xdr:row>
      <xdr:rowOff>166687</xdr:rowOff>
    </xdr:from>
    <xdr:to>
      <xdr:col>13</xdr:col>
      <xdr:colOff>533400</xdr:colOff>
      <xdr:row>16</xdr:row>
      <xdr:rowOff>52387</xdr:rowOff>
    </xdr:to>
    <xdr:graphicFrame macro="">
      <xdr:nvGraphicFramePr>
        <xdr:cNvPr id="3" name="Chart 2">
          <a:extLst>
            <a:ext uri="{FF2B5EF4-FFF2-40B4-BE49-F238E27FC236}">
              <a16:creationId xmlns:a16="http://schemas.microsoft.com/office/drawing/2014/main" id="{209D4039-D1D2-FA54-D9D8-D320CD474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8</xdr:row>
      <xdr:rowOff>85724</xdr:rowOff>
    </xdr:from>
    <xdr:to>
      <xdr:col>4</xdr:col>
      <xdr:colOff>228600</xdr:colOff>
      <xdr:row>16</xdr:row>
      <xdr:rowOff>138111</xdr:rowOff>
    </xdr:to>
    <xdr:graphicFrame macro="">
      <xdr:nvGraphicFramePr>
        <xdr:cNvPr id="4" name="Chart 3">
          <a:extLst>
            <a:ext uri="{FF2B5EF4-FFF2-40B4-BE49-F238E27FC236}">
              <a16:creationId xmlns:a16="http://schemas.microsoft.com/office/drawing/2014/main" id="{607F7707-521E-30BA-65F4-2571E0181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5.925743518521" backgroundQuery="1" createdVersion="8" refreshedVersion="8" minRefreshableVersion="3" recordCount="0" supportSubquery="1" supportAdvancedDrill="1" xr:uid="{5C6653C6-981D-432F-8403-44DD37B12752}">
  <cacheSource type="external" connectionId="5"/>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5.973716666667" backgroundQuery="1" createdVersion="8" refreshedVersion="8" minRefreshableVersion="3" recordCount="0" supportSubquery="1" supportAdvancedDrill="1" xr:uid="{BE8BE953-214E-49F3-8DC7-35E3CD45E2FD}">
  <cacheSource type="external" connectionId="5"/>
  <cacheFields count="3">
    <cacheField name="[staff].[Rating].[Rating]" caption="Rating" numFmtId="0" hierarchy="3"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0"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5.973721527778" backgroundQuery="1" createdVersion="8" refreshedVersion="8" minRefreshableVersion="3" recordCount="0" supportSubquery="1" supportAdvancedDrill="1" xr:uid="{3AEA20E3-3160-4665-9F5F-73A3F11AD20D}">
  <cacheSource type="external" connectionId="5"/>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20"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5.976477777775" backgroundQuery="1" createdVersion="8" refreshedVersion="8" minRefreshableVersion="3" recordCount="0" supportSubquery="1" supportAdvancedDrill="1" xr:uid="{A1D2E84D-3FEE-4EF8-B317-5C93905BF21E}">
  <cacheSource type="external" connectionId="5"/>
  <cacheFields count="3">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6.000010532407" backgroundQuery="1" createdVersion="8" refreshedVersion="8" minRefreshableVersion="3" recordCount="0" supportSubquery="1" supportAdvancedDrill="1" xr:uid="{606C21CA-0811-41AB-9DFF-64677060B06A}">
  <cacheSource type="external" connectionId="5"/>
  <cacheFields count="3">
    <cacheField name="[staff].[Department].[Department]" caption="Department" numFmtId="0" hierarchy="5" level="1">
      <sharedItems count="5">
        <s v="Finance"/>
        <s v="HR"/>
        <s v="Procurement"/>
        <s v="Sales"/>
        <s v="Website"/>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6.000074768519" backgroundQuery="1" createdVersion="8" refreshedVersion="8" minRefreshableVersion="3" recordCount="0" supportSubquery="1" supportAdvancedDrill="1" xr:uid="{7B2305DE-795B-4FC1-A4AD-5339446B332A}">
  <cacheSource type="external" connectionId="5"/>
  <cacheFields count="3">
    <cacheField name="[staff].[Department].[Department]" caption="Department" numFmtId="0" hierarchy="5" level="1">
      <sharedItems count="5">
        <s v="Finance"/>
        <s v="HR"/>
        <s v="Procurement"/>
        <s v="Sales"/>
        <s v="Website"/>
      </sharedItems>
    </cacheField>
    <cacheField name="[Measures].[Count of Name]" caption="Count of Name" numFmtId="0" hierarchy="15"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5.973718981484" backgroundQuery="1" createdVersion="3" refreshedVersion="8" minRefreshableVersion="3" recordCount="0" supportSubquery="1" supportAdvancedDrill="1" xr:uid="{7318A560-B2EE-402E-A592-B4A9A4E8301F}">
  <cacheSource type="external" connectionId="5">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815751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6B020-F943-4DCB-81D5-F47C8721427B}" name="PivotTable1" cacheId="9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4:E9"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tenure" fld="4" subtotal="average" baseField="0" baseItem="0" numFmtId="166"/>
    <dataField name="Average of Salary" fld="3" subtotal="average" baseField="0" baseItem="0" numFmtId="167"/>
    <dataField name="Average of Age" fld="2" subtotal="average" baseField="0" baseItem="0" numFmtId="166"/>
  </dataField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 (1).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D09E5-39B9-4857-9A2D-FE99AD5A1803}"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10"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dataFields>
  <formats count="3">
    <format dxfId="6">
      <pivotArea collapsedLevelsAreSubtotals="1" fieldPosition="0">
        <references count="2">
          <reference field="4294967294" count="1" selected="0">
            <x v="1"/>
          </reference>
          <reference field="0" count="1">
            <x v="0"/>
          </reference>
        </references>
      </pivotArea>
    </format>
    <format dxfId="4">
      <pivotArea collapsedLevelsAreSubtotals="1" fieldPosition="0">
        <references count="2">
          <reference field="4294967294" count="1" selected="0">
            <x v="1"/>
          </reference>
          <reference field="0" count="4">
            <x v="1"/>
            <x v="2"/>
            <x v="3"/>
            <x v="4"/>
          </reference>
        </references>
      </pivotArea>
    </format>
    <format dxfId="3">
      <pivotArea field="0" grandRow="1" outline="0" collapsedLevelsAreSubtotals="1" axis="axisRow"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1A4F6-9AF8-4686-B0E6-CDDC4A6D18A6}" name="PivotTable4"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4:D41"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3"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1F7239-F156-4D4C-8157-248F9143552F}" name="PivotTable6"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5:F11"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4"/>
    </i>
    <i>
      <x v="2"/>
    </i>
    <i>
      <x/>
    </i>
    <i>
      <x v="3"/>
    </i>
    <i>
      <x v="1"/>
    </i>
    <i t="grand">
      <x/>
    </i>
  </rowItems>
  <colItems count="1">
    <i/>
  </colItems>
  <pageFields count="1">
    <pageField fld="2" hier="7" name="[staff].[Country].&amp;[NZ]" cap="NZ"/>
  </pageFields>
  <dataFields count="1">
    <dataField name="Count of Name"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2A6C0C-DED3-43EE-9C01-B1F1A2F902EE}" name="PivotTable5"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B11"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2"/>
    </i>
    <i>
      <x v="4"/>
    </i>
    <i>
      <x/>
    </i>
    <i>
      <x v="3"/>
    </i>
    <i>
      <x v="1"/>
    </i>
    <i t="grand">
      <x/>
    </i>
  </rowItems>
  <colItems count="1">
    <i/>
  </colItems>
  <pageFields count="1">
    <pageField fld="2" hier="7" name="[staff].[Country].&amp;[IND]" cap="IND"/>
  </pageFields>
  <dataFields count="1">
    <dataField name="Count of Name" fld="1" subtotal="count"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DC179B-1AEB-4A59-AAF6-9C9559F00BC3}" name="PivotTable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21" firstHeaderRow="1" firstDataRow="1" firstDataCol="0"/>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 (1).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C668B3D-FC73-49E0-A260-4D935398148E}"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194CB3-FF7D-4392-BE11-3E449143171E}"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8CD730-E21C-4068-BABF-657C8D3B664A}" sourceName="[staff].[Country]">
  <pivotTables>
    <pivotTable tabId="4" name="PivotTable1"/>
  </pivotTables>
  <data>
    <olap pivotCacheId="2081575184">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64E36EE-0AE2-4E33-9C97-EF2ADA14F086}"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3977DE-C1CF-4AC2-A9E5-7C046E725C99}" name="nz_staff" displayName="nz_staff" ref="C5:I106" totalsRowCount="1">
  <autoFilter ref="C5:I105" xr:uid="{013977DE-C1CF-4AC2-A9E5-7C046E725C99}"/>
  <tableColumns count="7">
    <tableColumn id="1" xr3:uid="{03D86B3C-A549-448D-8688-6180AF56ECBD}" name="Name" totalsRowLabel="Total"/>
    <tableColumn id="2" xr3:uid="{61141BD0-7052-41A7-8811-35240B09A016}" name="Gender"/>
    <tableColumn id="3" xr3:uid="{1C7D3A32-6ECA-4F1D-B088-6B5E2F59FCD4}" name="Department"/>
    <tableColumn id="4" xr3:uid="{4A34AA3B-956C-4B96-B587-9E4085FBF286}" name="Age" totalsRowFunction="average"/>
    <tableColumn id="5" xr3:uid="{A2FF8404-9C18-4DC1-B1AF-8C13860E4A70}" name="Date Joined"/>
    <tableColumn id="6" xr3:uid="{1347D4EC-7B25-4BEC-967D-C1F2B06F2656}" name="Salary" totalsRowFunction="average" dataDxfId="13"/>
    <tableColumn id="7" xr3:uid="{35637499-4F93-43BE-A79E-CD975741E409}"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72ECCA-9ED2-4690-990E-B0744241FC2E}" name="india_staff" displayName="india_staff" ref="B2:H115" totalsRowCount="1">
  <autoFilter ref="B2:H114" xr:uid="{C472ECCA-9ED2-4690-990E-B0744241FC2E}"/>
  <tableColumns count="7">
    <tableColumn id="1" xr3:uid="{6012340F-71E6-4192-A81C-88307D58E108}" name="Name" totalsRowLabel="Total"/>
    <tableColumn id="2" xr3:uid="{142E58AE-489C-445D-B2E0-9BF412E8A45B}" name="Gender"/>
    <tableColumn id="3" xr3:uid="{4F789F03-705E-441F-80AD-C5B907422BAC}" name="Age"/>
    <tableColumn id="4" xr3:uid="{9E79C24C-84BF-43F2-84A8-ED4C21A211CB}" name="Rating"/>
    <tableColumn id="5" xr3:uid="{5183E01D-EFCC-4402-A41C-6A9C83A57E93}" name="Date Joined" dataDxfId="14"/>
    <tableColumn id="6" xr3:uid="{74C9E9AA-7808-45A6-87B9-4FAE0E6E3E62}" name="Department"/>
    <tableColumn id="7" xr3:uid="{AB187019-4BAF-4EE2-BD18-B5F66E1D09E6}" name="Salary" totalsRowFunction="sum"/>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1BED97-6F9A-4290-9A94-EA0940F20186}" name="staff" displayName="staff" ref="C4:M188" tableType="queryTable" totalsRowShown="0">
  <autoFilter ref="C4:M188" xr:uid="{701BED97-6F9A-4290-9A94-EA0940F20186}"/>
  <sortState xmlns:xlrd2="http://schemas.microsoft.com/office/spreadsheetml/2017/richdata2" ref="C5:L188">
    <sortCondition ref="I4:I188"/>
  </sortState>
  <tableColumns count="11">
    <tableColumn id="1" xr3:uid="{F1CA0839-577A-450B-83FD-3981CC65671C}" uniqueName="1" name="Name" queryTableFieldId="1" dataDxfId="12"/>
    <tableColumn id="2" xr3:uid="{307EACB0-0202-473B-8A61-DF7CE9C029D5}" uniqueName="2" name="Gender" queryTableFieldId="2" dataDxfId="11"/>
    <tableColumn id="3" xr3:uid="{8196108B-FA5D-4088-BF3E-47CCD6B32456}" uniqueName="3" name="Age" queryTableFieldId="3"/>
    <tableColumn id="4" xr3:uid="{B5160A14-F482-4F26-B09A-0DCB2B22E197}" uniqueName="4" name="Rating" queryTableFieldId="4"/>
    <tableColumn id="5" xr3:uid="{2B495EC5-46AC-443C-80FC-390BCB5F220F}" uniqueName="5" name="Date Joined" queryTableFieldId="5" dataDxfId="10"/>
    <tableColumn id="6" xr3:uid="{31B6D32E-BC34-4081-AECF-A81D13D5F1EC}" uniqueName="6" name="Department" queryTableFieldId="6" dataDxfId="9"/>
    <tableColumn id="7" xr3:uid="{0A5FD500-3FF4-4673-9A48-FA93E1A14BBA}" uniqueName="7" name="Salary" queryTableFieldId="7"/>
    <tableColumn id="8" xr3:uid="{D82FDE19-6762-4C02-98D9-F96FFD0E56EE}" uniqueName="8" name="Country" queryTableFieldId="8"/>
    <tableColumn id="9" xr3:uid="{CDB04E04-51CF-4297-AC42-713622F2171A}" uniqueName="9" name="tenure" queryTableFieldId="9" dataDxfId="8">
      <calculatedColumnFormula>(TODAY()-staff[[#This Row],[Date Joined]])/365</calculatedColumnFormula>
    </tableColumn>
    <tableColumn id="10" xr3:uid="{180DD4A8-D581-4260-8262-CC9EA7730422}" uniqueName="10" name="bonus" queryTableFieldId="10" dataDxfId="7">
      <calculatedColumnFormula>ROUNDUP(IF(staff[tenure]&gt;2,3%,2%)*staff[Salary],0)</calculatedColumnFormula>
    </tableColumn>
    <tableColumn id="11" xr3:uid="{5501F486-0CA7-415E-BAF6-9788D4A43C39}" uniqueName="11" name="rating as snumber" queryTableFieldId="11" dataDxfId="2">
      <calculatedColumnFormula>VLOOKUP(staff[[#This Row],[Rating]],Sheet7!$C$4:$D$8,2,0)</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710679-7123-4926-BC96-94BE9283F5A2}" name="Table_ExternalData_1" displayName="Table_ExternalData_1" ref="A3:I7" tableType="queryTable" totalsRowShown="0">
  <autoFilter ref="A3:I7" xr:uid="{DA710679-7123-4926-BC96-94BE9283F5A2}"/>
  <tableColumns count="9">
    <tableColumn id="1" xr3:uid="{4095C01D-E43D-4EE6-86CD-DADB637AC60E}" uniqueName="1" name="staff[Name]" queryTableFieldId="1"/>
    <tableColumn id="2" xr3:uid="{7C023589-28F3-450B-B8B6-E3C1B63CFCEF}" uniqueName="2" name="staff[Gender]" queryTableFieldId="2"/>
    <tableColumn id="3" xr3:uid="{C2BDE34F-83FE-4EF8-9C40-034EB8FB37C0}" uniqueName="3" name="staff[Age]" queryTableFieldId="3"/>
    <tableColumn id="4" xr3:uid="{4A2233A5-EF77-47CD-BC7A-EBDB42D27B17}" uniqueName="4" name="staff[Rating]" queryTableFieldId="4"/>
    <tableColumn id="5" xr3:uid="{38EE37FE-7265-4D42-B942-205D99C449F2}" uniqueName="5" name="staff[Date Joined]" queryTableFieldId="5" dataDxfId="5"/>
    <tableColumn id="6" xr3:uid="{DD77438D-0C76-429B-9C3D-9CE89C995085}" uniqueName="6" name="staff[Department]" queryTableFieldId="6"/>
    <tableColumn id="7" xr3:uid="{45AF72A2-CF98-4137-8BBA-7EA76B1F1D49}" uniqueName="7" name="staff[Salary]" queryTableFieldId="7"/>
    <tableColumn id="8" xr3:uid="{442A1C68-EEF1-4073-BB29-D96749AEAD24}" uniqueName="8" name="staff[Country]" queryTableFieldId="8"/>
    <tableColumn id="9" xr3:uid="{F6719934-9233-47C3-8295-7DD234DCA7DC}" uniqueName="9" name="staff[tenure]"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C6" sqref="C6"/>
    </sheetView>
  </sheetViews>
  <sheetFormatPr defaultRowHeight="15" x14ac:dyDescent="0.25"/>
  <cols>
    <col min="1" max="1" width="1.7109375" customWidth="1"/>
    <col min="2" max="2" width="3.7109375" customWidth="1"/>
    <col min="3" max="3" width="23.28515625"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s="6" t="s">
        <v>5</v>
      </c>
      <c r="I5" t="s">
        <v>6</v>
      </c>
    </row>
    <row r="6" spans="1:9" x14ac:dyDescent="0.25">
      <c r="C6" t="s">
        <v>204</v>
      </c>
      <c r="D6" t="s">
        <v>15</v>
      </c>
      <c r="E6" t="s">
        <v>19</v>
      </c>
      <c r="F6">
        <v>22</v>
      </c>
      <c r="G6" s="4">
        <v>44446</v>
      </c>
      <c r="H6" s="6">
        <v>112780</v>
      </c>
      <c r="I6" t="s">
        <v>13</v>
      </c>
    </row>
    <row r="7" spans="1:9" x14ac:dyDescent="0.25">
      <c r="C7" t="s">
        <v>70</v>
      </c>
      <c r="D7" t="s">
        <v>15</v>
      </c>
      <c r="E7" t="s">
        <v>9</v>
      </c>
      <c r="F7">
        <v>46</v>
      </c>
      <c r="G7" s="4">
        <v>44758</v>
      </c>
      <c r="H7" s="6">
        <v>70610</v>
      </c>
      <c r="I7" t="s">
        <v>16</v>
      </c>
    </row>
    <row r="8" spans="1:9" x14ac:dyDescent="0.25">
      <c r="C8" t="s">
        <v>75</v>
      </c>
      <c r="D8" t="s">
        <v>8</v>
      </c>
      <c r="E8" t="s">
        <v>19</v>
      </c>
      <c r="F8">
        <v>28</v>
      </c>
      <c r="G8" s="4">
        <v>44357</v>
      </c>
      <c r="H8" s="6">
        <v>53240</v>
      </c>
      <c r="I8" t="s">
        <v>16</v>
      </c>
    </row>
    <row r="9" spans="1:9" x14ac:dyDescent="0.25">
      <c r="C9" t="s">
        <v>49</v>
      </c>
      <c r="E9" t="s">
        <v>21</v>
      </c>
      <c r="F9">
        <v>37</v>
      </c>
      <c r="G9" s="4">
        <v>44146</v>
      </c>
      <c r="H9" s="6">
        <v>115440</v>
      </c>
      <c r="I9" t="s">
        <v>24</v>
      </c>
    </row>
    <row r="10" spans="1:9" x14ac:dyDescent="0.25">
      <c r="C10" t="s">
        <v>65</v>
      </c>
      <c r="D10" t="s">
        <v>15</v>
      </c>
      <c r="E10" t="s">
        <v>19</v>
      </c>
      <c r="F10">
        <v>32</v>
      </c>
      <c r="G10" s="4">
        <v>44465</v>
      </c>
      <c r="H10" s="6">
        <v>53540</v>
      </c>
      <c r="I10" t="s">
        <v>16</v>
      </c>
    </row>
    <row r="11" spans="1:9" x14ac:dyDescent="0.25">
      <c r="C11" t="s">
        <v>81</v>
      </c>
      <c r="D11" t="s">
        <v>8</v>
      </c>
      <c r="E11" t="s">
        <v>9</v>
      </c>
      <c r="F11">
        <v>30</v>
      </c>
      <c r="G11" s="4">
        <v>44861</v>
      </c>
      <c r="H11" s="6">
        <v>112570</v>
      </c>
      <c r="I11" t="s">
        <v>16</v>
      </c>
    </row>
    <row r="12" spans="1:9" x14ac:dyDescent="0.25">
      <c r="C12" t="s">
        <v>51</v>
      </c>
      <c r="D12" t="s">
        <v>15</v>
      </c>
      <c r="E12" t="s">
        <v>9</v>
      </c>
      <c r="F12">
        <v>33</v>
      </c>
      <c r="G12" s="4">
        <v>44701</v>
      </c>
      <c r="H12" s="6">
        <v>48530</v>
      </c>
      <c r="I12" t="s">
        <v>13</v>
      </c>
    </row>
    <row r="13" spans="1:9" x14ac:dyDescent="0.25">
      <c r="C13" t="s">
        <v>61</v>
      </c>
      <c r="D13" t="s">
        <v>8</v>
      </c>
      <c r="E13" t="s">
        <v>12</v>
      </c>
      <c r="F13">
        <v>24</v>
      </c>
      <c r="G13" s="4">
        <v>44148</v>
      </c>
      <c r="H13" s="6">
        <v>62780</v>
      </c>
      <c r="I13" t="s">
        <v>16</v>
      </c>
    </row>
    <row r="14" spans="1:9" x14ac:dyDescent="0.25">
      <c r="C14" t="s">
        <v>82</v>
      </c>
      <c r="D14" t="s">
        <v>15</v>
      </c>
      <c r="E14" t="s">
        <v>12</v>
      </c>
      <c r="F14">
        <v>33</v>
      </c>
      <c r="G14" s="4">
        <v>44509</v>
      </c>
      <c r="H14" s="6">
        <v>53870</v>
      </c>
      <c r="I14" t="s">
        <v>16</v>
      </c>
    </row>
    <row r="15" spans="1:9" x14ac:dyDescent="0.25">
      <c r="C15" t="s">
        <v>60</v>
      </c>
      <c r="D15" t="s">
        <v>8</v>
      </c>
      <c r="E15" t="s">
        <v>56</v>
      </c>
      <c r="F15">
        <v>27</v>
      </c>
      <c r="G15" s="4">
        <v>44122</v>
      </c>
      <c r="H15" s="6">
        <v>119110</v>
      </c>
      <c r="I15" t="s">
        <v>16</v>
      </c>
    </row>
    <row r="16" spans="1:9" x14ac:dyDescent="0.25">
      <c r="C16" t="s">
        <v>87</v>
      </c>
      <c r="D16" t="s">
        <v>15</v>
      </c>
      <c r="E16" t="s">
        <v>12</v>
      </c>
      <c r="F16">
        <v>29</v>
      </c>
      <c r="G16" s="4">
        <v>44180</v>
      </c>
      <c r="H16" s="6">
        <v>112110</v>
      </c>
      <c r="I16" t="s">
        <v>24</v>
      </c>
    </row>
    <row r="17" spans="3:9" x14ac:dyDescent="0.25">
      <c r="C17" t="s">
        <v>76</v>
      </c>
      <c r="D17" t="s">
        <v>15</v>
      </c>
      <c r="E17" t="s">
        <v>19</v>
      </c>
      <c r="F17">
        <v>25</v>
      </c>
      <c r="G17" s="4">
        <v>44383</v>
      </c>
      <c r="H17" s="6">
        <v>65700</v>
      </c>
      <c r="I17" t="s">
        <v>16</v>
      </c>
    </row>
    <row r="18" spans="3:9" x14ac:dyDescent="0.25">
      <c r="C18" t="s">
        <v>97</v>
      </c>
      <c r="D18" t="s">
        <v>15</v>
      </c>
      <c r="E18" t="s">
        <v>12</v>
      </c>
      <c r="F18">
        <v>37</v>
      </c>
      <c r="G18" s="4">
        <v>44701</v>
      </c>
      <c r="H18" s="6">
        <v>69070</v>
      </c>
      <c r="I18" t="s">
        <v>16</v>
      </c>
    </row>
    <row r="19" spans="3:9" x14ac:dyDescent="0.25">
      <c r="C19" t="s">
        <v>22</v>
      </c>
      <c r="D19" t="s">
        <v>15</v>
      </c>
      <c r="E19" t="s">
        <v>12</v>
      </c>
      <c r="F19">
        <v>20</v>
      </c>
      <c r="G19" s="4">
        <v>44459</v>
      </c>
      <c r="H19" s="6">
        <v>107700</v>
      </c>
      <c r="I19" t="s">
        <v>16</v>
      </c>
    </row>
    <row r="20" spans="3:9" x14ac:dyDescent="0.25">
      <c r="C20" t="s">
        <v>84</v>
      </c>
      <c r="D20" t="s">
        <v>8</v>
      </c>
      <c r="E20" t="s">
        <v>12</v>
      </c>
      <c r="F20">
        <v>32</v>
      </c>
      <c r="G20" s="4">
        <v>44354</v>
      </c>
      <c r="H20" s="6">
        <v>43840</v>
      </c>
      <c r="I20" t="s">
        <v>13</v>
      </c>
    </row>
    <row r="21" spans="3:9" x14ac:dyDescent="0.25">
      <c r="C21" t="s">
        <v>105</v>
      </c>
      <c r="D21" t="s">
        <v>15</v>
      </c>
      <c r="E21" t="s">
        <v>9</v>
      </c>
      <c r="F21">
        <v>40</v>
      </c>
      <c r="G21" s="4">
        <v>44263</v>
      </c>
      <c r="H21" s="6">
        <v>99750</v>
      </c>
      <c r="I21" t="s">
        <v>16</v>
      </c>
    </row>
    <row r="22" spans="3:9" x14ac:dyDescent="0.25">
      <c r="C22" t="s">
        <v>47</v>
      </c>
      <c r="D22" t="s">
        <v>15</v>
      </c>
      <c r="E22" t="s">
        <v>9</v>
      </c>
      <c r="F22">
        <v>21</v>
      </c>
      <c r="G22" s="4">
        <v>44104</v>
      </c>
      <c r="H22" s="6">
        <v>37920</v>
      </c>
      <c r="I22" t="s">
        <v>16</v>
      </c>
    </row>
    <row r="23" spans="3:9" x14ac:dyDescent="0.25">
      <c r="C23" t="s">
        <v>31</v>
      </c>
      <c r="D23" t="s">
        <v>15</v>
      </c>
      <c r="E23" t="s">
        <v>9</v>
      </c>
      <c r="F23">
        <v>21</v>
      </c>
      <c r="G23" s="4">
        <v>44762</v>
      </c>
      <c r="H23" s="6">
        <v>57090</v>
      </c>
      <c r="I23" t="s">
        <v>16</v>
      </c>
    </row>
    <row r="24" spans="3:9" x14ac:dyDescent="0.25">
      <c r="C24" t="s">
        <v>30</v>
      </c>
      <c r="D24" t="s">
        <v>8</v>
      </c>
      <c r="E24" t="s">
        <v>12</v>
      </c>
      <c r="F24">
        <v>31</v>
      </c>
      <c r="G24" s="4">
        <v>44145</v>
      </c>
      <c r="H24" s="6">
        <v>41980</v>
      </c>
      <c r="I24" t="s">
        <v>16</v>
      </c>
    </row>
    <row r="25" spans="3:9" x14ac:dyDescent="0.25">
      <c r="C25" t="s">
        <v>78</v>
      </c>
      <c r="D25" t="s">
        <v>15</v>
      </c>
      <c r="E25" t="s">
        <v>56</v>
      </c>
      <c r="F25">
        <v>21</v>
      </c>
      <c r="G25" s="4">
        <v>44242</v>
      </c>
      <c r="H25" s="6">
        <v>75880</v>
      </c>
      <c r="I25" t="s">
        <v>16</v>
      </c>
    </row>
    <row r="26" spans="3:9" x14ac:dyDescent="0.25">
      <c r="C26" t="s">
        <v>36</v>
      </c>
      <c r="D26" t="s">
        <v>8</v>
      </c>
      <c r="E26" t="s">
        <v>21</v>
      </c>
      <c r="F26">
        <v>34</v>
      </c>
      <c r="G26" s="4">
        <v>44653</v>
      </c>
      <c r="H26" s="6">
        <v>58940</v>
      </c>
      <c r="I26" t="s">
        <v>16</v>
      </c>
    </row>
    <row r="27" spans="3:9" x14ac:dyDescent="0.25">
      <c r="C27" t="s">
        <v>27</v>
      </c>
      <c r="D27" t="s">
        <v>8</v>
      </c>
      <c r="E27" t="s">
        <v>21</v>
      </c>
      <c r="F27">
        <v>30</v>
      </c>
      <c r="G27" s="4">
        <v>44389</v>
      </c>
      <c r="H27" s="6">
        <v>67910</v>
      </c>
      <c r="I27" t="s">
        <v>24</v>
      </c>
    </row>
    <row r="28" spans="3:9" x14ac:dyDescent="0.25">
      <c r="C28" t="s">
        <v>26</v>
      </c>
      <c r="D28" t="s">
        <v>8</v>
      </c>
      <c r="E28" t="s">
        <v>12</v>
      </c>
      <c r="F28">
        <v>31</v>
      </c>
      <c r="G28" s="4">
        <v>44663</v>
      </c>
      <c r="H28" s="6">
        <v>58100</v>
      </c>
      <c r="I28" t="s">
        <v>16</v>
      </c>
    </row>
    <row r="29" spans="3:9" x14ac:dyDescent="0.25">
      <c r="C29" t="s">
        <v>53</v>
      </c>
      <c r="D29" t="s">
        <v>15</v>
      </c>
      <c r="E29" t="s">
        <v>21</v>
      </c>
      <c r="F29">
        <v>27</v>
      </c>
      <c r="G29" s="4">
        <v>44567</v>
      </c>
      <c r="H29" s="6">
        <v>48980</v>
      </c>
      <c r="I29" t="s">
        <v>16</v>
      </c>
    </row>
    <row r="30" spans="3:9" x14ac:dyDescent="0.25">
      <c r="C30" t="s">
        <v>20</v>
      </c>
      <c r="E30" t="s">
        <v>21</v>
      </c>
      <c r="F30">
        <v>30</v>
      </c>
      <c r="G30" s="4">
        <v>44597</v>
      </c>
      <c r="H30" s="6">
        <v>64000</v>
      </c>
      <c r="I30" t="s">
        <v>16</v>
      </c>
    </row>
    <row r="31" spans="3:9" x14ac:dyDescent="0.25">
      <c r="C31" t="s">
        <v>7</v>
      </c>
      <c r="D31" t="s">
        <v>8</v>
      </c>
      <c r="E31" t="s">
        <v>9</v>
      </c>
      <c r="F31">
        <v>42</v>
      </c>
      <c r="G31" s="4">
        <v>44779</v>
      </c>
      <c r="H31" s="6">
        <v>75000</v>
      </c>
      <c r="I31" t="s">
        <v>10</v>
      </c>
    </row>
    <row r="32" spans="3:9" x14ac:dyDescent="0.25">
      <c r="C32" t="s">
        <v>74</v>
      </c>
      <c r="D32" t="s">
        <v>8</v>
      </c>
      <c r="E32" t="s">
        <v>12</v>
      </c>
      <c r="F32">
        <v>40</v>
      </c>
      <c r="G32" s="4">
        <v>44337</v>
      </c>
      <c r="H32" s="6">
        <v>87620</v>
      </c>
      <c r="I32" t="s">
        <v>16</v>
      </c>
    </row>
    <row r="33" spans="3:9" x14ac:dyDescent="0.25">
      <c r="C33" t="s">
        <v>44</v>
      </c>
      <c r="D33" t="s">
        <v>8</v>
      </c>
      <c r="E33" t="s">
        <v>12</v>
      </c>
      <c r="F33">
        <v>29</v>
      </c>
      <c r="G33" s="4">
        <v>44023</v>
      </c>
      <c r="H33" s="6">
        <v>34980</v>
      </c>
      <c r="I33" t="s">
        <v>16</v>
      </c>
    </row>
    <row r="34" spans="3:9" x14ac:dyDescent="0.25">
      <c r="C34" t="s">
        <v>35</v>
      </c>
      <c r="D34" t="s">
        <v>8</v>
      </c>
      <c r="E34" t="s">
        <v>21</v>
      </c>
      <c r="F34">
        <v>28</v>
      </c>
      <c r="G34" s="4">
        <v>44185</v>
      </c>
      <c r="H34" s="6">
        <v>75970</v>
      </c>
      <c r="I34" t="s">
        <v>16</v>
      </c>
    </row>
    <row r="35" spans="3:9" x14ac:dyDescent="0.25">
      <c r="C35" t="s">
        <v>38</v>
      </c>
      <c r="D35" t="s">
        <v>8</v>
      </c>
      <c r="E35" t="s">
        <v>21</v>
      </c>
      <c r="F35">
        <v>34</v>
      </c>
      <c r="G35" s="4">
        <v>44612</v>
      </c>
      <c r="H35" s="6">
        <v>60130</v>
      </c>
      <c r="I35" t="s">
        <v>16</v>
      </c>
    </row>
    <row r="36" spans="3:9" x14ac:dyDescent="0.25">
      <c r="C36" t="s">
        <v>41</v>
      </c>
      <c r="D36" t="s">
        <v>8</v>
      </c>
      <c r="E36" t="s">
        <v>12</v>
      </c>
      <c r="F36">
        <v>33</v>
      </c>
      <c r="G36" s="4">
        <v>44374</v>
      </c>
      <c r="H36" s="6">
        <v>75480</v>
      </c>
      <c r="I36" t="s">
        <v>42</v>
      </c>
    </row>
    <row r="37" spans="3:9" x14ac:dyDescent="0.25">
      <c r="C37" t="s">
        <v>40</v>
      </c>
      <c r="D37" t="s">
        <v>15</v>
      </c>
      <c r="E37" t="s">
        <v>9</v>
      </c>
      <c r="F37">
        <v>33</v>
      </c>
      <c r="G37" s="4">
        <v>44164</v>
      </c>
      <c r="H37" s="6">
        <v>115920</v>
      </c>
      <c r="I37" t="s">
        <v>16</v>
      </c>
    </row>
    <row r="38" spans="3:9" x14ac:dyDescent="0.25">
      <c r="C38" t="s">
        <v>48</v>
      </c>
      <c r="D38" t="s">
        <v>8</v>
      </c>
      <c r="E38" t="s">
        <v>19</v>
      </c>
      <c r="F38">
        <v>36</v>
      </c>
      <c r="G38" s="4">
        <v>44494</v>
      </c>
      <c r="H38" s="6">
        <v>78540</v>
      </c>
      <c r="I38" t="s">
        <v>16</v>
      </c>
    </row>
    <row r="39" spans="3:9" x14ac:dyDescent="0.25">
      <c r="C39" t="s">
        <v>34</v>
      </c>
      <c r="D39" t="s">
        <v>15</v>
      </c>
      <c r="E39" t="s">
        <v>9</v>
      </c>
      <c r="F39">
        <v>25</v>
      </c>
      <c r="G39" s="4">
        <v>44726</v>
      </c>
      <c r="H39" s="6">
        <v>109190</v>
      </c>
      <c r="I39" t="s">
        <v>13</v>
      </c>
    </row>
    <row r="40" spans="3:9" x14ac:dyDescent="0.25">
      <c r="C40" t="s">
        <v>73</v>
      </c>
      <c r="D40" t="s">
        <v>8</v>
      </c>
      <c r="E40" t="s">
        <v>19</v>
      </c>
      <c r="F40">
        <v>34</v>
      </c>
      <c r="G40" s="4">
        <v>44721</v>
      </c>
      <c r="H40" s="6">
        <v>49630</v>
      </c>
      <c r="I40" t="s">
        <v>24</v>
      </c>
    </row>
    <row r="41" spans="3:9" x14ac:dyDescent="0.25">
      <c r="C41" t="s">
        <v>107</v>
      </c>
      <c r="D41" t="s">
        <v>8</v>
      </c>
      <c r="E41" t="s">
        <v>9</v>
      </c>
      <c r="F41">
        <v>28</v>
      </c>
      <c r="G41" s="4">
        <v>44630</v>
      </c>
      <c r="H41" s="6">
        <v>99970</v>
      </c>
      <c r="I41" t="s">
        <v>16</v>
      </c>
    </row>
    <row r="42" spans="3:9" x14ac:dyDescent="0.25">
      <c r="C42" t="s">
        <v>71</v>
      </c>
      <c r="D42" t="s">
        <v>8</v>
      </c>
      <c r="E42" t="s">
        <v>12</v>
      </c>
      <c r="F42">
        <v>33</v>
      </c>
      <c r="G42" s="4">
        <v>44190</v>
      </c>
      <c r="H42" s="6">
        <v>96140</v>
      </c>
      <c r="I42" t="s">
        <v>16</v>
      </c>
    </row>
    <row r="43" spans="3:9" x14ac:dyDescent="0.25">
      <c r="C43" t="s">
        <v>50</v>
      </c>
      <c r="D43" t="s">
        <v>15</v>
      </c>
      <c r="E43" t="s">
        <v>9</v>
      </c>
      <c r="F43">
        <v>31</v>
      </c>
      <c r="G43" s="4">
        <v>44724</v>
      </c>
      <c r="H43" s="6">
        <v>103550</v>
      </c>
      <c r="I43" t="s">
        <v>16</v>
      </c>
    </row>
    <row r="44" spans="3:9" x14ac:dyDescent="0.25">
      <c r="C44" t="s">
        <v>14</v>
      </c>
      <c r="D44" t="s">
        <v>15</v>
      </c>
      <c r="E44" t="s">
        <v>12</v>
      </c>
      <c r="F44">
        <v>31</v>
      </c>
      <c r="G44" s="4">
        <v>44511</v>
      </c>
      <c r="H44" s="6">
        <v>48950</v>
      </c>
      <c r="I44" t="s">
        <v>16</v>
      </c>
    </row>
    <row r="45" spans="3:9" x14ac:dyDescent="0.25">
      <c r="C45" t="s">
        <v>63</v>
      </c>
      <c r="D45" t="s">
        <v>15</v>
      </c>
      <c r="E45" t="s">
        <v>21</v>
      </c>
      <c r="F45">
        <v>24</v>
      </c>
      <c r="G45" s="4">
        <v>44436</v>
      </c>
      <c r="H45" s="6">
        <v>52610</v>
      </c>
      <c r="I45" t="s">
        <v>24</v>
      </c>
    </row>
    <row r="46" spans="3:9" x14ac:dyDescent="0.25">
      <c r="C46" t="s">
        <v>72</v>
      </c>
      <c r="D46" t="s">
        <v>8</v>
      </c>
      <c r="E46" t="s">
        <v>9</v>
      </c>
      <c r="F46">
        <v>36</v>
      </c>
      <c r="G46" s="4">
        <v>44529</v>
      </c>
      <c r="H46" s="6">
        <v>78390</v>
      </c>
      <c r="I46" t="s">
        <v>16</v>
      </c>
    </row>
    <row r="47" spans="3:9" x14ac:dyDescent="0.25">
      <c r="C47" t="s">
        <v>88</v>
      </c>
      <c r="D47" t="s">
        <v>8</v>
      </c>
      <c r="E47" t="s">
        <v>21</v>
      </c>
      <c r="F47">
        <v>33</v>
      </c>
      <c r="G47" s="4">
        <v>44809</v>
      </c>
      <c r="H47" s="6">
        <v>86570</v>
      </c>
      <c r="I47" t="s">
        <v>16</v>
      </c>
    </row>
    <row r="48" spans="3:9" x14ac:dyDescent="0.25">
      <c r="C48" t="s">
        <v>92</v>
      </c>
      <c r="D48" t="s">
        <v>8</v>
      </c>
      <c r="E48" t="s">
        <v>12</v>
      </c>
      <c r="F48">
        <v>27</v>
      </c>
      <c r="G48" s="4">
        <v>44686</v>
      </c>
      <c r="H48" s="6">
        <v>83750</v>
      </c>
      <c r="I48" t="s">
        <v>16</v>
      </c>
    </row>
    <row r="49" spans="3:9" x14ac:dyDescent="0.25">
      <c r="C49" t="s">
        <v>102</v>
      </c>
      <c r="D49" t="s">
        <v>8</v>
      </c>
      <c r="E49" t="s">
        <v>21</v>
      </c>
      <c r="F49">
        <v>34</v>
      </c>
      <c r="G49" s="4">
        <v>44445</v>
      </c>
      <c r="H49" s="6">
        <v>92450</v>
      </c>
      <c r="I49" t="s">
        <v>16</v>
      </c>
    </row>
    <row r="50" spans="3:9" x14ac:dyDescent="0.25">
      <c r="C50" t="s">
        <v>64</v>
      </c>
      <c r="D50" t="s">
        <v>15</v>
      </c>
      <c r="E50" t="s">
        <v>12</v>
      </c>
      <c r="F50">
        <v>20</v>
      </c>
      <c r="G50" s="4">
        <v>44183</v>
      </c>
      <c r="H50" s="6">
        <v>112650</v>
      </c>
      <c r="I50" t="s">
        <v>16</v>
      </c>
    </row>
    <row r="51" spans="3:9" x14ac:dyDescent="0.25">
      <c r="C51" t="s">
        <v>104</v>
      </c>
      <c r="D51" t="s">
        <v>15</v>
      </c>
      <c r="E51" t="s">
        <v>9</v>
      </c>
      <c r="F51">
        <v>20</v>
      </c>
      <c r="G51" s="4">
        <v>44744</v>
      </c>
      <c r="H51" s="6">
        <v>79570</v>
      </c>
      <c r="I51" t="s">
        <v>16</v>
      </c>
    </row>
    <row r="52" spans="3:9" x14ac:dyDescent="0.25">
      <c r="C52" t="s">
        <v>91</v>
      </c>
      <c r="D52" t="s">
        <v>8</v>
      </c>
      <c r="E52" t="s">
        <v>19</v>
      </c>
      <c r="F52">
        <v>20</v>
      </c>
      <c r="G52" s="4">
        <v>44537</v>
      </c>
      <c r="H52" s="6">
        <v>68900</v>
      </c>
      <c r="I52" t="s">
        <v>24</v>
      </c>
    </row>
    <row r="53" spans="3:9" x14ac:dyDescent="0.25">
      <c r="C53" t="s">
        <v>39</v>
      </c>
      <c r="D53" t="s">
        <v>8</v>
      </c>
      <c r="E53" t="s">
        <v>12</v>
      </c>
      <c r="F53">
        <v>25</v>
      </c>
      <c r="G53" s="4">
        <v>44694</v>
      </c>
      <c r="H53" s="6">
        <v>80700</v>
      </c>
      <c r="I53" t="s">
        <v>13</v>
      </c>
    </row>
    <row r="54" spans="3:9" x14ac:dyDescent="0.25">
      <c r="C54" t="s">
        <v>100</v>
      </c>
      <c r="D54" t="s">
        <v>15</v>
      </c>
      <c r="E54" t="s">
        <v>9</v>
      </c>
      <c r="F54">
        <v>19</v>
      </c>
      <c r="G54" s="4">
        <v>44277</v>
      </c>
      <c r="H54" s="6">
        <v>58960</v>
      </c>
      <c r="I54" t="s">
        <v>16</v>
      </c>
    </row>
    <row r="55" spans="3:9" x14ac:dyDescent="0.25">
      <c r="C55" t="s">
        <v>106</v>
      </c>
      <c r="D55" t="s">
        <v>15</v>
      </c>
      <c r="E55" t="s">
        <v>12</v>
      </c>
      <c r="F55">
        <v>36</v>
      </c>
      <c r="G55" s="4">
        <v>44019</v>
      </c>
      <c r="H55" s="6">
        <v>118840</v>
      </c>
      <c r="I55" t="s">
        <v>16</v>
      </c>
    </row>
    <row r="56" spans="3:9" x14ac:dyDescent="0.25">
      <c r="C56" t="s">
        <v>29</v>
      </c>
      <c r="D56" t="s">
        <v>15</v>
      </c>
      <c r="E56" t="s">
        <v>21</v>
      </c>
      <c r="F56">
        <v>28</v>
      </c>
      <c r="G56" s="4">
        <v>44041</v>
      </c>
      <c r="H56" s="6">
        <v>48170</v>
      </c>
      <c r="I56" t="s">
        <v>13</v>
      </c>
    </row>
    <row r="57" spans="3:9" x14ac:dyDescent="0.25">
      <c r="C57" t="s">
        <v>108</v>
      </c>
      <c r="D57" t="s">
        <v>8</v>
      </c>
      <c r="E57" t="s">
        <v>56</v>
      </c>
      <c r="F57">
        <v>32</v>
      </c>
      <c r="G57" s="4">
        <v>44400</v>
      </c>
      <c r="H57" s="6">
        <v>45510</v>
      </c>
      <c r="I57" t="s">
        <v>16</v>
      </c>
    </row>
    <row r="58" spans="3:9" x14ac:dyDescent="0.25">
      <c r="C58" t="s">
        <v>64</v>
      </c>
      <c r="D58" t="s">
        <v>15</v>
      </c>
      <c r="E58" t="s">
        <v>9</v>
      </c>
      <c r="F58">
        <v>34</v>
      </c>
      <c r="G58" s="4">
        <v>44703</v>
      </c>
      <c r="H58" s="6">
        <v>112650</v>
      </c>
      <c r="I58" t="s">
        <v>16</v>
      </c>
    </row>
    <row r="59" spans="3:9" x14ac:dyDescent="0.25">
      <c r="C59" t="s">
        <v>83</v>
      </c>
      <c r="D59" t="s">
        <v>8</v>
      </c>
      <c r="E59" t="s">
        <v>9</v>
      </c>
      <c r="F59">
        <v>36</v>
      </c>
      <c r="G59" s="4">
        <v>44085</v>
      </c>
      <c r="H59" s="6">
        <v>114890</v>
      </c>
      <c r="I59" t="s">
        <v>16</v>
      </c>
    </row>
    <row r="60" spans="3:9" x14ac:dyDescent="0.25">
      <c r="C60" t="s">
        <v>67</v>
      </c>
      <c r="D60" t="s">
        <v>15</v>
      </c>
      <c r="E60" t="s">
        <v>12</v>
      </c>
      <c r="F60">
        <v>30</v>
      </c>
      <c r="G60" s="4">
        <v>44850</v>
      </c>
      <c r="H60" s="6">
        <v>69710</v>
      </c>
      <c r="I60" t="s">
        <v>16</v>
      </c>
    </row>
    <row r="61" spans="3:9" x14ac:dyDescent="0.25">
      <c r="C61" t="s">
        <v>94</v>
      </c>
      <c r="D61" t="s">
        <v>15</v>
      </c>
      <c r="E61" t="s">
        <v>21</v>
      </c>
      <c r="F61">
        <v>36</v>
      </c>
      <c r="G61" s="4">
        <v>44333</v>
      </c>
      <c r="H61" s="6">
        <v>71380</v>
      </c>
      <c r="I61" t="s">
        <v>16</v>
      </c>
    </row>
    <row r="62" spans="3:9" x14ac:dyDescent="0.25">
      <c r="C62" t="s">
        <v>33</v>
      </c>
      <c r="D62" t="s">
        <v>8</v>
      </c>
      <c r="E62" t="s">
        <v>19</v>
      </c>
      <c r="F62">
        <v>38</v>
      </c>
      <c r="G62" s="4">
        <v>44377</v>
      </c>
      <c r="H62" s="6">
        <v>109160</v>
      </c>
      <c r="I62" t="s">
        <v>10</v>
      </c>
    </row>
    <row r="63" spans="3:9" x14ac:dyDescent="0.25">
      <c r="C63" t="s">
        <v>98</v>
      </c>
      <c r="D63" t="s">
        <v>15</v>
      </c>
      <c r="E63" t="s">
        <v>9</v>
      </c>
      <c r="F63">
        <v>27</v>
      </c>
      <c r="G63" s="4">
        <v>44609</v>
      </c>
      <c r="H63" s="6">
        <v>113280</v>
      </c>
      <c r="I63" t="s">
        <v>42</v>
      </c>
    </row>
    <row r="64" spans="3:9" x14ac:dyDescent="0.25">
      <c r="C64" t="s">
        <v>25</v>
      </c>
      <c r="D64" t="s">
        <v>15</v>
      </c>
      <c r="E64" t="s">
        <v>12</v>
      </c>
      <c r="F64">
        <v>30</v>
      </c>
      <c r="G64" s="4">
        <v>44273</v>
      </c>
      <c r="H64" s="6">
        <v>69120</v>
      </c>
      <c r="I64" t="s">
        <v>16</v>
      </c>
    </row>
    <row r="65" spans="3:9" x14ac:dyDescent="0.25">
      <c r="C65" t="s">
        <v>55</v>
      </c>
      <c r="D65" t="s">
        <v>8</v>
      </c>
      <c r="E65" t="s">
        <v>56</v>
      </c>
      <c r="F65">
        <v>37</v>
      </c>
      <c r="G65" s="4">
        <v>44451</v>
      </c>
      <c r="H65" s="6">
        <v>118100</v>
      </c>
      <c r="I65" t="s">
        <v>16</v>
      </c>
    </row>
    <row r="66" spans="3:9" x14ac:dyDescent="0.25">
      <c r="C66" t="s">
        <v>62</v>
      </c>
      <c r="D66" t="s">
        <v>8</v>
      </c>
      <c r="E66" t="s">
        <v>9</v>
      </c>
      <c r="F66">
        <v>22</v>
      </c>
      <c r="G66" s="4">
        <v>44450</v>
      </c>
      <c r="H66" s="6">
        <v>76900</v>
      </c>
      <c r="I66" t="s">
        <v>13</v>
      </c>
    </row>
    <row r="67" spans="3:9" x14ac:dyDescent="0.25">
      <c r="C67" t="s">
        <v>17</v>
      </c>
      <c r="D67" t="s">
        <v>8</v>
      </c>
      <c r="E67" t="s">
        <v>12</v>
      </c>
      <c r="F67">
        <v>43</v>
      </c>
      <c r="G67" s="4">
        <v>45045</v>
      </c>
      <c r="H67" s="6">
        <v>114870</v>
      </c>
      <c r="I67" t="s">
        <v>16</v>
      </c>
    </row>
    <row r="68" spans="3:9" x14ac:dyDescent="0.25">
      <c r="C68" t="s">
        <v>52</v>
      </c>
      <c r="E68" t="s">
        <v>12</v>
      </c>
      <c r="F68">
        <v>32</v>
      </c>
      <c r="G68" s="4">
        <v>44774</v>
      </c>
      <c r="H68" s="6">
        <v>91310</v>
      </c>
      <c r="I68" t="s">
        <v>16</v>
      </c>
    </row>
    <row r="69" spans="3:9" x14ac:dyDescent="0.25">
      <c r="C69" t="s">
        <v>43</v>
      </c>
      <c r="D69" t="s">
        <v>8</v>
      </c>
      <c r="E69" t="s">
        <v>9</v>
      </c>
      <c r="F69">
        <v>28</v>
      </c>
      <c r="G69" s="4">
        <v>44486</v>
      </c>
      <c r="H69" s="6">
        <v>104770</v>
      </c>
      <c r="I69" t="s">
        <v>16</v>
      </c>
    </row>
    <row r="70" spans="3:9" x14ac:dyDescent="0.25">
      <c r="C70" t="s">
        <v>89</v>
      </c>
      <c r="D70" t="s">
        <v>15</v>
      </c>
      <c r="E70" t="s">
        <v>19</v>
      </c>
      <c r="F70">
        <v>27</v>
      </c>
      <c r="G70" s="4">
        <v>44134</v>
      </c>
      <c r="H70" s="6">
        <v>54970</v>
      </c>
      <c r="I70" t="s">
        <v>16</v>
      </c>
    </row>
    <row r="71" spans="3:9" x14ac:dyDescent="0.25">
      <c r="C71" t="s">
        <v>11</v>
      </c>
      <c r="E71" t="s">
        <v>12</v>
      </c>
      <c r="F71">
        <v>26</v>
      </c>
      <c r="G71" s="4">
        <v>44271</v>
      </c>
      <c r="H71" s="6">
        <v>90700</v>
      </c>
      <c r="I71" t="s">
        <v>13</v>
      </c>
    </row>
    <row r="72" spans="3:9" x14ac:dyDescent="0.25">
      <c r="C72" t="s">
        <v>109</v>
      </c>
      <c r="D72" t="s">
        <v>8</v>
      </c>
      <c r="E72" t="s">
        <v>19</v>
      </c>
      <c r="F72">
        <v>38</v>
      </c>
      <c r="G72" s="4">
        <v>44329</v>
      </c>
      <c r="H72" s="6">
        <v>56870</v>
      </c>
      <c r="I72" t="s">
        <v>13</v>
      </c>
    </row>
    <row r="73" spans="3:9" x14ac:dyDescent="0.25">
      <c r="C73" t="s">
        <v>77</v>
      </c>
      <c r="D73" t="s">
        <v>8</v>
      </c>
      <c r="E73" t="s">
        <v>19</v>
      </c>
      <c r="F73">
        <v>25</v>
      </c>
      <c r="G73" s="4">
        <v>44205</v>
      </c>
      <c r="H73" s="6">
        <v>92700</v>
      </c>
      <c r="I73" t="s">
        <v>16</v>
      </c>
    </row>
    <row r="74" spans="3:9" x14ac:dyDescent="0.25">
      <c r="C74" t="s">
        <v>32</v>
      </c>
      <c r="D74" t="s">
        <v>8</v>
      </c>
      <c r="E74" t="s">
        <v>21</v>
      </c>
      <c r="F74">
        <v>21</v>
      </c>
      <c r="G74" s="4">
        <v>44317</v>
      </c>
      <c r="H74" s="6">
        <v>65920</v>
      </c>
      <c r="I74" t="s">
        <v>16</v>
      </c>
    </row>
    <row r="75" spans="3:9" x14ac:dyDescent="0.25">
      <c r="C75" t="s">
        <v>59</v>
      </c>
      <c r="D75" t="s">
        <v>15</v>
      </c>
      <c r="E75" t="s">
        <v>9</v>
      </c>
      <c r="F75">
        <v>26</v>
      </c>
      <c r="G75" s="4">
        <v>44225</v>
      </c>
      <c r="H75" s="6">
        <v>47360</v>
      </c>
      <c r="I75" t="s">
        <v>16</v>
      </c>
    </row>
    <row r="76" spans="3:9" x14ac:dyDescent="0.25">
      <c r="C76" t="s">
        <v>37</v>
      </c>
      <c r="D76" t="s">
        <v>15</v>
      </c>
      <c r="E76" t="s">
        <v>9</v>
      </c>
      <c r="F76">
        <v>30</v>
      </c>
      <c r="G76" s="4">
        <v>44666</v>
      </c>
      <c r="H76" s="6">
        <v>60570</v>
      </c>
      <c r="I76" t="s">
        <v>16</v>
      </c>
    </row>
    <row r="77" spans="3:9" x14ac:dyDescent="0.25">
      <c r="C77" t="s">
        <v>96</v>
      </c>
      <c r="D77" t="s">
        <v>8</v>
      </c>
      <c r="E77" t="s">
        <v>9</v>
      </c>
      <c r="F77">
        <v>28</v>
      </c>
      <c r="G77" s="4">
        <v>44649</v>
      </c>
      <c r="H77" s="6">
        <v>104120</v>
      </c>
      <c r="I77" t="s">
        <v>16</v>
      </c>
    </row>
    <row r="78" spans="3:9" x14ac:dyDescent="0.25">
      <c r="C78" t="s">
        <v>23</v>
      </c>
      <c r="D78" t="s">
        <v>15</v>
      </c>
      <c r="E78" t="s">
        <v>12</v>
      </c>
      <c r="F78">
        <v>37</v>
      </c>
      <c r="G78" s="4">
        <v>44338</v>
      </c>
      <c r="H78" s="6">
        <v>88050</v>
      </c>
      <c r="I78" t="s">
        <v>24</v>
      </c>
    </row>
    <row r="79" spans="3:9" x14ac:dyDescent="0.25">
      <c r="C79" t="s">
        <v>103</v>
      </c>
      <c r="D79" t="s">
        <v>15</v>
      </c>
      <c r="E79" t="s">
        <v>12</v>
      </c>
      <c r="F79">
        <v>24</v>
      </c>
      <c r="G79" s="4">
        <v>44686</v>
      </c>
      <c r="H79" s="6">
        <v>100420</v>
      </c>
      <c r="I79" t="s">
        <v>16</v>
      </c>
    </row>
    <row r="80" spans="3:9" x14ac:dyDescent="0.25">
      <c r="C80" t="s">
        <v>54</v>
      </c>
      <c r="D80" t="s">
        <v>8</v>
      </c>
      <c r="E80" t="s">
        <v>9</v>
      </c>
      <c r="F80">
        <v>30</v>
      </c>
      <c r="G80" s="4">
        <v>44850</v>
      </c>
      <c r="H80" s="6">
        <v>114180</v>
      </c>
      <c r="I80" t="s">
        <v>16</v>
      </c>
    </row>
    <row r="81" spans="3:9" x14ac:dyDescent="0.25">
      <c r="C81" t="s">
        <v>86</v>
      </c>
      <c r="D81" t="s">
        <v>8</v>
      </c>
      <c r="E81" t="s">
        <v>12</v>
      </c>
      <c r="F81">
        <v>21</v>
      </c>
      <c r="G81" s="4">
        <v>44678</v>
      </c>
      <c r="H81" s="6">
        <v>33920</v>
      </c>
      <c r="I81" t="s">
        <v>16</v>
      </c>
    </row>
    <row r="82" spans="3:9" x14ac:dyDescent="0.25">
      <c r="C82" t="s">
        <v>69</v>
      </c>
      <c r="D82" t="s">
        <v>15</v>
      </c>
      <c r="E82" t="s">
        <v>9</v>
      </c>
      <c r="F82">
        <v>23</v>
      </c>
      <c r="G82" s="4">
        <v>44440</v>
      </c>
      <c r="H82" s="6">
        <v>106460</v>
      </c>
      <c r="I82" t="s">
        <v>16</v>
      </c>
    </row>
    <row r="83" spans="3:9" x14ac:dyDescent="0.25">
      <c r="C83" t="s">
        <v>57</v>
      </c>
      <c r="D83" t="s">
        <v>15</v>
      </c>
      <c r="E83" t="s">
        <v>9</v>
      </c>
      <c r="F83">
        <v>35</v>
      </c>
      <c r="G83" s="4">
        <v>44727</v>
      </c>
      <c r="H83" s="6">
        <v>40400</v>
      </c>
      <c r="I83" t="s">
        <v>16</v>
      </c>
    </row>
    <row r="84" spans="3:9" x14ac:dyDescent="0.25">
      <c r="C84" t="s">
        <v>68</v>
      </c>
      <c r="D84" t="s">
        <v>15</v>
      </c>
      <c r="E84" t="s">
        <v>21</v>
      </c>
      <c r="F84">
        <v>27</v>
      </c>
      <c r="G84" s="4">
        <v>44236</v>
      </c>
      <c r="H84" s="6">
        <v>91650</v>
      </c>
      <c r="I84" t="s">
        <v>13</v>
      </c>
    </row>
    <row r="85" spans="3:9" x14ac:dyDescent="0.25">
      <c r="C85" t="s">
        <v>99</v>
      </c>
      <c r="D85" t="s">
        <v>15</v>
      </c>
      <c r="E85" t="s">
        <v>19</v>
      </c>
      <c r="F85">
        <v>43</v>
      </c>
      <c r="G85" s="4">
        <v>44620</v>
      </c>
      <c r="H85" s="6">
        <v>36040</v>
      </c>
      <c r="I85" t="s">
        <v>16</v>
      </c>
    </row>
    <row r="86" spans="3:9" x14ac:dyDescent="0.25">
      <c r="C86" t="s">
        <v>101</v>
      </c>
      <c r="D86" t="s">
        <v>8</v>
      </c>
      <c r="E86" t="s">
        <v>12</v>
      </c>
      <c r="F86">
        <v>40</v>
      </c>
      <c r="G86" s="4">
        <v>44381</v>
      </c>
      <c r="H86" s="6">
        <v>104410</v>
      </c>
      <c r="I86" t="s">
        <v>16</v>
      </c>
    </row>
    <row r="87" spans="3:9" x14ac:dyDescent="0.25">
      <c r="C87" t="s">
        <v>85</v>
      </c>
      <c r="D87" t="s">
        <v>15</v>
      </c>
      <c r="E87" t="s">
        <v>21</v>
      </c>
      <c r="F87">
        <v>30</v>
      </c>
      <c r="G87" s="4">
        <v>44606</v>
      </c>
      <c r="H87" s="6">
        <v>96800</v>
      </c>
      <c r="I87" t="s">
        <v>16</v>
      </c>
    </row>
    <row r="88" spans="3:9" x14ac:dyDescent="0.25">
      <c r="C88" t="s">
        <v>28</v>
      </c>
      <c r="D88" t="s">
        <v>8</v>
      </c>
      <c r="E88" t="s">
        <v>21</v>
      </c>
      <c r="F88">
        <v>34</v>
      </c>
      <c r="G88" s="4">
        <v>44459</v>
      </c>
      <c r="H88" s="6">
        <v>85000</v>
      </c>
      <c r="I88" t="s">
        <v>16</v>
      </c>
    </row>
    <row r="89" spans="3:9" x14ac:dyDescent="0.25">
      <c r="C89" t="s">
        <v>80</v>
      </c>
      <c r="D89" t="s">
        <v>15</v>
      </c>
      <c r="E89" t="s">
        <v>19</v>
      </c>
      <c r="F89">
        <v>28</v>
      </c>
      <c r="G89" s="4">
        <v>44820</v>
      </c>
      <c r="H89" s="6">
        <v>43510</v>
      </c>
      <c r="I89" t="s">
        <v>42</v>
      </c>
    </row>
    <row r="90" spans="3:9" x14ac:dyDescent="0.25">
      <c r="C90" t="s">
        <v>79</v>
      </c>
      <c r="D90" t="s">
        <v>15</v>
      </c>
      <c r="E90" t="s">
        <v>21</v>
      </c>
      <c r="F90">
        <v>33</v>
      </c>
      <c r="G90" s="4">
        <v>44243</v>
      </c>
      <c r="H90" s="6">
        <v>59430</v>
      </c>
      <c r="I90" t="s">
        <v>16</v>
      </c>
    </row>
    <row r="91" spans="3:9" x14ac:dyDescent="0.25">
      <c r="C91" t="s">
        <v>93</v>
      </c>
      <c r="D91" t="s">
        <v>8</v>
      </c>
      <c r="E91" t="s">
        <v>21</v>
      </c>
      <c r="F91">
        <v>33</v>
      </c>
      <c r="G91" s="4">
        <v>44067</v>
      </c>
      <c r="H91" s="6">
        <v>65360</v>
      </c>
      <c r="I91" t="s">
        <v>16</v>
      </c>
    </row>
    <row r="92" spans="3:9" x14ac:dyDescent="0.25">
      <c r="C92" t="s">
        <v>66</v>
      </c>
      <c r="D92" t="s">
        <v>8</v>
      </c>
      <c r="E92" t="s">
        <v>9</v>
      </c>
      <c r="F92">
        <v>32</v>
      </c>
      <c r="G92" s="4">
        <v>44611</v>
      </c>
      <c r="H92" s="6">
        <v>41570</v>
      </c>
      <c r="I92" t="s">
        <v>16</v>
      </c>
    </row>
    <row r="93" spans="3:9" x14ac:dyDescent="0.25">
      <c r="C93" t="s">
        <v>95</v>
      </c>
      <c r="D93" t="s">
        <v>8</v>
      </c>
      <c r="E93" t="s">
        <v>12</v>
      </c>
      <c r="F93">
        <v>33</v>
      </c>
      <c r="G93" s="4">
        <v>44312</v>
      </c>
      <c r="H93" s="6">
        <v>75280</v>
      </c>
      <c r="I93" t="s">
        <v>16</v>
      </c>
    </row>
    <row r="94" spans="3:9" x14ac:dyDescent="0.25">
      <c r="C94" t="s">
        <v>18</v>
      </c>
      <c r="D94" t="s">
        <v>15</v>
      </c>
      <c r="E94" t="s">
        <v>19</v>
      </c>
      <c r="F94">
        <v>33</v>
      </c>
      <c r="G94" s="4">
        <v>44385</v>
      </c>
      <c r="H94" s="6">
        <v>74550</v>
      </c>
      <c r="I94" t="s">
        <v>16</v>
      </c>
    </row>
    <row r="95" spans="3:9" x14ac:dyDescent="0.25">
      <c r="C95" t="s">
        <v>45</v>
      </c>
      <c r="D95" t="s">
        <v>15</v>
      </c>
      <c r="E95" t="s">
        <v>9</v>
      </c>
      <c r="F95">
        <v>30</v>
      </c>
      <c r="G95" s="4">
        <v>44701</v>
      </c>
      <c r="H95" s="6">
        <v>67950</v>
      </c>
      <c r="I95" t="s">
        <v>16</v>
      </c>
    </row>
    <row r="96" spans="3:9" x14ac:dyDescent="0.25">
      <c r="C96" t="s">
        <v>90</v>
      </c>
      <c r="D96" t="s">
        <v>15</v>
      </c>
      <c r="E96" t="s">
        <v>21</v>
      </c>
      <c r="F96">
        <v>42</v>
      </c>
      <c r="G96" s="4">
        <v>44731</v>
      </c>
      <c r="H96" s="6">
        <v>70270</v>
      </c>
      <c r="I96" t="s">
        <v>24</v>
      </c>
    </row>
    <row r="97" spans="3:9" x14ac:dyDescent="0.25">
      <c r="C97" t="s">
        <v>46</v>
      </c>
      <c r="D97" t="s">
        <v>15</v>
      </c>
      <c r="E97" t="s">
        <v>9</v>
      </c>
      <c r="F97">
        <v>26</v>
      </c>
      <c r="G97" s="4">
        <v>44411</v>
      </c>
      <c r="H97" s="6">
        <v>53540</v>
      </c>
      <c r="I97" t="s">
        <v>16</v>
      </c>
    </row>
    <row r="98" spans="3:9" x14ac:dyDescent="0.25">
      <c r="C98" t="s">
        <v>58</v>
      </c>
      <c r="D98" t="s">
        <v>15</v>
      </c>
      <c r="E98" t="s">
        <v>19</v>
      </c>
      <c r="F98">
        <v>22</v>
      </c>
      <c r="G98" s="4">
        <v>44446</v>
      </c>
      <c r="H98" s="6">
        <v>112780</v>
      </c>
      <c r="I98" t="s">
        <v>13</v>
      </c>
    </row>
    <row r="99" spans="3:9" x14ac:dyDescent="0.25">
      <c r="C99" t="s">
        <v>70</v>
      </c>
      <c r="D99" t="s">
        <v>15</v>
      </c>
      <c r="E99" t="s">
        <v>9</v>
      </c>
      <c r="F99">
        <v>46</v>
      </c>
      <c r="G99" s="4">
        <v>44758</v>
      </c>
      <c r="H99" s="6">
        <v>70610</v>
      </c>
      <c r="I99" t="s">
        <v>16</v>
      </c>
    </row>
    <row r="100" spans="3:9" x14ac:dyDescent="0.25">
      <c r="C100" t="s">
        <v>75</v>
      </c>
      <c r="D100" t="s">
        <v>8</v>
      </c>
      <c r="E100" t="s">
        <v>19</v>
      </c>
      <c r="F100">
        <v>28</v>
      </c>
      <c r="G100" s="4">
        <v>44357</v>
      </c>
      <c r="H100" s="6">
        <v>53240</v>
      </c>
      <c r="I100" t="s">
        <v>16</v>
      </c>
    </row>
    <row r="101" spans="3:9" x14ac:dyDescent="0.25">
      <c r="C101" t="s">
        <v>49</v>
      </c>
      <c r="E101" t="s">
        <v>21</v>
      </c>
      <c r="F101">
        <v>37</v>
      </c>
      <c r="G101" s="4">
        <v>44146</v>
      </c>
      <c r="H101" s="6">
        <v>115440</v>
      </c>
      <c r="I101" t="s">
        <v>24</v>
      </c>
    </row>
    <row r="102" spans="3:9" x14ac:dyDescent="0.25">
      <c r="C102" t="s">
        <v>65</v>
      </c>
      <c r="D102" t="s">
        <v>15</v>
      </c>
      <c r="E102" t="s">
        <v>19</v>
      </c>
      <c r="F102">
        <v>32</v>
      </c>
      <c r="G102" s="4">
        <v>44465</v>
      </c>
      <c r="H102" s="6">
        <v>53540</v>
      </c>
      <c r="I102" t="s">
        <v>16</v>
      </c>
    </row>
    <row r="103" spans="3:9" x14ac:dyDescent="0.25">
      <c r="C103" t="s">
        <v>81</v>
      </c>
      <c r="D103" t="s">
        <v>8</v>
      </c>
      <c r="E103" t="s">
        <v>9</v>
      </c>
      <c r="F103">
        <v>30</v>
      </c>
      <c r="G103" s="4">
        <v>44861</v>
      </c>
      <c r="H103" s="6">
        <v>112570</v>
      </c>
      <c r="I103" t="s">
        <v>16</v>
      </c>
    </row>
    <row r="104" spans="3:9" x14ac:dyDescent="0.25">
      <c r="C104" t="s">
        <v>51</v>
      </c>
      <c r="D104" t="s">
        <v>15</v>
      </c>
      <c r="E104" t="s">
        <v>9</v>
      </c>
      <c r="F104">
        <v>33</v>
      </c>
      <c r="G104" s="4">
        <v>44701</v>
      </c>
      <c r="H104" s="6">
        <v>48530</v>
      </c>
      <c r="I104" t="s">
        <v>13</v>
      </c>
    </row>
    <row r="105" spans="3:9" x14ac:dyDescent="0.25">
      <c r="C105" t="s">
        <v>61</v>
      </c>
      <c r="D105" t="s">
        <v>8</v>
      </c>
      <c r="E105" t="s">
        <v>12</v>
      </c>
      <c r="F105">
        <v>24</v>
      </c>
      <c r="G105" s="4">
        <v>44148</v>
      </c>
      <c r="H105" s="6">
        <v>62780</v>
      </c>
      <c r="I105" t="s">
        <v>16</v>
      </c>
    </row>
    <row r="106" spans="3:9" x14ac:dyDescent="0.25">
      <c r="C106" t="s">
        <v>203</v>
      </c>
      <c r="F106">
        <f>SUBTOTAL(101,nz_staff[Age])</f>
        <v>30.52</v>
      </c>
      <c r="H106">
        <f>SUBTOTAL(101,nz_staff[Salary])</f>
        <v>77472.100000000006</v>
      </c>
      <c r="I106">
        <f>SUBTOTAL(103,nz_staff[Rating])</f>
        <v>100</v>
      </c>
    </row>
  </sheetData>
  <conditionalFormatting sqref="C6:C105">
    <cfRule type="duplicateValues" dxfId="1" priority="1"/>
  </conditionalFormatting>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F1C9-84AE-4772-8174-FAD258D679EF}">
  <dimension ref="C2:P25"/>
  <sheetViews>
    <sheetView tabSelected="1" topLeftCell="C1" workbookViewId="0">
      <selection activeCell="Q4" sqref="Q4"/>
    </sheetView>
  </sheetViews>
  <sheetFormatPr defaultRowHeight="15" x14ac:dyDescent="0.25"/>
  <cols>
    <col min="3" max="3" width="14.5703125" customWidth="1"/>
    <col min="4" max="4" width="3.42578125" customWidth="1"/>
    <col min="5" max="5" width="12.28515625" customWidth="1"/>
    <col min="6" max="6" width="4.140625" customWidth="1"/>
    <col min="7" max="7" width="21.85546875" customWidth="1"/>
    <col min="11" max="11" width="1.85546875" customWidth="1"/>
    <col min="12" max="12" width="14.85546875" customWidth="1"/>
    <col min="13" max="13" width="3.42578125" customWidth="1"/>
    <col min="14" max="14" width="11.140625" customWidth="1"/>
    <col min="15" max="15" width="3.28515625" customWidth="1"/>
    <col min="16" max="16" width="23.28515625" customWidth="1"/>
  </cols>
  <sheetData>
    <row r="2" spans="3:16" ht="33.75" customHeight="1" x14ac:dyDescent="0.25">
      <c r="C2" s="48" t="s">
        <v>258</v>
      </c>
      <c r="D2" s="49"/>
      <c r="E2" s="49"/>
      <c r="F2" s="49"/>
      <c r="G2" s="49"/>
      <c r="L2" s="50" t="s">
        <v>259</v>
      </c>
      <c r="M2" s="51"/>
      <c r="N2" s="51"/>
      <c r="O2" s="51"/>
      <c r="P2" s="51"/>
    </row>
    <row r="3" spans="3:16" ht="18.75" customHeight="1" x14ac:dyDescent="0.25"/>
    <row r="4" spans="3:16" ht="84" customHeight="1" x14ac:dyDescent="0.25">
      <c r="C4" s="41">
        <f>COUNTIFS(staff[Country],"NZ")</f>
        <v>92</v>
      </c>
      <c r="D4" s="40"/>
      <c r="E4" s="43">
        <f>COUNTIFS(staff[Country],"NZ",staff[Gender],"Female")/Sheet9!C4</f>
        <v>0.46739130434782611</v>
      </c>
      <c r="F4" s="40"/>
      <c r="G4" s="44">
        <f>AVERAGEIFS(staff[Salary],staff[Country],"NZ")</f>
        <v>77351.630434782608</v>
      </c>
      <c r="L4" s="45">
        <f>COUNTIFS(staff[Country],"IND")</f>
        <v>92</v>
      </c>
      <c r="M4" s="40"/>
      <c r="N4" s="47">
        <f>COUNTIFS(staff[Country],"IND",staff[Gender],"Female")/L4</f>
        <v>0.46739130434782611</v>
      </c>
      <c r="O4" s="40"/>
      <c r="P4" s="46">
        <f>AVERAGEIFS(staff[Salary],staff[Country],"IND")</f>
        <v>77438.15217391304</v>
      </c>
    </row>
    <row r="5" spans="3:16" x14ac:dyDescent="0.25">
      <c r="E5" s="42"/>
      <c r="G5" s="5"/>
    </row>
    <row r="6" spans="3:16" ht="39.75" customHeight="1" x14ac:dyDescent="0.25">
      <c r="C6" s="52" t="s">
        <v>257</v>
      </c>
      <c r="D6" s="52"/>
      <c r="E6" s="52"/>
      <c r="F6" s="52"/>
      <c r="G6" s="52"/>
      <c r="H6" s="52"/>
      <c r="I6" s="52"/>
      <c r="J6" s="52"/>
      <c r="K6" s="52"/>
      <c r="L6" s="52"/>
      <c r="M6" s="52"/>
      <c r="N6" s="52"/>
      <c r="O6" s="52"/>
      <c r="P6" s="52"/>
    </row>
    <row r="8" spans="3:16" x14ac:dyDescent="0.25">
      <c r="C8" s="31"/>
      <c r="D8" s="32"/>
      <c r="E8" s="32"/>
      <c r="F8" s="32"/>
      <c r="G8" s="33"/>
      <c r="L8" s="31"/>
      <c r="M8" s="32"/>
      <c r="N8" s="32"/>
      <c r="O8" s="32"/>
      <c r="P8" s="33"/>
    </row>
    <row r="9" spans="3:16" x14ac:dyDescent="0.25">
      <c r="C9" s="34"/>
      <c r="D9" s="35"/>
      <c r="E9" s="35"/>
      <c r="F9" s="35"/>
      <c r="G9" s="36"/>
      <c r="L9" s="34"/>
      <c r="M9" s="35"/>
      <c r="N9" s="35"/>
      <c r="O9" s="35"/>
      <c r="P9" s="36"/>
    </row>
    <row r="10" spans="3:16" x14ac:dyDescent="0.25">
      <c r="C10" s="34"/>
      <c r="D10" s="35"/>
      <c r="E10" s="35"/>
      <c r="F10" s="35"/>
      <c r="G10" s="36"/>
      <c r="L10" s="34"/>
      <c r="M10" s="35"/>
      <c r="N10" s="35"/>
      <c r="O10" s="35"/>
      <c r="P10" s="36"/>
    </row>
    <row r="11" spans="3:16" x14ac:dyDescent="0.25">
      <c r="C11" s="34"/>
      <c r="D11" s="35"/>
      <c r="E11" s="35"/>
      <c r="F11" s="35"/>
      <c r="G11" s="36"/>
      <c r="L11" s="34"/>
      <c r="M11" s="35"/>
      <c r="N11" s="35"/>
      <c r="O11" s="35"/>
      <c r="P11" s="36"/>
    </row>
    <row r="12" spans="3:16" x14ac:dyDescent="0.25">
      <c r="C12" s="34"/>
      <c r="D12" s="35"/>
      <c r="E12" s="35"/>
      <c r="F12" s="35"/>
      <c r="G12" s="36"/>
      <c r="L12" s="34"/>
      <c r="M12" s="35"/>
      <c r="N12" s="35"/>
      <c r="O12" s="35"/>
      <c r="P12" s="36"/>
    </row>
    <row r="13" spans="3:16" x14ac:dyDescent="0.25">
      <c r="C13" s="34"/>
      <c r="D13" s="35"/>
      <c r="E13" s="35"/>
      <c r="F13" s="35"/>
      <c r="G13" s="36"/>
      <c r="L13" s="34"/>
      <c r="M13" s="35"/>
      <c r="N13" s="35"/>
      <c r="O13" s="35"/>
      <c r="P13" s="36"/>
    </row>
    <row r="14" spans="3:16" x14ac:dyDescent="0.25">
      <c r="C14" s="34"/>
      <c r="D14" s="35"/>
      <c r="E14" s="35"/>
      <c r="F14" s="35"/>
      <c r="G14" s="36"/>
      <c r="L14" s="34"/>
      <c r="M14" s="35"/>
      <c r="N14" s="35"/>
      <c r="O14" s="35"/>
      <c r="P14" s="36"/>
    </row>
    <row r="15" spans="3:16" x14ac:dyDescent="0.25">
      <c r="C15" s="34"/>
      <c r="D15" s="35"/>
      <c r="E15" s="35"/>
      <c r="F15" s="35"/>
      <c r="G15" s="36"/>
      <c r="L15" s="34"/>
      <c r="M15" s="35"/>
      <c r="N15" s="35"/>
      <c r="O15" s="35"/>
      <c r="P15" s="36"/>
    </row>
    <row r="16" spans="3:16" x14ac:dyDescent="0.25">
      <c r="C16" s="34"/>
      <c r="D16" s="35"/>
      <c r="E16" s="35"/>
      <c r="F16" s="35"/>
      <c r="G16" s="36"/>
      <c r="L16" s="34"/>
      <c r="M16" s="35"/>
      <c r="N16" s="35"/>
      <c r="O16" s="35"/>
      <c r="P16" s="36"/>
    </row>
    <row r="17" spans="3:16" x14ac:dyDescent="0.25">
      <c r="C17" s="34"/>
      <c r="D17" s="35"/>
      <c r="E17" s="35"/>
      <c r="F17" s="35"/>
      <c r="G17" s="36"/>
      <c r="L17" s="34"/>
      <c r="M17" s="35"/>
      <c r="N17" s="35"/>
      <c r="O17" s="35"/>
      <c r="P17" s="36"/>
    </row>
    <row r="18" spans="3:16" x14ac:dyDescent="0.25">
      <c r="C18" s="34"/>
      <c r="D18" s="35"/>
      <c r="E18" s="35"/>
      <c r="F18" s="35"/>
      <c r="G18" s="36"/>
      <c r="L18" s="34"/>
      <c r="M18" s="35"/>
      <c r="N18" s="35"/>
      <c r="O18" s="35"/>
      <c r="P18" s="36"/>
    </row>
    <row r="19" spans="3:16" x14ac:dyDescent="0.25">
      <c r="C19" s="34"/>
      <c r="D19" s="35"/>
      <c r="E19" s="35"/>
      <c r="F19" s="35"/>
      <c r="G19" s="36"/>
      <c r="L19" s="34"/>
      <c r="M19" s="35"/>
      <c r="N19" s="35"/>
      <c r="O19" s="35"/>
      <c r="P19" s="36"/>
    </row>
    <row r="20" spans="3:16" x14ac:dyDescent="0.25">
      <c r="C20" s="34"/>
      <c r="D20" s="35"/>
      <c r="E20" s="35"/>
      <c r="F20" s="35"/>
      <c r="G20" s="36"/>
      <c r="L20" s="34"/>
      <c r="M20" s="35"/>
      <c r="N20" s="35"/>
      <c r="O20" s="35"/>
      <c r="P20" s="36"/>
    </row>
    <row r="21" spans="3:16" x14ac:dyDescent="0.25">
      <c r="C21" s="34"/>
      <c r="D21" s="35"/>
      <c r="E21" s="35"/>
      <c r="F21" s="35"/>
      <c r="G21" s="36"/>
      <c r="L21" s="34"/>
      <c r="M21" s="35"/>
      <c r="N21" s="35"/>
      <c r="O21" s="35"/>
      <c r="P21" s="36"/>
    </row>
    <row r="22" spans="3:16" x14ac:dyDescent="0.25">
      <c r="C22" s="34"/>
      <c r="D22" s="35"/>
      <c r="E22" s="35"/>
      <c r="F22" s="35"/>
      <c r="G22" s="36"/>
      <c r="L22" s="34"/>
      <c r="M22" s="35"/>
      <c r="N22" s="35"/>
      <c r="O22" s="35"/>
      <c r="P22" s="36"/>
    </row>
    <row r="23" spans="3:16" x14ac:dyDescent="0.25">
      <c r="C23" s="34"/>
      <c r="D23" s="35"/>
      <c r="E23" s="35"/>
      <c r="F23" s="35"/>
      <c r="G23" s="36"/>
      <c r="L23" s="34"/>
      <c r="M23" s="35"/>
      <c r="N23" s="35"/>
      <c r="O23" s="35"/>
      <c r="P23" s="36"/>
    </row>
    <row r="24" spans="3:16" x14ac:dyDescent="0.25">
      <c r="C24" s="34"/>
      <c r="D24" s="35"/>
      <c r="E24" s="35"/>
      <c r="F24" s="35"/>
      <c r="G24" s="36"/>
      <c r="L24" s="34"/>
      <c r="M24" s="35"/>
      <c r="N24" s="35"/>
      <c r="O24" s="35"/>
      <c r="P24" s="36"/>
    </row>
    <row r="25" spans="3:16" x14ac:dyDescent="0.25">
      <c r="C25" s="37"/>
      <c r="D25" s="38"/>
      <c r="E25" s="38"/>
      <c r="F25" s="38"/>
      <c r="G25" s="39"/>
      <c r="L25" s="37"/>
      <c r="M25" s="38"/>
      <c r="N25" s="38"/>
      <c r="O25" s="38"/>
      <c r="P25" s="39"/>
    </row>
  </sheetData>
  <mergeCells count="3">
    <mergeCell ref="C2:G2"/>
    <mergeCell ref="L2:P2"/>
    <mergeCell ref="C6:P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95E81-BC7A-4EDF-A38C-C74FE51A5960}">
  <dimension ref="A3:F11"/>
  <sheetViews>
    <sheetView workbookViewId="0">
      <selection activeCell="E1" sqref="E1"/>
    </sheetView>
  </sheetViews>
  <sheetFormatPr defaultRowHeight="15" x14ac:dyDescent="0.25"/>
  <cols>
    <col min="1" max="1" width="13.140625" bestFit="1" customWidth="1"/>
    <col min="2" max="2" width="14.42578125" bestFit="1" customWidth="1"/>
    <col min="5" max="5" width="13.140625" bestFit="1" customWidth="1"/>
    <col min="6" max="6" width="14.42578125" bestFit="1" customWidth="1"/>
  </cols>
  <sheetData>
    <row r="3" spans="1:6" x14ac:dyDescent="0.25">
      <c r="A3" s="21" t="s">
        <v>205</v>
      </c>
      <c r="B3" t="s" vm="1">
        <v>206</v>
      </c>
      <c r="E3" s="21" t="s">
        <v>205</v>
      </c>
      <c r="F3" t="s" vm="2">
        <v>208</v>
      </c>
    </row>
    <row r="5" spans="1:6" x14ac:dyDescent="0.25">
      <c r="A5" s="21" t="s">
        <v>226</v>
      </c>
      <c r="B5" t="s">
        <v>220</v>
      </c>
      <c r="E5" s="21" t="s">
        <v>226</v>
      </c>
      <c r="F5" t="s">
        <v>220</v>
      </c>
    </row>
    <row r="6" spans="1:6" x14ac:dyDescent="0.25">
      <c r="A6" s="22" t="s">
        <v>9</v>
      </c>
      <c r="B6" s="7">
        <v>28</v>
      </c>
      <c r="E6" s="22" t="s">
        <v>12</v>
      </c>
      <c r="F6" s="7">
        <v>27</v>
      </c>
    </row>
    <row r="7" spans="1:6" x14ac:dyDescent="0.25">
      <c r="A7" s="22" t="s">
        <v>12</v>
      </c>
      <c r="B7" s="7">
        <v>27</v>
      </c>
      <c r="E7" s="22" t="s">
        <v>9</v>
      </c>
      <c r="F7" s="7">
        <v>27</v>
      </c>
    </row>
    <row r="8" spans="1:6" x14ac:dyDescent="0.25">
      <c r="A8" s="22" t="s">
        <v>21</v>
      </c>
      <c r="B8" s="7">
        <v>19</v>
      </c>
      <c r="E8" s="22" t="s">
        <v>21</v>
      </c>
      <c r="F8" s="7">
        <v>19</v>
      </c>
    </row>
    <row r="9" spans="1:6" x14ac:dyDescent="0.25">
      <c r="A9" s="22" t="s">
        <v>19</v>
      </c>
      <c r="B9" s="7">
        <v>14</v>
      </c>
      <c r="E9" s="22" t="s">
        <v>19</v>
      </c>
      <c r="F9" s="7">
        <v>15</v>
      </c>
    </row>
    <row r="10" spans="1:6" x14ac:dyDescent="0.25">
      <c r="A10" s="22" t="s">
        <v>56</v>
      </c>
      <c r="B10" s="7">
        <v>4</v>
      </c>
      <c r="E10" s="22" t="s">
        <v>56</v>
      </c>
      <c r="F10" s="7">
        <v>4</v>
      </c>
    </row>
    <row r="11" spans="1:6" x14ac:dyDescent="0.25">
      <c r="A11" s="22" t="s">
        <v>219</v>
      </c>
      <c r="B11" s="7">
        <v>92</v>
      </c>
      <c r="E11" s="22" t="s">
        <v>219</v>
      </c>
      <c r="F11" s="7">
        <v>92</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2D22-F039-4CDC-84E3-F840F6C002CB}">
  <dimension ref="B4:D21"/>
  <sheetViews>
    <sheetView workbookViewId="0">
      <selection activeCell="C4" sqref="C4"/>
    </sheetView>
  </sheetViews>
  <sheetFormatPr defaultRowHeight="15" x14ac:dyDescent="0.25"/>
  <sheetData>
    <row r="4" spans="2:4" x14ac:dyDescent="0.25">
      <c r="B4" s="12"/>
      <c r="C4" s="13"/>
      <c r="D4" s="14"/>
    </row>
    <row r="5" spans="2:4" x14ac:dyDescent="0.25">
      <c r="B5" s="15"/>
      <c r="C5" s="16"/>
      <c r="D5" s="17"/>
    </row>
    <row r="6" spans="2:4" x14ac:dyDescent="0.25">
      <c r="B6" s="15"/>
      <c r="C6" s="16"/>
      <c r="D6" s="17"/>
    </row>
    <row r="7" spans="2:4" x14ac:dyDescent="0.25">
      <c r="B7" s="15"/>
      <c r="C7" s="16"/>
      <c r="D7" s="17"/>
    </row>
    <row r="8" spans="2:4" x14ac:dyDescent="0.25">
      <c r="B8" s="15"/>
      <c r="C8" s="16"/>
      <c r="D8" s="17"/>
    </row>
    <row r="9" spans="2:4" x14ac:dyDescent="0.25">
      <c r="B9" s="15"/>
      <c r="C9" s="16"/>
      <c r="D9" s="17"/>
    </row>
    <row r="10" spans="2:4" x14ac:dyDescent="0.25">
      <c r="B10" s="15"/>
      <c r="C10" s="16"/>
      <c r="D10" s="17"/>
    </row>
    <row r="11" spans="2:4" x14ac:dyDescent="0.25">
      <c r="B11" s="15"/>
      <c r="C11" s="16"/>
      <c r="D11" s="17"/>
    </row>
    <row r="12" spans="2:4" x14ac:dyDescent="0.25">
      <c r="B12" s="15"/>
      <c r="C12" s="16"/>
      <c r="D12" s="17"/>
    </row>
    <row r="13" spans="2:4" x14ac:dyDescent="0.25">
      <c r="B13" s="15"/>
      <c r="C13" s="16"/>
      <c r="D13" s="17"/>
    </row>
    <row r="14" spans="2:4" x14ac:dyDescent="0.25">
      <c r="B14" s="15"/>
      <c r="C14" s="16"/>
      <c r="D14" s="17"/>
    </row>
    <row r="15" spans="2:4" x14ac:dyDescent="0.25">
      <c r="B15" s="15"/>
      <c r="C15" s="16"/>
      <c r="D15" s="17"/>
    </row>
    <row r="16" spans="2:4" x14ac:dyDescent="0.25">
      <c r="B16" s="15"/>
      <c r="C16" s="16"/>
      <c r="D16" s="17"/>
    </row>
    <row r="17" spans="2:4" x14ac:dyDescent="0.25">
      <c r="B17" s="15"/>
      <c r="C17" s="16"/>
      <c r="D17" s="17"/>
    </row>
    <row r="18" spans="2:4" x14ac:dyDescent="0.25">
      <c r="B18" s="15"/>
      <c r="C18" s="16"/>
      <c r="D18" s="17"/>
    </row>
    <row r="19" spans="2:4" x14ac:dyDescent="0.25">
      <c r="B19" s="15"/>
      <c r="C19" s="16"/>
      <c r="D19" s="17"/>
    </row>
    <row r="20" spans="2:4" x14ac:dyDescent="0.25">
      <c r="B20" s="15"/>
      <c r="C20" s="16"/>
      <c r="D20" s="17"/>
    </row>
    <row r="21" spans="2:4" x14ac:dyDescent="0.25">
      <c r="B21" s="18"/>
      <c r="C21" s="19"/>
      <c r="D2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5"/>
  <sheetViews>
    <sheetView workbookViewId="0">
      <selection activeCell="M8" sqref="M8"/>
    </sheetView>
  </sheetViews>
  <sheetFormatPr defaultRowHeight="15" x14ac:dyDescent="0.25"/>
  <cols>
    <col min="2" max="2" width="29.7109375"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row r="115" spans="2:8" x14ac:dyDescent="0.25">
      <c r="B115" t="s">
        <v>203</v>
      </c>
      <c r="H115">
        <f>SUBTOTAL(109,india_staff[Salary])</f>
        <v>8757930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B156F-5317-4A25-B98F-36FD547E96C2}">
  <sheetPr>
    <tabColor theme="5"/>
  </sheetPr>
  <dimension ref="C4:S188"/>
  <sheetViews>
    <sheetView topLeftCell="C1" zoomScaleNormal="100" workbookViewId="0">
      <selection activeCell="H5" sqref="H5:H188"/>
    </sheetView>
  </sheetViews>
  <sheetFormatPr defaultRowHeight="15" x14ac:dyDescent="0.25"/>
  <cols>
    <col min="2" max="2" width="9.140625" customWidth="1"/>
    <col min="3" max="3" width="30.7109375" customWidth="1"/>
    <col min="4" max="4" width="10" bestFit="1" customWidth="1"/>
    <col min="5" max="5" width="6.7109375" bestFit="1" customWidth="1"/>
    <col min="6" max="6" width="14.28515625" bestFit="1" customWidth="1"/>
    <col min="7" max="7" width="13.7109375" bestFit="1" customWidth="1"/>
    <col min="8" max="8" width="14" bestFit="1" customWidth="1"/>
    <col min="9" max="9" width="8.5703125" bestFit="1" customWidth="1"/>
    <col min="10" max="10" width="10.28515625" bestFit="1" customWidth="1"/>
    <col min="11" max="12" width="10.28515625" customWidth="1"/>
    <col min="13" max="14" width="14.85546875" customWidth="1"/>
    <col min="15" max="15" width="14" bestFit="1" customWidth="1"/>
    <col min="16" max="16" width="18.85546875" bestFit="1" customWidth="1"/>
    <col min="17" max="17" width="10.28515625" bestFit="1" customWidth="1"/>
  </cols>
  <sheetData>
    <row r="4" spans="3:19" x14ac:dyDescent="0.25">
      <c r="C4" t="s">
        <v>0</v>
      </c>
      <c r="D4" t="s">
        <v>1</v>
      </c>
      <c r="E4" t="s">
        <v>3</v>
      </c>
      <c r="F4" t="s">
        <v>6</v>
      </c>
      <c r="G4" t="s">
        <v>4</v>
      </c>
      <c r="H4" t="s">
        <v>2</v>
      </c>
      <c r="I4" t="s">
        <v>5</v>
      </c>
      <c r="J4" t="s">
        <v>205</v>
      </c>
      <c r="K4" t="s">
        <v>215</v>
      </c>
      <c r="L4" t="s">
        <v>225</v>
      </c>
      <c r="M4" t="s">
        <v>237</v>
      </c>
    </row>
    <row r="5" spans="3:19" x14ac:dyDescent="0.25">
      <c r="C5" s="7" t="s">
        <v>179</v>
      </c>
      <c r="D5" s="7" t="s">
        <v>8</v>
      </c>
      <c r="E5">
        <v>21</v>
      </c>
      <c r="F5" t="s">
        <v>16</v>
      </c>
      <c r="G5" s="8">
        <v>44619</v>
      </c>
      <c r="H5" s="7" t="s">
        <v>12</v>
      </c>
      <c r="I5">
        <v>33920</v>
      </c>
      <c r="J5" t="s">
        <v>206</v>
      </c>
      <c r="K5" s="9">
        <f ca="1">(TODAY()-staff[[#This Row],[Date Joined]])/365</f>
        <v>1.7178082191780821</v>
      </c>
      <c r="L5" s="6">
        <f ca="1">ROUNDUP(IF(staff[tenure]&gt;2,3%,2%)*staff[Salary],0)</f>
        <v>679</v>
      </c>
      <c r="M5" s="28">
        <f>VLOOKUP(staff[[#This Row],[Rating]],Sheet7!$C$4:$D$8,2,0)</f>
        <v>3</v>
      </c>
      <c r="N5" s="9"/>
      <c r="O5" s="11">
        <v>1</v>
      </c>
      <c r="P5" t="s">
        <v>209</v>
      </c>
      <c r="Q5">
        <f>COUNTA(staff[Name])</f>
        <v>184</v>
      </c>
    </row>
    <row r="6" spans="3:19" x14ac:dyDescent="0.25">
      <c r="C6" s="7" t="s">
        <v>86</v>
      </c>
      <c r="D6" s="7" t="s">
        <v>8</v>
      </c>
      <c r="E6">
        <v>21</v>
      </c>
      <c r="F6" t="s">
        <v>16</v>
      </c>
      <c r="G6" s="8">
        <v>44678</v>
      </c>
      <c r="H6" s="7" t="s">
        <v>12</v>
      </c>
      <c r="I6">
        <v>33920</v>
      </c>
      <c r="J6" t="s">
        <v>208</v>
      </c>
      <c r="K6" s="9">
        <f ca="1">(TODAY()-staff[[#This Row],[Date Joined]])/365</f>
        <v>1.5561643835616439</v>
      </c>
      <c r="L6" s="6">
        <f ca="1">ROUNDUP(IF(staff[tenure]&gt;2,3%,2%)*staff[Salary],0)</f>
        <v>679</v>
      </c>
      <c r="M6" s="28">
        <f>VLOOKUP(staff[[#This Row],[Rating]],Sheet7!$C$4:$D$8,2,0)</f>
        <v>3</v>
      </c>
      <c r="N6" s="9"/>
      <c r="P6" t="s">
        <v>210</v>
      </c>
      <c r="Q6">
        <f>AVERAGE(staff[Salary])</f>
        <v>77394.891304347824</v>
      </c>
      <c r="R6" t="s">
        <v>214</v>
      </c>
      <c r="S6">
        <f>MEDIAN(staff[Salary])</f>
        <v>75140</v>
      </c>
    </row>
    <row r="7" spans="3:19" x14ac:dyDescent="0.25">
      <c r="C7" s="7" t="s">
        <v>137</v>
      </c>
      <c r="D7" s="7" t="s">
        <v>8</v>
      </c>
      <c r="E7">
        <v>29</v>
      </c>
      <c r="F7" t="s">
        <v>16</v>
      </c>
      <c r="G7" s="8">
        <v>43962</v>
      </c>
      <c r="H7" s="7" t="s">
        <v>12</v>
      </c>
      <c r="I7">
        <v>34980</v>
      </c>
      <c r="J7" t="s">
        <v>206</v>
      </c>
      <c r="K7" s="9">
        <f ca="1">(TODAY()-staff[[#This Row],[Date Joined]])/365</f>
        <v>3.5178082191780824</v>
      </c>
      <c r="L7" s="6">
        <f ca="1">ROUNDUP(IF(staff[tenure]&gt;2,3%,2%)*staff[Salary],0)</f>
        <v>1050</v>
      </c>
      <c r="M7" s="28">
        <f>VLOOKUP(staff[[#This Row],[Rating]],Sheet7!$C$4:$D$8,2,0)</f>
        <v>3</v>
      </c>
      <c r="N7" s="9"/>
      <c r="P7" t="s">
        <v>211</v>
      </c>
      <c r="Q7">
        <f>AVERAGE(staff[Age])</f>
        <v>30.380434782608695</v>
      </c>
      <c r="R7" t="s">
        <v>214</v>
      </c>
      <c r="S7">
        <f>MEDIAN(staff[Age])</f>
        <v>30</v>
      </c>
    </row>
    <row r="8" spans="3:19" x14ac:dyDescent="0.25">
      <c r="C8" s="7" t="s">
        <v>44</v>
      </c>
      <c r="D8" s="7" t="s">
        <v>8</v>
      </c>
      <c r="E8">
        <v>29</v>
      </c>
      <c r="F8" t="s">
        <v>16</v>
      </c>
      <c r="G8" s="8">
        <v>44023</v>
      </c>
      <c r="H8" s="7" t="s">
        <v>12</v>
      </c>
      <c r="I8">
        <v>34980</v>
      </c>
      <c r="J8" t="s">
        <v>208</v>
      </c>
      <c r="K8" s="9">
        <f ca="1">(TODAY()-staff[[#This Row],[Date Joined]])/365</f>
        <v>3.3506849315068492</v>
      </c>
      <c r="L8" s="6">
        <f ca="1">ROUNDUP(IF(staff[tenure]&gt;2,3%,2%)*staff[Salary],0)</f>
        <v>1050</v>
      </c>
      <c r="M8" s="28">
        <f>VLOOKUP(staff[[#This Row],[Rating]],Sheet7!$C$4:$D$8,2,0)</f>
        <v>3</v>
      </c>
      <c r="N8" s="9"/>
      <c r="P8" t="s">
        <v>212</v>
      </c>
      <c r="Q8">
        <f ca="1">AVERAGE(staff[tenure])</f>
        <v>2.2271143537820133</v>
      </c>
    </row>
    <row r="9" spans="3:19" x14ac:dyDescent="0.25">
      <c r="C9" s="7" t="s">
        <v>192</v>
      </c>
      <c r="D9" s="7" t="s">
        <v>15</v>
      </c>
      <c r="E9">
        <v>43</v>
      </c>
      <c r="F9" t="s">
        <v>16</v>
      </c>
      <c r="G9" s="8">
        <v>44558</v>
      </c>
      <c r="H9" s="7" t="s">
        <v>19</v>
      </c>
      <c r="I9">
        <v>36040</v>
      </c>
      <c r="J9" t="s">
        <v>206</v>
      </c>
      <c r="K9" s="9">
        <f ca="1">(TODAY()-staff[[#This Row],[Date Joined]])/365</f>
        <v>1.8849315068493151</v>
      </c>
      <c r="L9" s="6">
        <f ca="1">ROUNDUP(IF(staff[tenure]&gt;2,3%,2%)*staff[Salary],0)</f>
        <v>721</v>
      </c>
      <c r="M9" s="28">
        <f>VLOOKUP(staff[[#This Row],[Rating]],Sheet7!$C$4:$D$8,2,0)</f>
        <v>3</v>
      </c>
      <c r="N9" s="9"/>
      <c r="P9" t="s">
        <v>213</v>
      </c>
    </row>
    <row r="10" spans="3:19" x14ac:dyDescent="0.25">
      <c r="C10" s="7" t="s">
        <v>99</v>
      </c>
      <c r="D10" s="7" t="s">
        <v>15</v>
      </c>
      <c r="E10">
        <v>43</v>
      </c>
      <c r="F10" t="s">
        <v>16</v>
      </c>
      <c r="G10" s="8">
        <v>44620</v>
      </c>
      <c r="H10" s="7" t="s">
        <v>19</v>
      </c>
      <c r="I10">
        <v>36040</v>
      </c>
      <c r="J10" t="s">
        <v>208</v>
      </c>
      <c r="K10" s="9">
        <f ca="1">(TODAY()-staff[[#This Row],[Date Joined]])/365</f>
        <v>1.715068493150685</v>
      </c>
      <c r="L10" s="6">
        <f ca="1">ROUNDUP(IF(staff[tenure]&gt;2,3%,2%)*staff[Salary],0)</f>
        <v>721</v>
      </c>
      <c r="M10" s="28">
        <f>VLOOKUP(staff[[#This Row],[Rating]],Sheet7!$C$4:$D$8,2,0)</f>
        <v>3</v>
      </c>
      <c r="N10" s="9"/>
      <c r="P10" t="s">
        <v>217</v>
      </c>
      <c r="Q10">
        <f>COUNTIFS(staff[Gender],"Female")</f>
        <v>86</v>
      </c>
    </row>
    <row r="11" spans="3:19" x14ac:dyDescent="0.25">
      <c r="C11" s="7" t="s">
        <v>140</v>
      </c>
      <c r="D11" s="7" t="s">
        <v>15</v>
      </c>
      <c r="E11">
        <v>21</v>
      </c>
      <c r="F11" t="s">
        <v>16</v>
      </c>
      <c r="G11" s="8">
        <v>44042</v>
      </c>
      <c r="H11" s="7" t="s">
        <v>9</v>
      </c>
      <c r="I11">
        <v>37920</v>
      </c>
      <c r="J11" t="s">
        <v>206</v>
      </c>
      <c r="K11" s="9">
        <f ca="1">(TODAY()-staff[[#This Row],[Date Joined]])/365</f>
        <v>3.2986301369863016</v>
      </c>
      <c r="L11" s="6">
        <f ca="1">ROUNDUP(IF(staff[tenure]&gt;2,3%,2%)*staff[Salary],0)</f>
        <v>1138</v>
      </c>
      <c r="M11" s="28">
        <f>VLOOKUP(staff[[#This Row],[Rating]],Sheet7!$C$4:$D$8,2,0)</f>
        <v>3</v>
      </c>
      <c r="N11" s="9"/>
      <c r="P11" t="s">
        <v>216</v>
      </c>
      <c r="Q11" s="10">
        <f>Q10/Q5</f>
        <v>0.46739130434782611</v>
      </c>
    </row>
    <row r="12" spans="3:19" x14ac:dyDescent="0.25">
      <c r="C12" s="7" t="s">
        <v>47</v>
      </c>
      <c r="D12" s="7" t="s">
        <v>15</v>
      </c>
      <c r="E12">
        <v>21</v>
      </c>
      <c r="F12" t="s">
        <v>16</v>
      </c>
      <c r="G12" s="8">
        <v>44104</v>
      </c>
      <c r="H12" s="7" t="s">
        <v>9</v>
      </c>
      <c r="I12">
        <v>37920</v>
      </c>
      <c r="J12" t="s">
        <v>208</v>
      </c>
      <c r="K12" s="9">
        <f ca="1">(TODAY()-staff[[#This Row],[Date Joined]])/365</f>
        <v>3.128767123287671</v>
      </c>
      <c r="L12" s="6">
        <f ca="1">ROUNDUP(IF(staff[tenure]&gt;2,3%,2%)*staff[Salary],0)</f>
        <v>1138</v>
      </c>
      <c r="M12" s="28">
        <f>VLOOKUP(staff[[#This Row],[Rating]],Sheet7!$C$4:$D$8,2,0)</f>
        <v>3</v>
      </c>
      <c r="N12" s="9"/>
    </row>
    <row r="13" spans="3:19" x14ac:dyDescent="0.25">
      <c r="C13" s="7" t="s">
        <v>149</v>
      </c>
      <c r="D13" s="7" t="s">
        <v>15</v>
      </c>
      <c r="E13">
        <v>35</v>
      </c>
      <c r="F13" t="s">
        <v>16</v>
      </c>
      <c r="G13" s="8">
        <v>44666</v>
      </c>
      <c r="H13" s="7" t="s">
        <v>9</v>
      </c>
      <c r="I13">
        <v>40400</v>
      </c>
      <c r="J13" t="s">
        <v>206</v>
      </c>
      <c r="K13" s="9">
        <f ca="1">(TODAY()-staff[[#This Row],[Date Joined]])/365</f>
        <v>1.5890410958904109</v>
      </c>
      <c r="L13" s="6">
        <f ca="1">ROUNDUP(IF(staff[tenure]&gt;2,3%,2%)*staff[Salary],0)</f>
        <v>808</v>
      </c>
      <c r="M13" s="28">
        <f>VLOOKUP(staff[[#This Row],[Rating]],Sheet7!$C$4:$D$8,2,0)</f>
        <v>3</v>
      </c>
      <c r="N13" s="9"/>
    </row>
    <row r="14" spans="3:19" x14ac:dyDescent="0.25">
      <c r="C14" s="7" t="s">
        <v>57</v>
      </c>
      <c r="D14" s="7" t="s">
        <v>15</v>
      </c>
      <c r="E14">
        <v>35</v>
      </c>
      <c r="F14" t="s">
        <v>16</v>
      </c>
      <c r="G14" s="8">
        <v>44727</v>
      </c>
      <c r="H14" s="7" t="s">
        <v>9</v>
      </c>
      <c r="I14">
        <v>25000</v>
      </c>
      <c r="J14" t="s">
        <v>208</v>
      </c>
      <c r="K14" s="9">
        <f ca="1">(TODAY()-staff[[#This Row],[Date Joined]])/365</f>
        <v>1.4219178082191781</v>
      </c>
      <c r="L14" s="6">
        <f ca="1">ROUNDUP(IF(staff[tenure]&gt;2,3%,2%)*staff[Salary],0)</f>
        <v>500</v>
      </c>
      <c r="M14" s="28">
        <f>VLOOKUP(staff[[#This Row],[Rating]],Sheet7!$C$4:$D$8,2,0)</f>
        <v>3</v>
      </c>
      <c r="N14" s="9"/>
    </row>
    <row r="15" spans="3:19" x14ac:dyDescent="0.25">
      <c r="C15" s="7" t="s">
        <v>158</v>
      </c>
      <c r="D15" s="7" t="s">
        <v>8</v>
      </c>
      <c r="E15">
        <v>32</v>
      </c>
      <c r="F15" t="s">
        <v>16</v>
      </c>
      <c r="G15" s="8">
        <v>44549</v>
      </c>
      <c r="H15" s="7" t="s">
        <v>9</v>
      </c>
      <c r="I15">
        <v>19000</v>
      </c>
      <c r="J15" t="s">
        <v>206</v>
      </c>
      <c r="K15" s="9">
        <f ca="1">(TODAY()-staff[[#This Row],[Date Joined]])/365</f>
        <v>1.9095890410958904</v>
      </c>
      <c r="L15" s="6">
        <f ca="1">ROUNDUP(IF(staff[tenure]&gt;2,3%,2%)*staff[Salary],0)</f>
        <v>380</v>
      </c>
      <c r="M15" s="28">
        <f>VLOOKUP(staff[[#This Row],[Rating]],Sheet7!$C$4:$D$8,2,0)</f>
        <v>3</v>
      </c>
      <c r="N15" s="9"/>
      <c r="O15" s="11">
        <v>2</v>
      </c>
    </row>
    <row r="16" spans="3:19" x14ac:dyDescent="0.25">
      <c r="C16" s="7" t="s">
        <v>66</v>
      </c>
      <c r="D16" s="7" t="s">
        <v>8</v>
      </c>
      <c r="E16">
        <v>32</v>
      </c>
      <c r="F16" t="s">
        <v>16</v>
      </c>
      <c r="G16" s="8">
        <v>44611</v>
      </c>
      <c r="H16" s="7" t="s">
        <v>9</v>
      </c>
      <c r="I16">
        <v>41570</v>
      </c>
      <c r="J16" t="s">
        <v>208</v>
      </c>
      <c r="K16" s="9">
        <f ca="1">(TODAY()-staff[[#This Row],[Date Joined]])/365</f>
        <v>1.7397260273972603</v>
      </c>
      <c r="L16" s="6">
        <f ca="1">ROUNDUP(IF(staff[tenure]&gt;2,3%,2%)*staff[Salary],0)</f>
        <v>832</v>
      </c>
      <c r="M16" s="28">
        <f>VLOOKUP(staff[[#This Row],[Rating]],Sheet7!$C$4:$D$8,2,0)</f>
        <v>3</v>
      </c>
      <c r="N16" s="9"/>
      <c r="P16" s="11" t="s">
        <v>7</v>
      </c>
    </row>
    <row r="17" spans="3:16" x14ac:dyDescent="0.25">
      <c r="C17" s="7" t="s">
        <v>124</v>
      </c>
      <c r="D17" s="7" t="s">
        <v>8</v>
      </c>
      <c r="E17">
        <v>31</v>
      </c>
      <c r="F17" t="s">
        <v>16</v>
      </c>
      <c r="G17" s="8">
        <v>44084</v>
      </c>
      <c r="H17" s="7" t="s">
        <v>12</v>
      </c>
      <c r="I17">
        <v>41980</v>
      </c>
      <c r="J17" t="s">
        <v>206</v>
      </c>
      <c r="K17" s="9">
        <f ca="1">(TODAY()-staff[[#This Row],[Date Joined]])/365</f>
        <v>3.1835616438356165</v>
      </c>
      <c r="L17" s="6">
        <f ca="1">ROUNDUP(IF(staff[tenure]&gt;2,3%,2%)*staff[Salary],0)</f>
        <v>1260</v>
      </c>
      <c r="M17" s="28">
        <f>VLOOKUP(staff[[#This Row],[Rating]],Sheet7!$C$4:$D$8,2,0)</f>
        <v>3</v>
      </c>
      <c r="N17" s="9"/>
    </row>
    <row r="18" spans="3:16" x14ac:dyDescent="0.25">
      <c r="C18" s="7" t="s">
        <v>30</v>
      </c>
      <c r="D18" s="7" t="s">
        <v>8</v>
      </c>
      <c r="E18">
        <v>31</v>
      </c>
      <c r="F18" t="s">
        <v>16</v>
      </c>
      <c r="G18" s="8">
        <v>44145</v>
      </c>
      <c r="H18" s="7" t="s">
        <v>12</v>
      </c>
      <c r="I18">
        <v>41980</v>
      </c>
      <c r="J18" t="s">
        <v>208</v>
      </c>
      <c r="K18" s="9">
        <f ca="1">(TODAY()-staff[[#This Row],[Date Joined]])/365</f>
        <v>3.0164383561643837</v>
      </c>
      <c r="L18" s="6">
        <f ca="1">ROUNDUP(IF(staff[tenure]&gt;2,3%,2%)*staff[Salary],0)</f>
        <v>1260</v>
      </c>
      <c r="M18" s="28">
        <f>VLOOKUP(staff[[#This Row],[Rating]],Sheet7!$C$4:$D$8,2,0)</f>
        <v>3</v>
      </c>
      <c r="N18" s="9"/>
      <c r="P18">
        <f>VLOOKUP(P16,staff[],7,0)</f>
        <v>75000</v>
      </c>
    </row>
    <row r="19" spans="3:16" x14ac:dyDescent="0.25">
      <c r="C19" s="7" t="s">
        <v>172</v>
      </c>
      <c r="D19" s="7" t="s">
        <v>15</v>
      </c>
      <c r="E19">
        <v>28</v>
      </c>
      <c r="F19" t="s">
        <v>42</v>
      </c>
      <c r="G19" s="8">
        <v>44758</v>
      </c>
      <c r="H19" s="7" t="s">
        <v>19</v>
      </c>
      <c r="I19">
        <v>43510</v>
      </c>
      <c r="J19" t="s">
        <v>206</v>
      </c>
      <c r="K19" s="9">
        <f ca="1">(TODAY()-staff[[#This Row],[Date Joined]])/365</f>
        <v>1.3369863013698631</v>
      </c>
      <c r="L19" s="6">
        <f ca="1">ROUNDUP(IF(staff[tenure]&gt;2,3%,2%)*staff[Salary],0)</f>
        <v>871</v>
      </c>
      <c r="M19" s="28">
        <f>VLOOKUP(staff[[#This Row],[Rating]],Sheet7!$C$4:$D$8,2,0)</f>
        <v>1</v>
      </c>
      <c r="N19" s="9"/>
    </row>
    <row r="20" spans="3:16" x14ac:dyDescent="0.25">
      <c r="C20" s="7" t="s">
        <v>80</v>
      </c>
      <c r="D20" s="7" t="s">
        <v>15</v>
      </c>
      <c r="E20">
        <v>28</v>
      </c>
      <c r="F20" t="s">
        <v>42</v>
      </c>
      <c r="G20" s="8">
        <v>44820</v>
      </c>
      <c r="H20" s="7" t="s">
        <v>19</v>
      </c>
      <c r="I20">
        <v>43510</v>
      </c>
      <c r="J20" t="s">
        <v>208</v>
      </c>
      <c r="K20" s="9">
        <f ca="1">(TODAY()-staff[[#This Row],[Date Joined]])/365</f>
        <v>1.167123287671233</v>
      </c>
      <c r="L20" s="6">
        <f ca="1">ROUNDUP(IF(staff[tenure]&gt;2,3%,2%)*staff[Salary],0)</f>
        <v>871</v>
      </c>
      <c r="M20" s="28">
        <f>VLOOKUP(staff[[#This Row],[Rating]],Sheet7!$C$4:$D$8,2,0)</f>
        <v>1</v>
      </c>
      <c r="N20" s="9"/>
    </row>
    <row r="21" spans="3:16" x14ac:dyDescent="0.25">
      <c r="C21" s="7" t="s">
        <v>176</v>
      </c>
      <c r="D21" s="7" t="s">
        <v>8</v>
      </c>
      <c r="E21">
        <v>32</v>
      </c>
      <c r="F21" t="s">
        <v>13</v>
      </c>
      <c r="G21" s="8">
        <v>44293</v>
      </c>
      <c r="H21" s="7" t="s">
        <v>12</v>
      </c>
      <c r="I21">
        <v>43840</v>
      </c>
      <c r="J21" t="s">
        <v>206</v>
      </c>
      <c r="K21" s="9">
        <f ca="1">(TODAY()-staff[[#This Row],[Date Joined]])/365</f>
        <v>2.6109589041095891</v>
      </c>
      <c r="L21" s="6">
        <f ca="1">ROUNDUP(IF(staff[tenure]&gt;2,3%,2%)*staff[Salary],0)</f>
        <v>1316</v>
      </c>
      <c r="M21" s="28">
        <f>VLOOKUP(staff[[#This Row],[Rating]],Sheet7!$C$4:$D$8,2,0)</f>
        <v>4</v>
      </c>
      <c r="N21" s="9"/>
    </row>
    <row r="22" spans="3:16" x14ac:dyDescent="0.25">
      <c r="C22" s="7" t="s">
        <v>84</v>
      </c>
      <c r="D22" s="7" t="s">
        <v>8</v>
      </c>
      <c r="E22">
        <v>32</v>
      </c>
      <c r="F22" t="s">
        <v>13</v>
      </c>
      <c r="G22" s="8">
        <v>44354</v>
      </c>
      <c r="H22" s="7" t="s">
        <v>12</v>
      </c>
      <c r="I22">
        <v>43840</v>
      </c>
      <c r="J22" t="s">
        <v>208</v>
      </c>
      <c r="K22" s="9">
        <f ca="1">(TODAY()-staff[[#This Row],[Date Joined]])/365</f>
        <v>2.4438356164383563</v>
      </c>
      <c r="L22" s="6">
        <f ca="1">ROUNDUP(IF(staff[tenure]&gt;2,3%,2%)*staff[Salary],0)</f>
        <v>1316</v>
      </c>
      <c r="M22" s="28">
        <f>VLOOKUP(staff[[#This Row],[Rating]],Sheet7!$C$4:$D$8,2,0)</f>
        <v>4</v>
      </c>
      <c r="N22" s="9"/>
    </row>
    <row r="23" spans="3:16" x14ac:dyDescent="0.25">
      <c r="C23" s="7" t="s">
        <v>201</v>
      </c>
      <c r="D23" s="7" t="s">
        <v>8</v>
      </c>
      <c r="E23">
        <v>32</v>
      </c>
      <c r="F23" t="s">
        <v>16</v>
      </c>
      <c r="G23" s="8">
        <v>44339</v>
      </c>
      <c r="H23" s="7" t="s">
        <v>56</v>
      </c>
      <c r="I23">
        <v>45510</v>
      </c>
      <c r="J23" t="s">
        <v>206</v>
      </c>
      <c r="K23" s="9">
        <f ca="1">(TODAY()-staff[[#This Row],[Date Joined]])/365</f>
        <v>2.484931506849315</v>
      </c>
      <c r="L23" s="6">
        <f ca="1">ROUNDUP(IF(staff[tenure]&gt;2,3%,2%)*staff[Salary],0)</f>
        <v>1366</v>
      </c>
      <c r="M23" s="28">
        <f>VLOOKUP(staff[[#This Row],[Rating]],Sheet7!$C$4:$D$8,2,0)</f>
        <v>3</v>
      </c>
      <c r="N23" s="9"/>
    </row>
    <row r="24" spans="3:16" x14ac:dyDescent="0.25">
      <c r="C24" s="7" t="s">
        <v>108</v>
      </c>
      <c r="D24" s="7" t="s">
        <v>8</v>
      </c>
      <c r="E24">
        <v>32</v>
      </c>
      <c r="F24" t="s">
        <v>16</v>
      </c>
      <c r="G24" s="8">
        <v>44400</v>
      </c>
      <c r="H24" s="7" t="s">
        <v>56</v>
      </c>
      <c r="I24">
        <v>45510</v>
      </c>
      <c r="J24" t="s">
        <v>208</v>
      </c>
      <c r="K24" s="9">
        <f ca="1">(TODAY()-staff[[#This Row],[Date Joined]])/365</f>
        <v>2.3178082191780822</v>
      </c>
      <c r="L24" s="6">
        <f ca="1">ROUNDUP(IF(staff[tenure]&gt;2,3%,2%)*staff[Salary],0)</f>
        <v>1366</v>
      </c>
      <c r="M24" s="28">
        <f>VLOOKUP(staff[[#This Row],[Rating]],Sheet7!$C$4:$D$8,2,0)</f>
        <v>3</v>
      </c>
      <c r="N24" s="9"/>
    </row>
    <row r="25" spans="3:16" x14ac:dyDescent="0.25">
      <c r="C25" s="7" t="s">
        <v>151</v>
      </c>
      <c r="D25" s="7" t="s">
        <v>15</v>
      </c>
      <c r="E25">
        <v>26</v>
      </c>
      <c r="F25" t="s">
        <v>16</v>
      </c>
      <c r="G25" s="8">
        <v>44164</v>
      </c>
      <c r="H25" s="7" t="s">
        <v>9</v>
      </c>
      <c r="I25">
        <v>47360</v>
      </c>
      <c r="J25" t="s">
        <v>206</v>
      </c>
      <c r="K25" s="9">
        <f ca="1">(TODAY()-staff[[#This Row],[Date Joined]])/365</f>
        <v>2.9643835616438357</v>
      </c>
      <c r="L25" s="6">
        <f ca="1">ROUNDUP(IF(staff[tenure]&gt;2,3%,2%)*staff[Salary],0)</f>
        <v>1421</v>
      </c>
      <c r="M25" s="28">
        <f>VLOOKUP(staff[[#This Row],[Rating]],Sheet7!$C$4:$D$8,2,0)</f>
        <v>3</v>
      </c>
      <c r="N25" s="9"/>
    </row>
    <row r="26" spans="3:16" x14ac:dyDescent="0.25">
      <c r="C26" s="7" t="s">
        <v>59</v>
      </c>
      <c r="D26" s="7" t="s">
        <v>15</v>
      </c>
      <c r="E26">
        <v>26</v>
      </c>
      <c r="F26" t="s">
        <v>16</v>
      </c>
      <c r="G26" s="8">
        <v>44225</v>
      </c>
      <c r="H26" s="7" t="s">
        <v>9</v>
      </c>
      <c r="I26">
        <v>47360</v>
      </c>
      <c r="J26" t="s">
        <v>208</v>
      </c>
      <c r="K26" s="9">
        <f ca="1">(TODAY()-staff[[#This Row],[Date Joined]])/365</f>
        <v>2.7972602739726029</v>
      </c>
      <c r="L26" s="6">
        <f ca="1">ROUNDUP(IF(staff[tenure]&gt;2,3%,2%)*staff[Salary],0)</f>
        <v>1421</v>
      </c>
      <c r="M26" s="28">
        <f>VLOOKUP(staff[[#This Row],[Rating]],Sheet7!$C$4:$D$8,2,0)</f>
        <v>3</v>
      </c>
      <c r="N26" s="9"/>
    </row>
    <row r="27" spans="3:16" x14ac:dyDescent="0.25">
      <c r="C27" s="7" t="s">
        <v>123</v>
      </c>
      <c r="D27" s="7" t="s">
        <v>15</v>
      </c>
      <c r="E27">
        <v>28</v>
      </c>
      <c r="F27" t="s">
        <v>13</v>
      </c>
      <c r="G27" s="8">
        <v>43980</v>
      </c>
      <c r="H27" s="7" t="s">
        <v>21</v>
      </c>
      <c r="I27">
        <v>48170</v>
      </c>
      <c r="J27" t="s">
        <v>206</v>
      </c>
      <c r="K27" s="9">
        <f ca="1">(TODAY()-staff[[#This Row],[Date Joined]])/365</f>
        <v>3.4684931506849317</v>
      </c>
      <c r="L27" s="6">
        <f ca="1">ROUNDUP(IF(staff[tenure]&gt;2,3%,2%)*staff[Salary],0)</f>
        <v>1446</v>
      </c>
      <c r="M27" s="28">
        <f>VLOOKUP(staff[[#This Row],[Rating]],Sheet7!$C$4:$D$8,2,0)</f>
        <v>4</v>
      </c>
      <c r="N27" s="9"/>
    </row>
    <row r="28" spans="3:16" x14ac:dyDescent="0.25">
      <c r="C28" s="7" t="s">
        <v>29</v>
      </c>
      <c r="D28" s="7" t="s">
        <v>15</v>
      </c>
      <c r="E28">
        <v>28</v>
      </c>
      <c r="F28" t="s">
        <v>13</v>
      </c>
      <c r="G28" s="8">
        <v>44041</v>
      </c>
      <c r="H28" s="7" t="s">
        <v>21</v>
      </c>
      <c r="I28">
        <v>48170</v>
      </c>
      <c r="J28" t="s">
        <v>208</v>
      </c>
      <c r="K28" s="9">
        <f ca="1">(TODAY()-staff[[#This Row],[Date Joined]])/365</f>
        <v>3.3013698630136985</v>
      </c>
      <c r="L28" s="6">
        <f ca="1">ROUNDUP(IF(staff[tenure]&gt;2,3%,2%)*staff[Salary],0)</f>
        <v>1446</v>
      </c>
      <c r="M28" s="28">
        <f>VLOOKUP(staff[[#This Row],[Rating]],Sheet7!$C$4:$D$8,2,0)</f>
        <v>4</v>
      </c>
      <c r="N28" s="9"/>
    </row>
    <row r="29" spans="3:16" x14ac:dyDescent="0.25">
      <c r="C29" s="7" t="s">
        <v>144</v>
      </c>
      <c r="D29" s="7" t="s">
        <v>15</v>
      </c>
      <c r="E29">
        <v>33</v>
      </c>
      <c r="F29" t="s">
        <v>13</v>
      </c>
      <c r="G29" s="8">
        <v>44640</v>
      </c>
      <c r="H29" s="7" t="s">
        <v>9</v>
      </c>
      <c r="I29">
        <v>48530</v>
      </c>
      <c r="J29" t="s">
        <v>206</v>
      </c>
      <c r="K29" s="9">
        <f ca="1">(TODAY()-staff[[#This Row],[Date Joined]])/365</f>
        <v>1.6602739726027398</v>
      </c>
      <c r="L29" s="6">
        <f ca="1">ROUNDUP(IF(staff[tenure]&gt;2,3%,2%)*staff[Salary],0)</f>
        <v>971</v>
      </c>
      <c r="M29" s="28">
        <f>VLOOKUP(staff[[#This Row],[Rating]],Sheet7!$C$4:$D$8,2,0)</f>
        <v>4</v>
      </c>
      <c r="N29" s="9"/>
    </row>
    <row r="30" spans="3:16" x14ac:dyDescent="0.25">
      <c r="C30" s="7" t="s">
        <v>51</v>
      </c>
      <c r="D30" s="7" t="s">
        <v>15</v>
      </c>
      <c r="E30">
        <v>33</v>
      </c>
      <c r="F30" t="s">
        <v>13</v>
      </c>
      <c r="G30" s="8">
        <v>44701</v>
      </c>
      <c r="H30" s="7" t="s">
        <v>9</v>
      </c>
      <c r="I30">
        <v>48530</v>
      </c>
      <c r="J30" t="s">
        <v>208</v>
      </c>
      <c r="K30" s="9">
        <f ca="1">(TODAY()-staff[[#This Row],[Date Joined]])/365</f>
        <v>1.4931506849315068</v>
      </c>
      <c r="L30" s="6">
        <f ca="1">ROUNDUP(IF(staff[tenure]&gt;2,3%,2%)*staff[Salary],0)</f>
        <v>971</v>
      </c>
      <c r="M30" s="28">
        <f>VLOOKUP(staff[[#This Row],[Rating]],Sheet7!$C$4:$D$8,2,0)</f>
        <v>4</v>
      </c>
      <c r="N30" s="9"/>
    </row>
    <row r="31" spans="3:16" x14ac:dyDescent="0.25">
      <c r="C31" s="7" t="s">
        <v>113</v>
      </c>
      <c r="D31" s="7" t="s">
        <v>15</v>
      </c>
      <c r="E31">
        <v>31</v>
      </c>
      <c r="F31" t="s">
        <v>16</v>
      </c>
      <c r="G31" s="8">
        <v>44450</v>
      </c>
      <c r="H31" s="7" t="s">
        <v>12</v>
      </c>
      <c r="I31">
        <v>48950</v>
      </c>
      <c r="J31" t="s">
        <v>206</v>
      </c>
      <c r="K31" s="9">
        <f ca="1">(TODAY()-staff[[#This Row],[Date Joined]])/365</f>
        <v>2.1808219178082191</v>
      </c>
      <c r="L31" s="6">
        <f ca="1">ROUNDUP(IF(staff[tenure]&gt;2,3%,2%)*staff[Salary],0)</f>
        <v>1469</v>
      </c>
      <c r="M31" s="28">
        <f>VLOOKUP(staff[[#This Row],[Rating]],Sheet7!$C$4:$D$8,2,0)</f>
        <v>3</v>
      </c>
      <c r="N31" s="9"/>
    </row>
    <row r="32" spans="3:16" x14ac:dyDescent="0.25">
      <c r="C32" s="7" t="s">
        <v>14</v>
      </c>
      <c r="D32" s="7" t="s">
        <v>15</v>
      </c>
      <c r="E32">
        <v>31</v>
      </c>
      <c r="F32" t="s">
        <v>16</v>
      </c>
      <c r="G32" s="8">
        <v>44511</v>
      </c>
      <c r="H32" s="7" t="s">
        <v>12</v>
      </c>
      <c r="I32">
        <v>48950</v>
      </c>
      <c r="J32" t="s">
        <v>208</v>
      </c>
      <c r="K32" s="9">
        <f ca="1">(TODAY()-staff[[#This Row],[Date Joined]])/365</f>
        <v>2.0136986301369864</v>
      </c>
      <c r="L32" s="6">
        <f ca="1">ROUNDUP(IF(staff[tenure]&gt;2,3%,2%)*staff[Salary],0)</f>
        <v>1469</v>
      </c>
      <c r="M32" s="28">
        <f>VLOOKUP(staff[[#This Row],[Rating]],Sheet7!$C$4:$D$8,2,0)</f>
        <v>3</v>
      </c>
      <c r="N32" s="9"/>
    </row>
    <row r="33" spans="3:14" x14ac:dyDescent="0.25">
      <c r="C33" s="7" t="s">
        <v>146</v>
      </c>
      <c r="D33" s="7" t="s">
        <v>15</v>
      </c>
      <c r="E33">
        <v>27</v>
      </c>
      <c r="F33" t="s">
        <v>16</v>
      </c>
      <c r="G33" s="8">
        <v>44506</v>
      </c>
      <c r="H33" s="7" t="s">
        <v>21</v>
      </c>
      <c r="I33">
        <v>48980</v>
      </c>
      <c r="J33" t="s">
        <v>206</v>
      </c>
      <c r="K33" s="9">
        <f ca="1">(TODAY()-staff[[#This Row],[Date Joined]])/365</f>
        <v>2.0273972602739727</v>
      </c>
      <c r="L33" s="6">
        <f ca="1">ROUNDUP(IF(staff[tenure]&gt;2,3%,2%)*staff[Salary],0)</f>
        <v>1470</v>
      </c>
      <c r="M33" s="28">
        <f>VLOOKUP(staff[[#This Row],[Rating]],Sheet7!$C$4:$D$8,2,0)</f>
        <v>3</v>
      </c>
      <c r="N33" s="9"/>
    </row>
    <row r="34" spans="3:14" x14ac:dyDescent="0.25">
      <c r="C34" s="7" t="s">
        <v>53</v>
      </c>
      <c r="D34" s="7" t="s">
        <v>15</v>
      </c>
      <c r="E34">
        <v>27</v>
      </c>
      <c r="F34" t="s">
        <v>16</v>
      </c>
      <c r="G34" s="8">
        <v>44567</v>
      </c>
      <c r="H34" s="7" t="s">
        <v>21</v>
      </c>
      <c r="I34">
        <v>48980</v>
      </c>
      <c r="J34" t="s">
        <v>208</v>
      </c>
      <c r="K34" s="9">
        <f ca="1">(TODAY()-staff[[#This Row],[Date Joined]])/365</f>
        <v>1.8602739726027397</v>
      </c>
      <c r="L34" s="6">
        <f ca="1">ROUNDUP(IF(staff[tenure]&gt;2,3%,2%)*staff[Salary],0)</f>
        <v>980</v>
      </c>
      <c r="M34" s="28">
        <f>VLOOKUP(staff[[#This Row],[Rating]],Sheet7!$C$4:$D$8,2,0)</f>
        <v>3</v>
      </c>
      <c r="N34" s="9"/>
    </row>
    <row r="35" spans="3:14" x14ac:dyDescent="0.25">
      <c r="C35" s="7" t="s">
        <v>165</v>
      </c>
      <c r="D35" s="7" t="s">
        <v>8</v>
      </c>
      <c r="E35">
        <v>34</v>
      </c>
      <c r="F35" t="s">
        <v>24</v>
      </c>
      <c r="G35" s="8">
        <v>44660</v>
      </c>
      <c r="H35" s="7" t="s">
        <v>19</v>
      </c>
      <c r="I35">
        <v>49630</v>
      </c>
      <c r="J35" t="s">
        <v>206</v>
      </c>
      <c r="K35" s="9">
        <f ca="1">(TODAY()-staff[[#This Row],[Date Joined]])/365</f>
        <v>1.6054794520547946</v>
      </c>
      <c r="L35" s="6">
        <f ca="1">ROUNDUP(IF(staff[tenure]&gt;2,3%,2%)*staff[Salary],0)</f>
        <v>993</v>
      </c>
      <c r="M35" s="28">
        <f>VLOOKUP(staff[[#This Row],[Rating]],Sheet7!$C$4:$D$8,2,0)</f>
        <v>2</v>
      </c>
      <c r="N35" s="9"/>
    </row>
    <row r="36" spans="3:14" x14ac:dyDescent="0.25">
      <c r="C36" s="7" t="s">
        <v>73</v>
      </c>
      <c r="D36" s="7" t="s">
        <v>8</v>
      </c>
      <c r="E36">
        <v>34</v>
      </c>
      <c r="F36" t="s">
        <v>24</v>
      </c>
      <c r="G36" s="8">
        <v>44721</v>
      </c>
      <c r="H36" s="7" t="s">
        <v>19</v>
      </c>
      <c r="I36">
        <v>49630</v>
      </c>
      <c r="J36" t="s">
        <v>208</v>
      </c>
      <c r="K36" s="9">
        <f ca="1">(TODAY()-staff[[#This Row],[Date Joined]])/365</f>
        <v>1.4383561643835616</v>
      </c>
      <c r="L36" s="6">
        <f ca="1">ROUNDUP(IF(staff[tenure]&gt;2,3%,2%)*staff[Salary],0)</f>
        <v>993</v>
      </c>
      <c r="M36" s="28">
        <f>VLOOKUP(staff[[#This Row],[Rating]],Sheet7!$C$4:$D$8,2,0)</f>
        <v>2</v>
      </c>
      <c r="N36" s="9"/>
    </row>
    <row r="37" spans="3:14" x14ac:dyDescent="0.25">
      <c r="C37" s="7" t="s">
        <v>155</v>
      </c>
      <c r="D37" s="7" t="s">
        <v>15</v>
      </c>
      <c r="E37">
        <v>24</v>
      </c>
      <c r="F37" t="s">
        <v>24</v>
      </c>
      <c r="G37" s="8">
        <v>44375</v>
      </c>
      <c r="H37" s="7" t="s">
        <v>21</v>
      </c>
      <c r="I37">
        <v>52610</v>
      </c>
      <c r="J37" t="s">
        <v>206</v>
      </c>
      <c r="K37" s="9">
        <f ca="1">(TODAY()-staff[[#This Row],[Date Joined]])/365</f>
        <v>2.3863013698630136</v>
      </c>
      <c r="L37" s="6">
        <f ca="1">ROUNDUP(IF(staff[tenure]&gt;2,3%,2%)*staff[Salary],0)</f>
        <v>1579</v>
      </c>
      <c r="M37" s="28">
        <f>VLOOKUP(staff[[#This Row],[Rating]],Sheet7!$C$4:$D$8,2,0)</f>
        <v>2</v>
      </c>
      <c r="N37" s="9"/>
    </row>
    <row r="38" spans="3:14" x14ac:dyDescent="0.25">
      <c r="C38" s="7" t="s">
        <v>63</v>
      </c>
      <c r="D38" s="7" t="s">
        <v>15</v>
      </c>
      <c r="E38">
        <v>24</v>
      </c>
      <c r="F38" t="s">
        <v>24</v>
      </c>
      <c r="G38" s="8">
        <v>44436</v>
      </c>
      <c r="H38" s="7" t="s">
        <v>21</v>
      </c>
      <c r="I38">
        <v>52610</v>
      </c>
      <c r="J38" t="s">
        <v>208</v>
      </c>
      <c r="K38" s="9">
        <f ca="1">(TODAY()-staff[[#This Row],[Date Joined]])/365</f>
        <v>2.2191780821917808</v>
      </c>
      <c r="L38" s="6">
        <f ca="1">ROUNDUP(IF(staff[tenure]&gt;2,3%,2%)*staff[Salary],0)</f>
        <v>1579</v>
      </c>
      <c r="M38" s="28">
        <f>VLOOKUP(staff[[#This Row],[Rating]],Sheet7!$C$4:$D$8,2,0)</f>
        <v>2</v>
      </c>
      <c r="N38" s="9"/>
    </row>
    <row r="39" spans="3:14" x14ac:dyDescent="0.25">
      <c r="C39" s="7" t="s">
        <v>167</v>
      </c>
      <c r="D39" s="7" t="s">
        <v>8</v>
      </c>
      <c r="E39">
        <v>28</v>
      </c>
      <c r="F39" t="s">
        <v>16</v>
      </c>
      <c r="G39" s="8">
        <v>44296</v>
      </c>
      <c r="H39" s="7" t="s">
        <v>19</v>
      </c>
      <c r="I39">
        <v>53240</v>
      </c>
      <c r="J39" t="s">
        <v>206</v>
      </c>
      <c r="K39" s="9">
        <f ca="1">(TODAY()-staff[[#This Row],[Date Joined]])/365</f>
        <v>2.6027397260273974</v>
      </c>
      <c r="L39" s="6">
        <f ca="1">ROUNDUP(IF(staff[tenure]&gt;2,3%,2%)*staff[Salary],0)</f>
        <v>1598</v>
      </c>
      <c r="M39" s="28">
        <f>VLOOKUP(staff[[#This Row],[Rating]],Sheet7!$C$4:$D$8,2,0)</f>
        <v>3</v>
      </c>
      <c r="N39" s="9"/>
    </row>
    <row r="40" spans="3:14" x14ac:dyDescent="0.25">
      <c r="C40" s="7" t="s">
        <v>75</v>
      </c>
      <c r="D40" s="7" t="s">
        <v>8</v>
      </c>
      <c r="E40">
        <v>28</v>
      </c>
      <c r="F40" t="s">
        <v>16</v>
      </c>
      <c r="G40" s="8">
        <v>44357</v>
      </c>
      <c r="H40" s="7" t="s">
        <v>19</v>
      </c>
      <c r="I40">
        <v>53240</v>
      </c>
      <c r="J40" t="s">
        <v>208</v>
      </c>
      <c r="K40" s="9">
        <f ca="1">(TODAY()-staff[[#This Row],[Date Joined]])/365</f>
        <v>2.4356164383561643</v>
      </c>
      <c r="L40" s="6">
        <f ca="1">ROUNDUP(IF(staff[tenure]&gt;2,3%,2%)*staff[Salary],0)</f>
        <v>1598</v>
      </c>
      <c r="M40" s="28">
        <f>VLOOKUP(staff[[#This Row],[Rating]],Sheet7!$C$4:$D$8,2,0)</f>
        <v>3</v>
      </c>
      <c r="N40" s="9"/>
    </row>
    <row r="41" spans="3:14" x14ac:dyDescent="0.25">
      <c r="C41" s="7" t="s">
        <v>157</v>
      </c>
      <c r="D41" s="7" t="s">
        <v>15</v>
      </c>
      <c r="E41">
        <v>32</v>
      </c>
      <c r="F41" t="s">
        <v>16</v>
      </c>
      <c r="G41" s="8">
        <v>44403</v>
      </c>
      <c r="H41" s="7" t="s">
        <v>19</v>
      </c>
      <c r="I41">
        <v>53540</v>
      </c>
      <c r="J41" t="s">
        <v>206</v>
      </c>
      <c r="K41" s="9">
        <f ca="1">(TODAY()-staff[[#This Row],[Date Joined]])/365</f>
        <v>2.3095890410958906</v>
      </c>
      <c r="L41" s="6">
        <f ca="1">ROUNDUP(IF(staff[tenure]&gt;2,3%,2%)*staff[Salary],0)</f>
        <v>1607</v>
      </c>
      <c r="M41" s="28">
        <f>VLOOKUP(staff[[#This Row],[Rating]],Sheet7!$C$4:$D$8,2,0)</f>
        <v>3</v>
      </c>
      <c r="N41" s="9"/>
    </row>
    <row r="42" spans="3:14" x14ac:dyDescent="0.25">
      <c r="C42" s="7" t="s">
        <v>139</v>
      </c>
      <c r="D42" s="7" t="s">
        <v>15</v>
      </c>
      <c r="E42">
        <v>26</v>
      </c>
      <c r="F42" t="s">
        <v>16</v>
      </c>
      <c r="G42" s="8">
        <v>44350</v>
      </c>
      <c r="H42" s="7" t="s">
        <v>9</v>
      </c>
      <c r="I42">
        <v>53540</v>
      </c>
      <c r="J42" t="s">
        <v>206</v>
      </c>
      <c r="K42" s="9">
        <f ca="1">(TODAY()-staff[[#This Row],[Date Joined]])/365</f>
        <v>2.4547945205479453</v>
      </c>
      <c r="L42" s="6">
        <f ca="1">ROUNDUP(IF(staff[tenure]&gt;2,3%,2%)*staff[Salary],0)</f>
        <v>1607</v>
      </c>
      <c r="M42" s="28">
        <f>VLOOKUP(staff[[#This Row],[Rating]],Sheet7!$C$4:$D$8,2,0)</f>
        <v>3</v>
      </c>
      <c r="N42" s="9"/>
    </row>
    <row r="43" spans="3:14" x14ac:dyDescent="0.25">
      <c r="C43" s="7" t="s">
        <v>65</v>
      </c>
      <c r="D43" s="7" t="s">
        <v>15</v>
      </c>
      <c r="E43">
        <v>32</v>
      </c>
      <c r="F43" t="s">
        <v>16</v>
      </c>
      <c r="G43" s="8">
        <v>44465</v>
      </c>
      <c r="H43" s="7" t="s">
        <v>19</v>
      </c>
      <c r="I43">
        <v>53540</v>
      </c>
      <c r="J43" t="s">
        <v>208</v>
      </c>
      <c r="K43" s="9">
        <f ca="1">(TODAY()-staff[[#This Row],[Date Joined]])/365</f>
        <v>2.1397260273972605</v>
      </c>
      <c r="L43" s="6">
        <f ca="1">ROUNDUP(IF(staff[tenure]&gt;2,3%,2%)*staff[Salary],0)</f>
        <v>1607</v>
      </c>
      <c r="M43" s="28">
        <f>VLOOKUP(staff[[#This Row],[Rating]],Sheet7!$C$4:$D$8,2,0)</f>
        <v>3</v>
      </c>
      <c r="N43" s="9"/>
    </row>
    <row r="44" spans="3:14" x14ac:dyDescent="0.25">
      <c r="C44" s="7" t="s">
        <v>46</v>
      </c>
      <c r="D44" s="7" t="s">
        <v>15</v>
      </c>
      <c r="E44">
        <v>26</v>
      </c>
      <c r="F44" t="s">
        <v>16</v>
      </c>
      <c r="G44" s="8">
        <v>44411</v>
      </c>
      <c r="H44" s="7" t="s">
        <v>9</v>
      </c>
      <c r="I44">
        <v>53540</v>
      </c>
      <c r="J44" t="s">
        <v>208</v>
      </c>
      <c r="K44" s="9">
        <f ca="1">(TODAY()-staff[[#This Row],[Date Joined]])/365</f>
        <v>2.2876712328767121</v>
      </c>
      <c r="L44" s="6">
        <f ca="1">ROUNDUP(IF(staff[tenure]&gt;2,3%,2%)*staff[Salary],0)</f>
        <v>1607</v>
      </c>
      <c r="M44" s="28">
        <f>VLOOKUP(staff[[#This Row],[Rating]],Sheet7!$C$4:$D$8,2,0)</f>
        <v>3</v>
      </c>
      <c r="N44" s="9"/>
    </row>
    <row r="45" spans="3:14" x14ac:dyDescent="0.25">
      <c r="C45" s="7" t="s">
        <v>174</v>
      </c>
      <c r="D45" s="7" t="s">
        <v>15</v>
      </c>
      <c r="E45">
        <v>33</v>
      </c>
      <c r="F45" t="s">
        <v>16</v>
      </c>
      <c r="G45" s="8">
        <v>44448</v>
      </c>
      <c r="H45" s="7" t="s">
        <v>12</v>
      </c>
      <c r="I45">
        <v>53870</v>
      </c>
      <c r="J45" t="s">
        <v>206</v>
      </c>
      <c r="K45" s="9">
        <f ca="1">(TODAY()-staff[[#This Row],[Date Joined]])/365</f>
        <v>2.1863013698630138</v>
      </c>
      <c r="L45" s="6">
        <f ca="1">ROUNDUP(IF(staff[tenure]&gt;2,3%,2%)*staff[Salary],0)</f>
        <v>1617</v>
      </c>
      <c r="M45" s="28">
        <f>VLOOKUP(staff[[#This Row],[Rating]],Sheet7!$C$4:$D$8,2,0)</f>
        <v>3</v>
      </c>
      <c r="N45" s="9"/>
    </row>
    <row r="46" spans="3:14" x14ac:dyDescent="0.25">
      <c r="C46" s="7" t="s">
        <v>82</v>
      </c>
      <c r="D46" s="7" t="s">
        <v>15</v>
      </c>
      <c r="E46">
        <v>33</v>
      </c>
      <c r="F46" t="s">
        <v>16</v>
      </c>
      <c r="G46" s="8">
        <v>44509</v>
      </c>
      <c r="H46" s="7" t="s">
        <v>12</v>
      </c>
      <c r="I46">
        <v>53870</v>
      </c>
      <c r="J46" t="s">
        <v>208</v>
      </c>
      <c r="K46" s="9">
        <f ca="1">(TODAY()-staff[[#This Row],[Date Joined]])/365</f>
        <v>2.0191780821917806</v>
      </c>
      <c r="L46" s="6">
        <f ca="1">ROUNDUP(IF(staff[tenure]&gt;2,3%,2%)*staff[Salary],0)</f>
        <v>1617</v>
      </c>
      <c r="M46" s="28">
        <f>VLOOKUP(staff[[#This Row],[Rating]],Sheet7!$C$4:$D$8,2,0)</f>
        <v>3</v>
      </c>
      <c r="N46" s="9"/>
    </row>
    <row r="47" spans="3:14" x14ac:dyDescent="0.25">
      <c r="C47" s="7" t="s">
        <v>182</v>
      </c>
      <c r="D47" s="7" t="s">
        <v>15</v>
      </c>
      <c r="E47">
        <v>27</v>
      </c>
      <c r="F47" t="s">
        <v>16</v>
      </c>
      <c r="G47" s="8">
        <v>44073</v>
      </c>
      <c r="H47" s="7" t="s">
        <v>19</v>
      </c>
      <c r="I47">
        <v>54970</v>
      </c>
      <c r="J47" t="s">
        <v>206</v>
      </c>
      <c r="K47" s="9">
        <f ca="1">(TODAY()-staff[[#This Row],[Date Joined]])/365</f>
        <v>3.2136986301369861</v>
      </c>
      <c r="L47" s="6">
        <f ca="1">ROUNDUP(IF(staff[tenure]&gt;2,3%,2%)*staff[Salary],0)</f>
        <v>1650</v>
      </c>
      <c r="M47" s="28">
        <f>VLOOKUP(staff[[#This Row],[Rating]],Sheet7!$C$4:$D$8,2,0)</f>
        <v>3</v>
      </c>
      <c r="N47" s="9"/>
    </row>
    <row r="48" spans="3:14" x14ac:dyDescent="0.25">
      <c r="C48" s="7" t="s">
        <v>89</v>
      </c>
      <c r="D48" s="7" t="s">
        <v>15</v>
      </c>
      <c r="E48">
        <v>27</v>
      </c>
      <c r="F48" t="s">
        <v>16</v>
      </c>
      <c r="G48" s="8">
        <v>44134</v>
      </c>
      <c r="H48" s="7" t="s">
        <v>19</v>
      </c>
      <c r="I48">
        <v>54970</v>
      </c>
      <c r="J48" t="s">
        <v>208</v>
      </c>
      <c r="K48" s="9">
        <f ca="1">(TODAY()-staff[[#This Row],[Date Joined]])/365</f>
        <v>3.0465753424657533</v>
      </c>
      <c r="L48" s="6">
        <f ca="1">ROUNDUP(IF(staff[tenure]&gt;2,3%,2%)*staff[Salary],0)</f>
        <v>1650</v>
      </c>
      <c r="M48" s="28">
        <f>VLOOKUP(staff[[#This Row],[Rating]],Sheet7!$C$4:$D$8,2,0)</f>
        <v>3</v>
      </c>
      <c r="N48" s="9"/>
    </row>
    <row r="49" spans="3:14" x14ac:dyDescent="0.25">
      <c r="C49" s="7" t="s">
        <v>202</v>
      </c>
      <c r="D49" s="7" t="s">
        <v>8</v>
      </c>
      <c r="E49">
        <v>38</v>
      </c>
      <c r="F49" t="s">
        <v>13</v>
      </c>
      <c r="G49" s="8">
        <v>44268</v>
      </c>
      <c r="H49" s="7" t="s">
        <v>19</v>
      </c>
      <c r="I49">
        <v>56870</v>
      </c>
      <c r="J49" t="s">
        <v>206</v>
      </c>
      <c r="K49" s="9">
        <f ca="1">(TODAY()-staff[[#This Row],[Date Joined]])/365</f>
        <v>2.6794520547945204</v>
      </c>
      <c r="L49" s="6">
        <f ca="1">ROUNDUP(IF(staff[tenure]&gt;2,3%,2%)*staff[Salary],0)</f>
        <v>1707</v>
      </c>
      <c r="M49" s="28">
        <f>VLOOKUP(staff[[#This Row],[Rating]],Sheet7!$C$4:$D$8,2,0)</f>
        <v>4</v>
      </c>
      <c r="N49" s="9"/>
    </row>
    <row r="50" spans="3:14" x14ac:dyDescent="0.25">
      <c r="C50" s="7" t="s">
        <v>109</v>
      </c>
      <c r="D50" s="7" t="s">
        <v>8</v>
      </c>
      <c r="E50">
        <v>38</v>
      </c>
      <c r="F50" t="s">
        <v>13</v>
      </c>
      <c r="G50" s="8">
        <v>44329</v>
      </c>
      <c r="H50" s="7" t="s">
        <v>19</v>
      </c>
      <c r="I50">
        <v>56870</v>
      </c>
      <c r="J50" t="s">
        <v>208</v>
      </c>
      <c r="K50" s="9">
        <f ca="1">(TODAY()-staff[[#This Row],[Date Joined]])/365</f>
        <v>2.5123287671232877</v>
      </c>
      <c r="L50" s="6">
        <f ca="1">ROUNDUP(IF(staff[tenure]&gt;2,3%,2%)*staff[Salary],0)</f>
        <v>1707</v>
      </c>
      <c r="M50" s="28">
        <f>VLOOKUP(staff[[#This Row],[Rating]],Sheet7!$C$4:$D$8,2,0)</f>
        <v>4</v>
      </c>
      <c r="N50" s="9"/>
    </row>
    <row r="51" spans="3:14" x14ac:dyDescent="0.25">
      <c r="C51" s="7" t="s">
        <v>125</v>
      </c>
      <c r="D51" s="7" t="s">
        <v>15</v>
      </c>
      <c r="E51">
        <v>21</v>
      </c>
      <c r="F51" t="s">
        <v>16</v>
      </c>
      <c r="G51" s="8">
        <v>44701</v>
      </c>
      <c r="H51" s="7" t="s">
        <v>9</v>
      </c>
      <c r="I51">
        <v>57090</v>
      </c>
      <c r="J51" t="s">
        <v>206</v>
      </c>
      <c r="K51" s="9">
        <f ca="1">(TODAY()-staff[[#This Row],[Date Joined]])/365</f>
        <v>1.4931506849315068</v>
      </c>
      <c r="L51" s="6">
        <f ca="1">ROUNDUP(IF(staff[tenure]&gt;2,3%,2%)*staff[Salary],0)</f>
        <v>1142</v>
      </c>
      <c r="M51" s="28">
        <f>VLOOKUP(staff[[#This Row],[Rating]],Sheet7!$C$4:$D$8,2,0)</f>
        <v>3</v>
      </c>
      <c r="N51" s="9"/>
    </row>
    <row r="52" spans="3:14" x14ac:dyDescent="0.25">
      <c r="C52" s="7" t="s">
        <v>31</v>
      </c>
      <c r="D52" s="7" t="s">
        <v>15</v>
      </c>
      <c r="E52">
        <v>21</v>
      </c>
      <c r="F52" t="s">
        <v>16</v>
      </c>
      <c r="G52" s="8">
        <v>44762</v>
      </c>
      <c r="H52" s="7" t="s">
        <v>9</v>
      </c>
      <c r="I52">
        <v>57090</v>
      </c>
      <c r="J52" t="s">
        <v>208</v>
      </c>
      <c r="K52" s="9">
        <f ca="1">(TODAY()-staff[[#This Row],[Date Joined]])/365</f>
        <v>1.3260273972602741</v>
      </c>
      <c r="L52" s="6">
        <f ca="1">ROUNDUP(IF(staff[tenure]&gt;2,3%,2%)*staff[Salary],0)</f>
        <v>1142</v>
      </c>
      <c r="M52" s="28">
        <f>VLOOKUP(staff[[#This Row],[Rating]],Sheet7!$C$4:$D$8,2,0)</f>
        <v>3</v>
      </c>
      <c r="N52" s="9"/>
    </row>
    <row r="53" spans="3:14" x14ac:dyDescent="0.25">
      <c r="C53" s="7" t="s">
        <v>120</v>
      </c>
      <c r="D53" s="7" t="s">
        <v>8</v>
      </c>
      <c r="E53">
        <v>31</v>
      </c>
      <c r="F53" t="s">
        <v>16</v>
      </c>
      <c r="G53" s="8">
        <v>44604</v>
      </c>
      <c r="H53" s="7" t="s">
        <v>12</v>
      </c>
      <c r="I53">
        <v>58100</v>
      </c>
      <c r="J53" t="s">
        <v>206</v>
      </c>
      <c r="K53" s="9">
        <f ca="1">(TODAY()-staff[[#This Row],[Date Joined]])/365</f>
        <v>1.7589041095890412</v>
      </c>
      <c r="L53" s="6">
        <f ca="1">ROUNDUP(IF(staff[tenure]&gt;2,3%,2%)*staff[Salary],0)</f>
        <v>1162</v>
      </c>
      <c r="M53" s="28">
        <f>VLOOKUP(staff[[#This Row],[Rating]],Sheet7!$C$4:$D$8,2,0)</f>
        <v>3</v>
      </c>
      <c r="N53" s="9"/>
    </row>
    <row r="54" spans="3:14" x14ac:dyDescent="0.25">
      <c r="C54" s="7" t="s">
        <v>26</v>
      </c>
      <c r="D54" s="7" t="s">
        <v>8</v>
      </c>
      <c r="E54">
        <v>31</v>
      </c>
      <c r="F54" t="s">
        <v>16</v>
      </c>
      <c r="G54" s="8">
        <v>44663</v>
      </c>
      <c r="H54" s="7" t="s">
        <v>12</v>
      </c>
      <c r="I54">
        <v>58100</v>
      </c>
      <c r="J54" t="s">
        <v>208</v>
      </c>
      <c r="K54" s="9">
        <f ca="1">(TODAY()-staff[[#This Row],[Date Joined]])/365</f>
        <v>1.5972602739726027</v>
      </c>
      <c r="L54" s="6">
        <f ca="1">ROUNDUP(IF(staff[tenure]&gt;2,3%,2%)*staff[Salary],0)</f>
        <v>1162</v>
      </c>
      <c r="M54" s="28">
        <f>VLOOKUP(staff[[#This Row],[Rating]],Sheet7!$C$4:$D$8,2,0)</f>
        <v>3</v>
      </c>
      <c r="N54" s="9"/>
    </row>
    <row r="55" spans="3:14" x14ac:dyDescent="0.25">
      <c r="C55" s="7" t="s">
        <v>130</v>
      </c>
      <c r="D55" s="7" t="s">
        <v>8</v>
      </c>
      <c r="E55">
        <v>34</v>
      </c>
      <c r="F55" t="s">
        <v>16</v>
      </c>
      <c r="G55" s="8">
        <v>44594</v>
      </c>
      <c r="H55" s="7" t="s">
        <v>21</v>
      </c>
      <c r="I55">
        <v>58940</v>
      </c>
      <c r="J55" t="s">
        <v>206</v>
      </c>
      <c r="K55" s="9">
        <f ca="1">(TODAY()-staff[[#This Row],[Date Joined]])/365</f>
        <v>1.7863013698630137</v>
      </c>
      <c r="L55" s="6">
        <f ca="1">ROUNDUP(IF(staff[tenure]&gt;2,3%,2%)*staff[Salary],0)</f>
        <v>1179</v>
      </c>
      <c r="M55" s="28">
        <f>VLOOKUP(staff[[#This Row],[Rating]],Sheet7!$C$4:$D$8,2,0)</f>
        <v>3</v>
      </c>
      <c r="N55" s="9"/>
    </row>
    <row r="56" spans="3:14" x14ac:dyDescent="0.25">
      <c r="C56" s="7" t="s">
        <v>36</v>
      </c>
      <c r="D56" s="7" t="s">
        <v>8</v>
      </c>
      <c r="E56">
        <v>34</v>
      </c>
      <c r="F56" t="s">
        <v>16</v>
      </c>
      <c r="G56" s="8">
        <v>44653</v>
      </c>
      <c r="H56" s="7" t="s">
        <v>21</v>
      </c>
      <c r="I56">
        <v>58940</v>
      </c>
      <c r="J56" t="s">
        <v>208</v>
      </c>
      <c r="K56" s="9">
        <f ca="1">(TODAY()-staff[[#This Row],[Date Joined]])/365</f>
        <v>1.6246575342465754</v>
      </c>
      <c r="L56" s="6">
        <f ca="1">ROUNDUP(IF(staff[tenure]&gt;2,3%,2%)*staff[Salary],0)</f>
        <v>1179</v>
      </c>
      <c r="M56" s="28">
        <f>VLOOKUP(staff[[#This Row],[Rating]],Sheet7!$C$4:$D$8,2,0)</f>
        <v>3</v>
      </c>
      <c r="N56" s="9"/>
    </row>
    <row r="57" spans="3:14" x14ac:dyDescent="0.25">
      <c r="C57" s="7" t="s">
        <v>193</v>
      </c>
      <c r="D57" s="7" t="s">
        <v>15</v>
      </c>
      <c r="E57">
        <v>19</v>
      </c>
      <c r="F57" t="s">
        <v>16</v>
      </c>
      <c r="G57" s="8">
        <v>44218</v>
      </c>
      <c r="H57" s="7" t="s">
        <v>9</v>
      </c>
      <c r="I57">
        <v>58960</v>
      </c>
      <c r="J57" t="s">
        <v>206</v>
      </c>
      <c r="K57" s="9">
        <f ca="1">(TODAY()-staff[[#This Row],[Date Joined]])/365</f>
        <v>2.8164383561643835</v>
      </c>
      <c r="L57" s="6">
        <f ca="1">ROUNDUP(IF(staff[tenure]&gt;2,3%,2%)*staff[Salary],0)</f>
        <v>1769</v>
      </c>
      <c r="M57" s="28">
        <f>VLOOKUP(staff[[#This Row],[Rating]],Sheet7!$C$4:$D$8,2,0)</f>
        <v>3</v>
      </c>
      <c r="N57" s="9"/>
    </row>
    <row r="58" spans="3:14" x14ac:dyDescent="0.25">
      <c r="C58" s="7" t="s">
        <v>100</v>
      </c>
      <c r="D58" s="7" t="s">
        <v>15</v>
      </c>
      <c r="E58">
        <v>19</v>
      </c>
      <c r="F58" t="s">
        <v>16</v>
      </c>
      <c r="G58" s="8">
        <v>44277</v>
      </c>
      <c r="H58" s="7" t="s">
        <v>9</v>
      </c>
      <c r="I58">
        <v>58960</v>
      </c>
      <c r="J58" t="s">
        <v>208</v>
      </c>
      <c r="K58" s="9">
        <f ca="1">(TODAY()-staff[[#This Row],[Date Joined]])/365</f>
        <v>2.6547945205479451</v>
      </c>
      <c r="L58" s="6">
        <f ca="1">ROUNDUP(IF(staff[tenure]&gt;2,3%,2%)*staff[Salary],0)</f>
        <v>1769</v>
      </c>
      <c r="M58" s="28">
        <f>VLOOKUP(staff[[#This Row],[Rating]],Sheet7!$C$4:$D$8,2,0)</f>
        <v>3</v>
      </c>
      <c r="N58" s="9"/>
    </row>
    <row r="59" spans="3:14" x14ac:dyDescent="0.25">
      <c r="C59" s="7" t="s">
        <v>171</v>
      </c>
      <c r="D59" s="7" t="s">
        <v>15</v>
      </c>
      <c r="E59">
        <v>33</v>
      </c>
      <c r="F59" t="s">
        <v>16</v>
      </c>
      <c r="G59" s="8">
        <v>44181</v>
      </c>
      <c r="H59" s="7" t="s">
        <v>21</v>
      </c>
      <c r="I59">
        <v>59430</v>
      </c>
      <c r="J59" t="s">
        <v>206</v>
      </c>
      <c r="K59" s="9">
        <f ca="1">(TODAY()-staff[[#This Row],[Date Joined]])/365</f>
        <v>2.9178082191780823</v>
      </c>
      <c r="L59" s="6">
        <f ca="1">ROUNDUP(IF(staff[tenure]&gt;2,3%,2%)*staff[Salary],0)</f>
        <v>1783</v>
      </c>
      <c r="M59" s="28">
        <f>VLOOKUP(staff[[#This Row],[Rating]],Sheet7!$C$4:$D$8,2,0)</f>
        <v>3</v>
      </c>
      <c r="N59" s="9"/>
    </row>
    <row r="60" spans="3:14" x14ac:dyDescent="0.25">
      <c r="C60" s="7" t="s">
        <v>79</v>
      </c>
      <c r="D60" s="7" t="s">
        <v>15</v>
      </c>
      <c r="E60">
        <v>33</v>
      </c>
      <c r="F60" t="s">
        <v>16</v>
      </c>
      <c r="G60" s="8">
        <v>44243</v>
      </c>
      <c r="H60" s="7" t="s">
        <v>21</v>
      </c>
      <c r="I60">
        <v>59430</v>
      </c>
      <c r="J60" t="s">
        <v>208</v>
      </c>
      <c r="K60" s="9">
        <f ca="1">(TODAY()-staff[[#This Row],[Date Joined]])/365</f>
        <v>2.7479452054794522</v>
      </c>
      <c r="L60" s="6">
        <f ca="1">ROUNDUP(IF(staff[tenure]&gt;2,3%,2%)*staff[Salary],0)</f>
        <v>1783</v>
      </c>
      <c r="M60" s="28">
        <f>VLOOKUP(staff[[#This Row],[Rating]],Sheet7!$C$4:$D$8,2,0)</f>
        <v>3</v>
      </c>
      <c r="N60" s="9"/>
    </row>
    <row r="61" spans="3:14" x14ac:dyDescent="0.25">
      <c r="C61" s="7" t="s">
        <v>132</v>
      </c>
      <c r="D61" s="7" t="s">
        <v>8</v>
      </c>
      <c r="E61">
        <v>34</v>
      </c>
      <c r="F61" t="s">
        <v>16</v>
      </c>
      <c r="G61" s="8">
        <v>44550</v>
      </c>
      <c r="H61" s="7" t="s">
        <v>21</v>
      </c>
      <c r="I61">
        <v>60130</v>
      </c>
      <c r="J61" t="s">
        <v>206</v>
      </c>
      <c r="K61" s="9">
        <f ca="1">(TODAY()-staff[[#This Row],[Date Joined]])/365</f>
        <v>1.9068493150684931</v>
      </c>
      <c r="L61" s="6">
        <f ca="1">ROUNDUP(IF(staff[tenure]&gt;2,3%,2%)*staff[Salary],0)</f>
        <v>1203</v>
      </c>
      <c r="M61" s="28">
        <f>VLOOKUP(staff[[#This Row],[Rating]],Sheet7!$C$4:$D$8,2,0)</f>
        <v>3</v>
      </c>
      <c r="N61" s="9"/>
    </row>
    <row r="62" spans="3:14" x14ac:dyDescent="0.25">
      <c r="C62" s="7" t="s">
        <v>38</v>
      </c>
      <c r="D62" s="7" t="s">
        <v>8</v>
      </c>
      <c r="E62">
        <v>34</v>
      </c>
      <c r="F62" t="s">
        <v>16</v>
      </c>
      <c r="G62" s="8">
        <v>44612</v>
      </c>
      <c r="H62" s="7" t="s">
        <v>21</v>
      </c>
      <c r="I62">
        <v>60130</v>
      </c>
      <c r="J62" t="s">
        <v>208</v>
      </c>
      <c r="K62" s="9">
        <f ca="1">(TODAY()-staff[[#This Row],[Date Joined]])/365</f>
        <v>1.736986301369863</v>
      </c>
      <c r="L62" s="6">
        <f ca="1">ROUNDUP(IF(staff[tenure]&gt;2,3%,2%)*staff[Salary],0)</f>
        <v>1203</v>
      </c>
      <c r="M62" s="28">
        <f>VLOOKUP(staff[[#This Row],[Rating]],Sheet7!$C$4:$D$8,2,0)</f>
        <v>3</v>
      </c>
      <c r="N62" s="9"/>
    </row>
    <row r="63" spans="3:14" x14ac:dyDescent="0.25">
      <c r="C63" s="7" t="s">
        <v>131</v>
      </c>
      <c r="D63" s="7" t="s">
        <v>15</v>
      </c>
      <c r="E63">
        <v>30</v>
      </c>
      <c r="F63" t="s">
        <v>16</v>
      </c>
      <c r="G63" s="8">
        <v>44607</v>
      </c>
      <c r="H63" s="7" t="s">
        <v>9</v>
      </c>
      <c r="I63">
        <v>60570</v>
      </c>
      <c r="J63" t="s">
        <v>206</v>
      </c>
      <c r="K63" s="9">
        <f ca="1">(TODAY()-staff[[#This Row],[Date Joined]])/365</f>
        <v>1.7506849315068493</v>
      </c>
      <c r="L63" s="6">
        <f ca="1">ROUNDUP(IF(staff[tenure]&gt;2,3%,2%)*staff[Salary],0)</f>
        <v>1212</v>
      </c>
      <c r="M63" s="28">
        <f>VLOOKUP(staff[[#This Row],[Rating]],Sheet7!$C$4:$D$8,2,0)</f>
        <v>3</v>
      </c>
      <c r="N63" s="9"/>
    </row>
    <row r="64" spans="3:14" x14ac:dyDescent="0.25">
      <c r="C64" s="7" t="s">
        <v>37</v>
      </c>
      <c r="D64" s="7" t="s">
        <v>15</v>
      </c>
      <c r="E64">
        <v>30</v>
      </c>
      <c r="F64" t="s">
        <v>16</v>
      </c>
      <c r="G64" s="8">
        <v>44666</v>
      </c>
      <c r="H64" s="7" t="s">
        <v>9</v>
      </c>
      <c r="I64">
        <v>60570</v>
      </c>
      <c r="J64" t="s">
        <v>208</v>
      </c>
      <c r="K64" s="9">
        <f ca="1">(TODAY()-staff[[#This Row],[Date Joined]])/365</f>
        <v>1.5890410958904109</v>
      </c>
      <c r="L64" s="6">
        <f ca="1">ROUNDUP(IF(staff[tenure]&gt;2,3%,2%)*staff[Salary],0)</f>
        <v>1212</v>
      </c>
      <c r="M64" s="28">
        <f>VLOOKUP(staff[[#This Row],[Rating]],Sheet7!$C$4:$D$8,2,0)</f>
        <v>3</v>
      </c>
      <c r="N64" s="9"/>
    </row>
    <row r="65" spans="3:14" x14ac:dyDescent="0.25">
      <c r="C65" s="7" t="s">
        <v>153</v>
      </c>
      <c r="D65" s="7" t="s">
        <v>8</v>
      </c>
      <c r="E65">
        <v>24</v>
      </c>
      <c r="F65" t="s">
        <v>16</v>
      </c>
      <c r="G65" s="8">
        <v>44087</v>
      </c>
      <c r="H65" s="7" t="s">
        <v>12</v>
      </c>
      <c r="I65">
        <v>62780</v>
      </c>
      <c r="J65" t="s">
        <v>206</v>
      </c>
      <c r="K65" s="9">
        <f ca="1">(TODAY()-staff[[#This Row],[Date Joined]])/365</f>
        <v>3.1753424657534248</v>
      </c>
      <c r="L65" s="6">
        <f ca="1">ROUNDUP(IF(staff[tenure]&gt;2,3%,2%)*staff[Salary],0)</f>
        <v>1884</v>
      </c>
      <c r="M65" s="28">
        <f>VLOOKUP(staff[[#This Row],[Rating]],Sheet7!$C$4:$D$8,2,0)</f>
        <v>3</v>
      </c>
      <c r="N65" s="9"/>
    </row>
    <row r="66" spans="3:14" x14ac:dyDescent="0.25">
      <c r="C66" s="7" t="s">
        <v>61</v>
      </c>
      <c r="D66" s="7" t="s">
        <v>8</v>
      </c>
      <c r="E66">
        <v>24</v>
      </c>
      <c r="F66" t="s">
        <v>16</v>
      </c>
      <c r="G66" s="8">
        <v>44148</v>
      </c>
      <c r="H66" s="7" t="s">
        <v>12</v>
      </c>
      <c r="I66">
        <v>62780</v>
      </c>
      <c r="J66" t="s">
        <v>208</v>
      </c>
      <c r="K66" s="9">
        <f ca="1">(TODAY()-staff[[#This Row],[Date Joined]])/365</f>
        <v>3.0082191780821916</v>
      </c>
      <c r="L66" s="6">
        <f ca="1">ROUNDUP(IF(staff[tenure]&gt;2,3%,2%)*staff[Salary],0)</f>
        <v>1884</v>
      </c>
      <c r="M66" s="28">
        <f>VLOOKUP(staff[[#This Row],[Rating]],Sheet7!$C$4:$D$8,2,0)</f>
        <v>3</v>
      </c>
      <c r="N66" s="9"/>
    </row>
    <row r="67" spans="3:14" x14ac:dyDescent="0.25">
      <c r="C67" s="7" t="s">
        <v>116</v>
      </c>
      <c r="D67" s="7" t="s">
        <v>207</v>
      </c>
      <c r="E67">
        <v>30</v>
      </c>
      <c r="F67" t="s">
        <v>16</v>
      </c>
      <c r="G67" s="8">
        <v>44535</v>
      </c>
      <c r="H67" s="7" t="s">
        <v>21</v>
      </c>
      <c r="I67">
        <v>64000</v>
      </c>
      <c r="J67" t="s">
        <v>206</v>
      </c>
      <c r="K67" s="9">
        <f ca="1">(TODAY()-staff[[#This Row],[Date Joined]])/365</f>
        <v>1.9479452054794522</v>
      </c>
      <c r="L67" s="6">
        <f ca="1">ROUNDUP(IF(staff[tenure]&gt;2,3%,2%)*staff[Salary],0)</f>
        <v>1280</v>
      </c>
      <c r="M67" s="28">
        <f>VLOOKUP(staff[[#This Row],[Rating]],Sheet7!$C$4:$D$8,2,0)</f>
        <v>3</v>
      </c>
      <c r="N67" s="9"/>
    </row>
    <row r="68" spans="3:14" x14ac:dyDescent="0.25">
      <c r="C68" s="7" t="s">
        <v>20</v>
      </c>
      <c r="D68" s="7" t="s">
        <v>207</v>
      </c>
      <c r="E68">
        <v>30</v>
      </c>
      <c r="F68" t="s">
        <v>16</v>
      </c>
      <c r="G68" s="8">
        <v>44597</v>
      </c>
      <c r="H68" s="7" t="s">
        <v>21</v>
      </c>
      <c r="I68">
        <v>64000</v>
      </c>
      <c r="J68" t="s">
        <v>208</v>
      </c>
      <c r="K68" s="9">
        <f ca="1">(TODAY()-staff[[#This Row],[Date Joined]])/365</f>
        <v>1.7780821917808218</v>
      </c>
      <c r="L68" s="6">
        <f ca="1">ROUNDUP(IF(staff[tenure]&gt;2,3%,2%)*staff[Salary],0)</f>
        <v>1280</v>
      </c>
      <c r="M68" s="28">
        <f>VLOOKUP(staff[[#This Row],[Rating]],Sheet7!$C$4:$D$8,2,0)</f>
        <v>3</v>
      </c>
      <c r="N68" s="9"/>
    </row>
    <row r="69" spans="3:14" x14ac:dyDescent="0.25">
      <c r="C69" s="7" t="s">
        <v>186</v>
      </c>
      <c r="D69" s="7" t="s">
        <v>8</v>
      </c>
      <c r="E69">
        <v>33</v>
      </c>
      <c r="F69" t="s">
        <v>16</v>
      </c>
      <c r="G69" s="8">
        <v>44006</v>
      </c>
      <c r="H69" s="7" t="s">
        <v>21</v>
      </c>
      <c r="I69">
        <v>65360</v>
      </c>
      <c r="J69" t="s">
        <v>206</v>
      </c>
      <c r="K69" s="9">
        <f ca="1">(TODAY()-staff[[#This Row],[Date Joined]])/365</f>
        <v>3.3972602739726026</v>
      </c>
      <c r="L69" s="6">
        <f ca="1">ROUNDUP(IF(staff[tenure]&gt;2,3%,2%)*staff[Salary],0)</f>
        <v>1961</v>
      </c>
      <c r="M69" s="28">
        <f>VLOOKUP(staff[[#This Row],[Rating]],Sheet7!$C$4:$D$8,2,0)</f>
        <v>3</v>
      </c>
      <c r="N69" s="9"/>
    </row>
    <row r="70" spans="3:14" x14ac:dyDescent="0.25">
      <c r="C70" s="7" t="s">
        <v>93</v>
      </c>
      <c r="D70" s="7" t="s">
        <v>8</v>
      </c>
      <c r="E70">
        <v>33</v>
      </c>
      <c r="F70" t="s">
        <v>16</v>
      </c>
      <c r="G70" s="8">
        <v>44067</v>
      </c>
      <c r="H70" s="7" t="s">
        <v>21</v>
      </c>
      <c r="I70">
        <v>65360</v>
      </c>
      <c r="J70" t="s">
        <v>208</v>
      </c>
      <c r="K70" s="9">
        <f ca="1">(TODAY()-staff[[#This Row],[Date Joined]])/365</f>
        <v>3.2301369863013698</v>
      </c>
      <c r="L70" s="6">
        <f ca="1">ROUNDUP(IF(staff[tenure]&gt;2,3%,2%)*staff[Salary],0)</f>
        <v>1961</v>
      </c>
      <c r="M70" s="28">
        <f>VLOOKUP(staff[[#This Row],[Rating]],Sheet7!$C$4:$D$8,2,0)</f>
        <v>3</v>
      </c>
      <c r="N70" s="9"/>
    </row>
    <row r="71" spans="3:14" x14ac:dyDescent="0.25">
      <c r="C71" s="7" t="s">
        <v>168</v>
      </c>
      <c r="D71" s="7" t="s">
        <v>15</v>
      </c>
      <c r="E71">
        <v>25</v>
      </c>
      <c r="F71" t="s">
        <v>16</v>
      </c>
      <c r="G71" s="8">
        <v>44322</v>
      </c>
      <c r="H71" s="7" t="s">
        <v>19</v>
      </c>
      <c r="I71">
        <v>65700</v>
      </c>
      <c r="J71" t="s">
        <v>206</v>
      </c>
      <c r="K71" s="9">
        <f ca="1">(TODAY()-staff[[#This Row],[Date Joined]])/365</f>
        <v>2.5315068493150683</v>
      </c>
      <c r="L71" s="6">
        <f ca="1">ROUNDUP(IF(staff[tenure]&gt;2,3%,2%)*staff[Salary],0)</f>
        <v>1971</v>
      </c>
      <c r="M71" s="28">
        <f>VLOOKUP(staff[[#This Row],[Rating]],Sheet7!$C$4:$D$8,2,0)</f>
        <v>3</v>
      </c>
      <c r="N71" s="9"/>
    </row>
    <row r="72" spans="3:14" x14ac:dyDescent="0.25">
      <c r="C72" s="7" t="s">
        <v>76</v>
      </c>
      <c r="D72" s="7" t="s">
        <v>15</v>
      </c>
      <c r="E72">
        <v>25</v>
      </c>
      <c r="F72" t="s">
        <v>16</v>
      </c>
      <c r="G72" s="8">
        <v>44383</v>
      </c>
      <c r="H72" s="7" t="s">
        <v>19</v>
      </c>
      <c r="I72">
        <v>65700</v>
      </c>
      <c r="J72" t="s">
        <v>208</v>
      </c>
      <c r="K72" s="9">
        <f ca="1">(TODAY()-staff[[#This Row],[Date Joined]])/365</f>
        <v>2.3643835616438356</v>
      </c>
      <c r="L72" s="6">
        <f ca="1">ROUNDUP(IF(staff[tenure]&gt;2,3%,2%)*staff[Salary],0)</f>
        <v>1971</v>
      </c>
      <c r="M72" s="28">
        <f>VLOOKUP(staff[[#This Row],[Rating]],Sheet7!$C$4:$D$8,2,0)</f>
        <v>3</v>
      </c>
      <c r="N72" s="9"/>
    </row>
    <row r="73" spans="3:14" x14ac:dyDescent="0.25">
      <c r="C73" s="7" t="s">
        <v>126</v>
      </c>
      <c r="D73" s="7" t="s">
        <v>8</v>
      </c>
      <c r="E73">
        <v>21</v>
      </c>
      <c r="F73" t="s">
        <v>16</v>
      </c>
      <c r="G73" s="8">
        <v>44256</v>
      </c>
      <c r="H73" s="7" t="s">
        <v>21</v>
      </c>
      <c r="I73">
        <v>65920</v>
      </c>
      <c r="J73" t="s">
        <v>206</v>
      </c>
      <c r="K73" s="9">
        <f ca="1">(TODAY()-staff[[#This Row],[Date Joined]])/365</f>
        <v>2.7123287671232879</v>
      </c>
      <c r="L73" s="6">
        <f ca="1">ROUNDUP(IF(staff[tenure]&gt;2,3%,2%)*staff[Salary],0)</f>
        <v>1978</v>
      </c>
      <c r="M73" s="28">
        <f>VLOOKUP(staff[[#This Row],[Rating]],Sheet7!$C$4:$D$8,2,0)</f>
        <v>3</v>
      </c>
      <c r="N73" s="9"/>
    </row>
    <row r="74" spans="3:14" x14ac:dyDescent="0.25">
      <c r="C74" s="7" t="s">
        <v>32</v>
      </c>
      <c r="D74" s="7" t="s">
        <v>8</v>
      </c>
      <c r="E74">
        <v>21</v>
      </c>
      <c r="F74" t="s">
        <v>16</v>
      </c>
      <c r="G74" s="8">
        <v>44317</v>
      </c>
      <c r="H74" s="7" t="s">
        <v>21</v>
      </c>
      <c r="I74">
        <v>65920</v>
      </c>
      <c r="J74" t="s">
        <v>208</v>
      </c>
      <c r="K74" s="9">
        <f ca="1">(TODAY()-staff[[#This Row],[Date Joined]])/365</f>
        <v>2.5452054794520547</v>
      </c>
      <c r="L74" s="6">
        <f ca="1">ROUNDUP(IF(staff[tenure]&gt;2,3%,2%)*staff[Salary],0)</f>
        <v>1978</v>
      </c>
      <c r="M74" s="28">
        <f>VLOOKUP(staff[[#This Row],[Rating]],Sheet7!$C$4:$D$8,2,0)</f>
        <v>3</v>
      </c>
      <c r="N74" s="9"/>
    </row>
    <row r="75" spans="3:14" x14ac:dyDescent="0.25">
      <c r="C75" s="7" t="s">
        <v>121</v>
      </c>
      <c r="D75" s="7" t="s">
        <v>8</v>
      </c>
      <c r="E75">
        <v>30</v>
      </c>
      <c r="F75" t="s">
        <v>24</v>
      </c>
      <c r="G75" s="8">
        <v>44328</v>
      </c>
      <c r="H75" s="7" t="s">
        <v>21</v>
      </c>
      <c r="I75">
        <v>67910</v>
      </c>
      <c r="J75" t="s">
        <v>206</v>
      </c>
      <c r="K75" s="9">
        <f ca="1">(TODAY()-staff[[#This Row],[Date Joined]])/365</f>
        <v>2.515068493150685</v>
      </c>
      <c r="L75" s="6">
        <f ca="1">ROUNDUP(IF(staff[tenure]&gt;2,3%,2%)*staff[Salary],0)</f>
        <v>2038</v>
      </c>
      <c r="M75" s="28">
        <f>VLOOKUP(staff[[#This Row],[Rating]],Sheet7!$C$4:$D$8,2,0)</f>
        <v>2</v>
      </c>
      <c r="N75" s="9"/>
    </row>
    <row r="76" spans="3:14" x14ac:dyDescent="0.25">
      <c r="C76" s="7" t="s">
        <v>27</v>
      </c>
      <c r="D76" s="7" t="s">
        <v>8</v>
      </c>
      <c r="E76">
        <v>30</v>
      </c>
      <c r="F76" t="s">
        <v>24</v>
      </c>
      <c r="G76" s="8">
        <v>44389</v>
      </c>
      <c r="H76" s="7" t="s">
        <v>21</v>
      </c>
      <c r="I76">
        <v>67910</v>
      </c>
      <c r="J76" t="s">
        <v>208</v>
      </c>
      <c r="K76" s="9">
        <f ca="1">(TODAY()-staff[[#This Row],[Date Joined]])/365</f>
        <v>2.3479452054794518</v>
      </c>
      <c r="L76" s="6">
        <f ca="1">ROUNDUP(IF(staff[tenure]&gt;2,3%,2%)*staff[Salary],0)</f>
        <v>2038</v>
      </c>
      <c r="M76" s="28">
        <f>VLOOKUP(staff[[#This Row],[Rating]],Sheet7!$C$4:$D$8,2,0)</f>
        <v>2</v>
      </c>
      <c r="N76" s="9"/>
    </row>
    <row r="77" spans="3:14" x14ac:dyDescent="0.25">
      <c r="C77" s="7" t="s">
        <v>138</v>
      </c>
      <c r="D77" s="7" t="s">
        <v>15</v>
      </c>
      <c r="E77">
        <v>30</v>
      </c>
      <c r="F77" t="s">
        <v>16</v>
      </c>
      <c r="G77" s="8">
        <v>44640</v>
      </c>
      <c r="H77" s="7" t="s">
        <v>9</v>
      </c>
      <c r="I77">
        <v>67950</v>
      </c>
      <c r="J77" t="s">
        <v>206</v>
      </c>
      <c r="K77" s="9">
        <f ca="1">(TODAY()-staff[[#This Row],[Date Joined]])/365</f>
        <v>1.6602739726027398</v>
      </c>
      <c r="L77" s="6">
        <f ca="1">ROUNDUP(IF(staff[tenure]&gt;2,3%,2%)*staff[Salary],0)</f>
        <v>1359</v>
      </c>
      <c r="M77" s="28">
        <f>VLOOKUP(staff[[#This Row],[Rating]],Sheet7!$C$4:$D$8,2,0)</f>
        <v>3</v>
      </c>
      <c r="N77" s="9"/>
    </row>
    <row r="78" spans="3:14" x14ac:dyDescent="0.25">
      <c r="C78" s="7" t="s">
        <v>45</v>
      </c>
      <c r="D78" s="7" t="s">
        <v>15</v>
      </c>
      <c r="E78">
        <v>30</v>
      </c>
      <c r="F78" t="s">
        <v>16</v>
      </c>
      <c r="G78" s="8">
        <v>44701</v>
      </c>
      <c r="H78" s="7" t="s">
        <v>9</v>
      </c>
      <c r="I78">
        <v>67950</v>
      </c>
      <c r="J78" t="s">
        <v>208</v>
      </c>
      <c r="K78" s="9">
        <f ca="1">(TODAY()-staff[[#This Row],[Date Joined]])/365</f>
        <v>1.4931506849315068</v>
      </c>
      <c r="L78" s="6">
        <f ca="1">ROUNDUP(IF(staff[tenure]&gt;2,3%,2%)*staff[Salary],0)</f>
        <v>1359</v>
      </c>
      <c r="M78" s="28">
        <f>VLOOKUP(staff[[#This Row],[Rating]],Sheet7!$C$4:$D$8,2,0)</f>
        <v>3</v>
      </c>
      <c r="N78" s="9"/>
    </row>
    <row r="79" spans="3:14" x14ac:dyDescent="0.25">
      <c r="C79" s="7" t="s">
        <v>184</v>
      </c>
      <c r="D79" s="7" t="s">
        <v>8</v>
      </c>
      <c r="E79">
        <v>20</v>
      </c>
      <c r="F79" t="s">
        <v>24</v>
      </c>
      <c r="G79" s="8">
        <v>44476</v>
      </c>
      <c r="H79" s="7" t="s">
        <v>19</v>
      </c>
      <c r="I79">
        <v>68900</v>
      </c>
      <c r="J79" t="s">
        <v>206</v>
      </c>
      <c r="K79" s="9">
        <f ca="1">(TODAY()-staff[[#This Row],[Date Joined]])/365</f>
        <v>2.1095890410958904</v>
      </c>
      <c r="L79" s="6">
        <f ca="1">ROUNDUP(IF(staff[tenure]&gt;2,3%,2%)*staff[Salary],0)</f>
        <v>2067</v>
      </c>
      <c r="M79" s="28">
        <f>VLOOKUP(staff[[#This Row],[Rating]],Sheet7!$C$4:$D$8,2,0)</f>
        <v>2</v>
      </c>
      <c r="N79" s="9"/>
    </row>
    <row r="80" spans="3:14" x14ac:dyDescent="0.25">
      <c r="C80" s="7" t="s">
        <v>91</v>
      </c>
      <c r="D80" s="7" t="s">
        <v>8</v>
      </c>
      <c r="E80">
        <v>20</v>
      </c>
      <c r="F80" t="s">
        <v>24</v>
      </c>
      <c r="G80" s="8">
        <v>44537</v>
      </c>
      <c r="H80" s="7" t="s">
        <v>19</v>
      </c>
      <c r="I80">
        <v>68900</v>
      </c>
      <c r="J80" t="s">
        <v>208</v>
      </c>
      <c r="K80" s="9">
        <f ca="1">(TODAY()-staff[[#This Row],[Date Joined]])/365</f>
        <v>1.9424657534246574</v>
      </c>
      <c r="L80" s="6">
        <f ca="1">ROUNDUP(IF(staff[tenure]&gt;2,3%,2%)*staff[Salary],0)</f>
        <v>1378</v>
      </c>
      <c r="M80" s="28">
        <f>VLOOKUP(staff[[#This Row],[Rating]],Sheet7!$C$4:$D$8,2,0)</f>
        <v>2</v>
      </c>
      <c r="N80" s="9"/>
    </row>
    <row r="81" spans="3:14" x14ac:dyDescent="0.25">
      <c r="C81" s="7" t="s">
        <v>190</v>
      </c>
      <c r="D81" s="7" t="s">
        <v>15</v>
      </c>
      <c r="E81">
        <v>37</v>
      </c>
      <c r="F81" t="s">
        <v>16</v>
      </c>
      <c r="G81" s="8">
        <v>44640</v>
      </c>
      <c r="H81" s="7" t="s">
        <v>12</v>
      </c>
      <c r="I81">
        <v>69070</v>
      </c>
      <c r="J81" t="s">
        <v>206</v>
      </c>
      <c r="K81" s="9">
        <f ca="1">(TODAY()-staff[[#This Row],[Date Joined]])/365</f>
        <v>1.6602739726027398</v>
      </c>
      <c r="L81" s="6">
        <f ca="1">ROUNDUP(IF(staff[tenure]&gt;2,3%,2%)*staff[Salary],0)</f>
        <v>1382</v>
      </c>
      <c r="M81" s="28">
        <f>VLOOKUP(staff[[#This Row],[Rating]],Sheet7!$C$4:$D$8,2,0)</f>
        <v>3</v>
      </c>
      <c r="N81" s="9"/>
    </row>
    <row r="82" spans="3:14" x14ac:dyDescent="0.25">
      <c r="C82" s="7" t="s">
        <v>97</v>
      </c>
      <c r="D82" s="7" t="s">
        <v>15</v>
      </c>
      <c r="E82">
        <v>37</v>
      </c>
      <c r="F82" t="s">
        <v>16</v>
      </c>
      <c r="G82" s="8">
        <v>44701</v>
      </c>
      <c r="H82" s="7" t="s">
        <v>12</v>
      </c>
      <c r="I82">
        <v>69070</v>
      </c>
      <c r="J82" t="s">
        <v>208</v>
      </c>
      <c r="K82" s="9">
        <f ca="1">(TODAY()-staff[[#This Row],[Date Joined]])/365</f>
        <v>1.4931506849315068</v>
      </c>
      <c r="L82" s="6">
        <f ca="1">ROUNDUP(IF(staff[tenure]&gt;2,3%,2%)*staff[Salary],0)</f>
        <v>1382</v>
      </c>
      <c r="M82" s="28">
        <f>VLOOKUP(staff[[#This Row],[Rating]],Sheet7!$C$4:$D$8,2,0)</f>
        <v>3</v>
      </c>
      <c r="N82" s="9"/>
    </row>
    <row r="83" spans="3:14" x14ac:dyDescent="0.25">
      <c r="C83" s="7" t="s">
        <v>119</v>
      </c>
      <c r="D83" s="7" t="s">
        <v>15</v>
      </c>
      <c r="E83">
        <v>30</v>
      </c>
      <c r="F83" t="s">
        <v>16</v>
      </c>
      <c r="G83" s="8">
        <v>44214</v>
      </c>
      <c r="H83" s="7" t="s">
        <v>12</v>
      </c>
      <c r="I83">
        <v>69120</v>
      </c>
      <c r="J83" t="s">
        <v>206</v>
      </c>
      <c r="K83" s="9">
        <f ca="1">(TODAY()-staff[[#This Row],[Date Joined]])/365</f>
        <v>2.8273972602739725</v>
      </c>
      <c r="L83" s="6">
        <f ca="1">ROUNDUP(IF(staff[tenure]&gt;2,3%,2%)*staff[Salary],0)</f>
        <v>2074</v>
      </c>
      <c r="M83" s="28">
        <f>VLOOKUP(staff[[#This Row],[Rating]],Sheet7!$C$4:$D$8,2,0)</f>
        <v>3</v>
      </c>
      <c r="N83" s="9"/>
    </row>
    <row r="84" spans="3:14" x14ac:dyDescent="0.25">
      <c r="C84" s="7" t="s">
        <v>25</v>
      </c>
      <c r="D84" s="7" t="s">
        <v>15</v>
      </c>
      <c r="E84">
        <v>30</v>
      </c>
      <c r="F84" t="s">
        <v>16</v>
      </c>
      <c r="G84" s="8">
        <v>44273</v>
      </c>
      <c r="H84" s="7" t="s">
        <v>12</v>
      </c>
      <c r="I84">
        <v>69120</v>
      </c>
      <c r="J84" t="s">
        <v>208</v>
      </c>
      <c r="K84" s="9">
        <f ca="1">(TODAY()-staff[[#This Row],[Date Joined]])/365</f>
        <v>2.6657534246575341</v>
      </c>
      <c r="L84" s="6">
        <f ca="1">ROUNDUP(IF(staff[tenure]&gt;2,3%,2%)*staff[Salary],0)</f>
        <v>2074</v>
      </c>
      <c r="M84" s="28">
        <f>VLOOKUP(staff[[#This Row],[Rating]],Sheet7!$C$4:$D$8,2,0)</f>
        <v>3</v>
      </c>
      <c r="N84" s="9"/>
    </row>
    <row r="85" spans="3:14" x14ac:dyDescent="0.25">
      <c r="C85" s="7" t="s">
        <v>159</v>
      </c>
      <c r="D85" s="7" t="s">
        <v>15</v>
      </c>
      <c r="E85">
        <v>30</v>
      </c>
      <c r="F85" t="s">
        <v>16</v>
      </c>
      <c r="G85" s="8">
        <v>44789</v>
      </c>
      <c r="H85" s="7" t="s">
        <v>12</v>
      </c>
      <c r="I85">
        <v>69710</v>
      </c>
      <c r="J85" t="s">
        <v>206</v>
      </c>
      <c r="K85" s="9">
        <f ca="1">(TODAY()-staff[[#This Row],[Date Joined]])/365</f>
        <v>1.252054794520548</v>
      </c>
      <c r="L85" s="6">
        <f ca="1">ROUNDUP(IF(staff[tenure]&gt;2,3%,2%)*staff[Salary],0)</f>
        <v>1395</v>
      </c>
      <c r="M85" s="28">
        <f>VLOOKUP(staff[[#This Row],[Rating]],Sheet7!$C$4:$D$8,2,0)</f>
        <v>3</v>
      </c>
      <c r="N85" s="9"/>
    </row>
    <row r="86" spans="3:14" x14ac:dyDescent="0.25">
      <c r="C86" s="7" t="s">
        <v>67</v>
      </c>
      <c r="D86" s="7" t="s">
        <v>15</v>
      </c>
      <c r="E86">
        <v>30</v>
      </c>
      <c r="F86" t="s">
        <v>16</v>
      </c>
      <c r="G86" s="8">
        <v>44850</v>
      </c>
      <c r="H86" s="7" t="s">
        <v>12</v>
      </c>
      <c r="I86">
        <v>69710</v>
      </c>
      <c r="J86" t="s">
        <v>208</v>
      </c>
      <c r="K86" s="9">
        <f ca="1">(TODAY()-staff[[#This Row],[Date Joined]])/365</f>
        <v>1.0849315068493151</v>
      </c>
      <c r="L86" s="6">
        <f ca="1">ROUNDUP(IF(staff[tenure]&gt;2,3%,2%)*staff[Salary],0)</f>
        <v>1395</v>
      </c>
      <c r="M86" s="28">
        <f>VLOOKUP(staff[[#This Row],[Rating]],Sheet7!$C$4:$D$8,2,0)</f>
        <v>3</v>
      </c>
      <c r="N86" s="9"/>
    </row>
    <row r="87" spans="3:14" x14ac:dyDescent="0.25">
      <c r="C87" s="7" t="s">
        <v>183</v>
      </c>
      <c r="D87" s="7" t="s">
        <v>15</v>
      </c>
      <c r="E87">
        <v>42</v>
      </c>
      <c r="F87" t="s">
        <v>24</v>
      </c>
      <c r="G87" s="8">
        <v>44670</v>
      </c>
      <c r="H87" s="7" t="s">
        <v>21</v>
      </c>
      <c r="I87">
        <v>70270</v>
      </c>
      <c r="J87" t="s">
        <v>206</v>
      </c>
      <c r="K87" s="9">
        <f ca="1">(TODAY()-staff[[#This Row],[Date Joined]])/365</f>
        <v>1.5780821917808219</v>
      </c>
      <c r="L87" s="6">
        <f ca="1">ROUNDUP(IF(staff[tenure]&gt;2,3%,2%)*staff[Salary],0)</f>
        <v>1406</v>
      </c>
      <c r="M87" s="28">
        <f>VLOOKUP(staff[[#This Row],[Rating]],Sheet7!$C$4:$D$8,2,0)</f>
        <v>2</v>
      </c>
      <c r="N87" s="9"/>
    </row>
    <row r="88" spans="3:14" x14ac:dyDescent="0.25">
      <c r="C88" s="7" t="s">
        <v>90</v>
      </c>
      <c r="D88" s="7" t="s">
        <v>15</v>
      </c>
      <c r="E88">
        <v>42</v>
      </c>
      <c r="F88" t="s">
        <v>24</v>
      </c>
      <c r="G88" s="8">
        <v>44731</v>
      </c>
      <c r="H88" s="7" t="s">
        <v>21</v>
      </c>
      <c r="I88">
        <v>70270</v>
      </c>
      <c r="J88" t="s">
        <v>208</v>
      </c>
      <c r="K88" s="9">
        <f ca="1">(TODAY()-staff[[#This Row],[Date Joined]])/365</f>
        <v>1.4109589041095891</v>
      </c>
      <c r="L88" s="6">
        <f ca="1">ROUNDUP(IF(staff[tenure]&gt;2,3%,2%)*staff[Salary],0)</f>
        <v>1406</v>
      </c>
      <c r="M88" s="28">
        <f>VLOOKUP(staff[[#This Row],[Rating]],Sheet7!$C$4:$D$8,2,0)</f>
        <v>2</v>
      </c>
      <c r="N88" s="9"/>
    </row>
    <row r="89" spans="3:14" x14ac:dyDescent="0.25">
      <c r="C89" s="7" t="s">
        <v>162</v>
      </c>
      <c r="D89" s="7" t="s">
        <v>15</v>
      </c>
      <c r="E89">
        <v>46</v>
      </c>
      <c r="F89" t="s">
        <v>16</v>
      </c>
      <c r="G89" s="8">
        <v>44697</v>
      </c>
      <c r="H89" s="7" t="s">
        <v>9</v>
      </c>
      <c r="I89">
        <v>70610</v>
      </c>
      <c r="J89" t="s">
        <v>206</v>
      </c>
      <c r="K89" s="9">
        <f ca="1">(TODAY()-staff[[#This Row],[Date Joined]])/365</f>
        <v>1.5041095890410958</v>
      </c>
      <c r="L89" s="6">
        <f ca="1">ROUNDUP(IF(staff[tenure]&gt;2,3%,2%)*staff[Salary],0)</f>
        <v>1413</v>
      </c>
      <c r="M89" s="28">
        <f>VLOOKUP(staff[[#This Row],[Rating]],Sheet7!$C$4:$D$8,2,0)</f>
        <v>3</v>
      </c>
      <c r="N89" s="9"/>
    </row>
    <row r="90" spans="3:14" x14ac:dyDescent="0.25">
      <c r="C90" s="7" t="s">
        <v>70</v>
      </c>
      <c r="D90" s="7" t="s">
        <v>15</v>
      </c>
      <c r="E90">
        <v>46</v>
      </c>
      <c r="F90" t="s">
        <v>16</v>
      </c>
      <c r="G90" s="8">
        <v>44758</v>
      </c>
      <c r="H90" s="7" t="s">
        <v>9</v>
      </c>
      <c r="I90">
        <v>70610</v>
      </c>
      <c r="J90" t="s">
        <v>208</v>
      </c>
      <c r="K90" s="9">
        <f ca="1">(TODAY()-staff[[#This Row],[Date Joined]])/365</f>
        <v>1.3369863013698631</v>
      </c>
      <c r="L90" s="6">
        <f ca="1">ROUNDUP(IF(staff[tenure]&gt;2,3%,2%)*staff[Salary],0)</f>
        <v>1413</v>
      </c>
      <c r="M90" s="28">
        <f>VLOOKUP(staff[[#This Row],[Rating]],Sheet7!$C$4:$D$8,2,0)</f>
        <v>3</v>
      </c>
      <c r="N90" s="9"/>
    </row>
    <row r="91" spans="3:14" x14ac:dyDescent="0.25">
      <c r="C91" s="7" t="s">
        <v>187</v>
      </c>
      <c r="D91" s="7" t="s">
        <v>15</v>
      </c>
      <c r="E91">
        <v>36</v>
      </c>
      <c r="F91" t="s">
        <v>16</v>
      </c>
      <c r="G91" s="8">
        <v>44272</v>
      </c>
      <c r="H91" s="7" t="s">
        <v>21</v>
      </c>
      <c r="I91">
        <v>71380</v>
      </c>
      <c r="J91" t="s">
        <v>206</v>
      </c>
      <c r="K91" s="9">
        <f ca="1">(TODAY()-staff[[#This Row],[Date Joined]])/365</f>
        <v>2.6684931506849314</v>
      </c>
      <c r="L91" s="6">
        <f ca="1">ROUNDUP(IF(staff[tenure]&gt;2,3%,2%)*staff[Salary],0)</f>
        <v>2142</v>
      </c>
      <c r="M91" s="28">
        <f>VLOOKUP(staff[[#This Row],[Rating]],Sheet7!$C$4:$D$8,2,0)</f>
        <v>3</v>
      </c>
      <c r="N91" s="9"/>
    </row>
    <row r="92" spans="3:14" x14ac:dyDescent="0.25">
      <c r="C92" s="7" t="s">
        <v>94</v>
      </c>
      <c r="D92" s="7" t="s">
        <v>15</v>
      </c>
      <c r="E92">
        <v>36</v>
      </c>
      <c r="F92" t="s">
        <v>16</v>
      </c>
      <c r="G92" s="8">
        <v>44333</v>
      </c>
      <c r="H92" s="7" t="s">
        <v>21</v>
      </c>
      <c r="I92">
        <v>71380</v>
      </c>
      <c r="J92" t="s">
        <v>208</v>
      </c>
      <c r="K92" s="9">
        <f ca="1">(TODAY()-staff[[#This Row],[Date Joined]])/365</f>
        <v>2.5013698630136987</v>
      </c>
      <c r="L92" s="6">
        <f ca="1">ROUNDUP(IF(staff[tenure]&gt;2,3%,2%)*staff[Salary],0)</f>
        <v>2142</v>
      </c>
      <c r="M92" s="28">
        <f>VLOOKUP(staff[[#This Row],[Rating]],Sheet7!$C$4:$D$8,2,0)</f>
        <v>3</v>
      </c>
      <c r="N92" s="9"/>
    </row>
    <row r="93" spans="3:14" x14ac:dyDescent="0.25">
      <c r="C93" s="7" t="s">
        <v>115</v>
      </c>
      <c r="D93" s="7" t="s">
        <v>15</v>
      </c>
      <c r="E93">
        <v>33</v>
      </c>
      <c r="F93" t="s">
        <v>16</v>
      </c>
      <c r="G93" s="8">
        <v>44324</v>
      </c>
      <c r="H93" s="7" t="s">
        <v>19</v>
      </c>
      <c r="I93">
        <v>74550</v>
      </c>
      <c r="J93" t="s">
        <v>206</v>
      </c>
      <c r="K93" s="9">
        <f ca="1">(TODAY()-staff[[#This Row],[Date Joined]])/365</f>
        <v>2.526027397260274</v>
      </c>
      <c r="L93" s="6">
        <f ca="1">ROUNDUP(IF(staff[tenure]&gt;2,3%,2%)*staff[Salary],0)</f>
        <v>2237</v>
      </c>
      <c r="M93" s="28">
        <f>VLOOKUP(staff[[#This Row],[Rating]],Sheet7!$C$4:$D$8,2,0)</f>
        <v>3</v>
      </c>
      <c r="N93" s="9"/>
    </row>
    <row r="94" spans="3:14" x14ac:dyDescent="0.25">
      <c r="C94" s="7" t="s">
        <v>18</v>
      </c>
      <c r="D94" s="7" t="s">
        <v>15</v>
      </c>
      <c r="E94">
        <v>33</v>
      </c>
      <c r="F94" t="s">
        <v>16</v>
      </c>
      <c r="G94" s="8">
        <v>44385</v>
      </c>
      <c r="H94" s="7" t="s">
        <v>19</v>
      </c>
      <c r="I94">
        <v>74550</v>
      </c>
      <c r="J94" t="s">
        <v>208</v>
      </c>
      <c r="K94" s="9">
        <f ca="1">(TODAY()-staff[[#This Row],[Date Joined]])/365</f>
        <v>2.3589041095890413</v>
      </c>
      <c r="L94" s="6">
        <f ca="1">ROUNDUP(IF(staff[tenure]&gt;2,3%,2%)*staff[Salary],0)</f>
        <v>2237</v>
      </c>
      <c r="M94" s="28">
        <f>VLOOKUP(staff[[#This Row],[Rating]],Sheet7!$C$4:$D$8,2,0)</f>
        <v>3</v>
      </c>
      <c r="N94" s="9"/>
    </row>
    <row r="95" spans="3:14" x14ac:dyDescent="0.25">
      <c r="C95" s="7" t="s">
        <v>111</v>
      </c>
      <c r="D95" s="7" t="s">
        <v>8</v>
      </c>
      <c r="E95">
        <v>42</v>
      </c>
      <c r="F95" t="s">
        <v>10</v>
      </c>
      <c r="G95" s="8">
        <v>44718</v>
      </c>
      <c r="H95" s="7" t="s">
        <v>9</v>
      </c>
      <c r="I95">
        <v>75000</v>
      </c>
      <c r="J95" t="s">
        <v>206</v>
      </c>
      <c r="K95" s="9">
        <f ca="1">(TODAY()-staff[[#This Row],[Date Joined]])/365</f>
        <v>1.4465753424657535</v>
      </c>
      <c r="L95" s="6">
        <f ca="1">ROUNDUP(IF(staff[tenure]&gt;2,3%,2%)*staff[Salary],0)</f>
        <v>1500</v>
      </c>
      <c r="M95" s="28">
        <f>VLOOKUP(staff[[#This Row],[Rating]],Sheet7!$C$4:$D$8,2,0)</f>
        <v>5</v>
      </c>
      <c r="N95" s="9"/>
    </row>
    <row r="96" spans="3:14" x14ac:dyDescent="0.25">
      <c r="C96" s="7" t="s">
        <v>7</v>
      </c>
      <c r="D96" s="7" t="s">
        <v>8</v>
      </c>
      <c r="E96">
        <v>42</v>
      </c>
      <c r="F96" t="s">
        <v>10</v>
      </c>
      <c r="G96" s="8">
        <v>44779</v>
      </c>
      <c r="H96" s="7" t="s">
        <v>9</v>
      </c>
      <c r="I96">
        <v>75000</v>
      </c>
      <c r="J96" t="s">
        <v>208</v>
      </c>
      <c r="K96" s="9">
        <f ca="1">(TODAY()-staff[[#This Row],[Date Joined]])/365</f>
        <v>1.2794520547945205</v>
      </c>
      <c r="L96" s="6">
        <f ca="1">ROUNDUP(IF(staff[tenure]&gt;2,3%,2%)*staff[Salary],0)</f>
        <v>1500</v>
      </c>
      <c r="M96" s="28">
        <f>VLOOKUP(staff[[#This Row],[Rating]],Sheet7!$C$4:$D$8,2,0)</f>
        <v>5</v>
      </c>
      <c r="N96" s="9"/>
    </row>
    <row r="97" spans="3:14" x14ac:dyDescent="0.25">
      <c r="C97" s="7" t="s">
        <v>188</v>
      </c>
      <c r="D97" s="7" t="s">
        <v>8</v>
      </c>
      <c r="E97">
        <v>33</v>
      </c>
      <c r="F97" t="s">
        <v>16</v>
      </c>
      <c r="G97" s="8">
        <v>44253</v>
      </c>
      <c r="H97" s="7" t="s">
        <v>12</v>
      </c>
      <c r="I97">
        <v>75280</v>
      </c>
      <c r="J97" t="s">
        <v>206</v>
      </c>
      <c r="K97" s="9">
        <f ca="1">(TODAY()-staff[[#This Row],[Date Joined]])/365</f>
        <v>2.7205479452054795</v>
      </c>
      <c r="L97" s="6">
        <f ca="1">ROUNDUP(IF(staff[tenure]&gt;2,3%,2%)*staff[Salary],0)</f>
        <v>2259</v>
      </c>
      <c r="M97" s="28">
        <f>VLOOKUP(staff[[#This Row],[Rating]],Sheet7!$C$4:$D$8,2,0)</f>
        <v>3</v>
      </c>
      <c r="N97" s="9"/>
    </row>
    <row r="98" spans="3:14" x14ac:dyDescent="0.25">
      <c r="C98" s="7" t="s">
        <v>95</v>
      </c>
      <c r="D98" s="7" t="s">
        <v>8</v>
      </c>
      <c r="E98">
        <v>33</v>
      </c>
      <c r="F98" t="s">
        <v>16</v>
      </c>
      <c r="G98" s="8">
        <v>44312</v>
      </c>
      <c r="H98" s="7" t="s">
        <v>12</v>
      </c>
      <c r="I98">
        <v>75280</v>
      </c>
      <c r="J98" t="s">
        <v>208</v>
      </c>
      <c r="K98" s="9">
        <f ca="1">(TODAY()-staff[[#This Row],[Date Joined]])/365</f>
        <v>2.558904109589041</v>
      </c>
      <c r="L98" s="6">
        <f ca="1">ROUNDUP(IF(staff[tenure]&gt;2,3%,2%)*staff[Salary],0)</f>
        <v>2259</v>
      </c>
      <c r="M98" s="28">
        <f>VLOOKUP(staff[[#This Row],[Rating]],Sheet7!$C$4:$D$8,2,0)</f>
        <v>3</v>
      </c>
      <c r="N98" s="9"/>
    </row>
    <row r="99" spans="3:14" x14ac:dyDescent="0.25">
      <c r="C99" s="7" t="s">
        <v>135</v>
      </c>
      <c r="D99" s="7" t="s">
        <v>8</v>
      </c>
      <c r="E99">
        <v>33</v>
      </c>
      <c r="F99" t="s">
        <v>42</v>
      </c>
      <c r="G99" s="8">
        <v>44313</v>
      </c>
      <c r="H99" s="7" t="s">
        <v>12</v>
      </c>
      <c r="I99">
        <v>75480</v>
      </c>
      <c r="J99" t="s">
        <v>206</v>
      </c>
      <c r="K99" s="9">
        <f ca="1">(TODAY()-staff[[#This Row],[Date Joined]])/365</f>
        <v>2.5561643835616437</v>
      </c>
      <c r="L99" s="6">
        <f ca="1">ROUNDUP(IF(staff[tenure]&gt;2,3%,2%)*staff[Salary],0)</f>
        <v>2265</v>
      </c>
      <c r="M99" s="28">
        <f>VLOOKUP(staff[[#This Row],[Rating]],Sheet7!$C$4:$D$8,2,0)</f>
        <v>1</v>
      </c>
      <c r="N99" s="9"/>
    </row>
    <row r="100" spans="3:14" x14ac:dyDescent="0.25">
      <c r="C100" s="7" t="s">
        <v>41</v>
      </c>
      <c r="D100" s="7" t="s">
        <v>8</v>
      </c>
      <c r="E100">
        <v>33</v>
      </c>
      <c r="F100" t="s">
        <v>42</v>
      </c>
      <c r="G100" s="8">
        <v>44374</v>
      </c>
      <c r="H100" s="7" t="s">
        <v>12</v>
      </c>
      <c r="I100">
        <v>75480</v>
      </c>
      <c r="J100" t="s">
        <v>208</v>
      </c>
      <c r="K100" s="9">
        <f ca="1">(TODAY()-staff[[#This Row],[Date Joined]])/365</f>
        <v>2.3890410958904109</v>
      </c>
      <c r="L100" s="6">
        <f ca="1">ROUNDUP(IF(staff[tenure]&gt;2,3%,2%)*staff[Salary],0)</f>
        <v>2265</v>
      </c>
      <c r="M100" s="28">
        <f>VLOOKUP(staff[[#This Row],[Rating]],Sheet7!$C$4:$D$8,2,0)</f>
        <v>1</v>
      </c>
      <c r="N100" s="9"/>
    </row>
    <row r="101" spans="3:14" x14ac:dyDescent="0.25">
      <c r="C101" s="7" t="s">
        <v>170</v>
      </c>
      <c r="D101" s="7" t="s">
        <v>15</v>
      </c>
      <c r="E101">
        <v>21</v>
      </c>
      <c r="F101" t="s">
        <v>16</v>
      </c>
      <c r="G101" s="8">
        <v>44180</v>
      </c>
      <c r="H101" s="7" t="s">
        <v>56</v>
      </c>
      <c r="I101">
        <v>75880</v>
      </c>
      <c r="J101" t="s">
        <v>206</v>
      </c>
      <c r="K101" s="9">
        <f ca="1">(TODAY()-staff[[#This Row],[Date Joined]])/365</f>
        <v>2.9205479452054797</v>
      </c>
      <c r="L101" s="6">
        <f ca="1">ROUNDUP(IF(staff[tenure]&gt;2,3%,2%)*staff[Salary],0)</f>
        <v>2277</v>
      </c>
      <c r="M101" s="28">
        <f>VLOOKUP(staff[[#This Row],[Rating]],Sheet7!$C$4:$D$8,2,0)</f>
        <v>3</v>
      </c>
      <c r="N101" s="9"/>
    </row>
    <row r="102" spans="3:14" x14ac:dyDescent="0.25">
      <c r="C102" s="7" t="s">
        <v>78</v>
      </c>
      <c r="D102" s="7" t="s">
        <v>15</v>
      </c>
      <c r="E102">
        <v>21</v>
      </c>
      <c r="F102" t="s">
        <v>16</v>
      </c>
      <c r="G102" s="8">
        <v>44242</v>
      </c>
      <c r="H102" s="7" t="s">
        <v>56</v>
      </c>
      <c r="I102">
        <v>75880</v>
      </c>
      <c r="J102" t="s">
        <v>208</v>
      </c>
      <c r="K102" s="9">
        <f ca="1">(TODAY()-staff[[#This Row],[Date Joined]])/365</f>
        <v>2.7506849315068491</v>
      </c>
      <c r="L102" s="6">
        <f ca="1">ROUNDUP(IF(staff[tenure]&gt;2,3%,2%)*staff[Salary],0)</f>
        <v>2277</v>
      </c>
      <c r="M102" s="28">
        <f>VLOOKUP(staff[[#This Row],[Rating]],Sheet7!$C$4:$D$8,2,0)</f>
        <v>3</v>
      </c>
      <c r="N102" s="9"/>
    </row>
    <row r="103" spans="3:14" x14ac:dyDescent="0.25">
      <c r="C103" s="7" t="s">
        <v>129</v>
      </c>
      <c r="D103" s="7" t="s">
        <v>8</v>
      </c>
      <c r="E103">
        <v>28</v>
      </c>
      <c r="F103" t="s">
        <v>16</v>
      </c>
      <c r="G103" s="8">
        <v>44124</v>
      </c>
      <c r="H103" s="7" t="s">
        <v>21</v>
      </c>
      <c r="I103">
        <v>75970</v>
      </c>
      <c r="J103" t="s">
        <v>206</v>
      </c>
      <c r="K103" s="9">
        <f ca="1">(TODAY()-staff[[#This Row],[Date Joined]])/365</f>
        <v>3.0739726027397261</v>
      </c>
      <c r="L103" s="6">
        <f ca="1">ROUNDUP(IF(staff[tenure]&gt;2,3%,2%)*staff[Salary],0)</f>
        <v>2280</v>
      </c>
      <c r="M103" s="28">
        <f>VLOOKUP(staff[[#This Row],[Rating]],Sheet7!$C$4:$D$8,2,0)</f>
        <v>3</v>
      </c>
      <c r="N103" s="9"/>
    </row>
    <row r="104" spans="3:14" x14ac:dyDescent="0.25">
      <c r="C104" s="7" t="s">
        <v>35</v>
      </c>
      <c r="D104" s="7" t="s">
        <v>8</v>
      </c>
      <c r="E104">
        <v>28</v>
      </c>
      <c r="F104" t="s">
        <v>16</v>
      </c>
      <c r="G104" s="8">
        <v>44185</v>
      </c>
      <c r="H104" s="7" t="s">
        <v>21</v>
      </c>
      <c r="I104">
        <v>75970</v>
      </c>
      <c r="J104" t="s">
        <v>208</v>
      </c>
      <c r="K104" s="9">
        <f ca="1">(TODAY()-staff[[#This Row],[Date Joined]])/365</f>
        <v>2.9068493150684933</v>
      </c>
      <c r="L104" s="6">
        <f ca="1">ROUNDUP(IF(staff[tenure]&gt;2,3%,2%)*staff[Salary],0)</f>
        <v>2280</v>
      </c>
      <c r="M104" s="28">
        <f>VLOOKUP(staff[[#This Row],[Rating]],Sheet7!$C$4:$D$8,2,0)</f>
        <v>3</v>
      </c>
      <c r="N104" s="9"/>
    </row>
    <row r="105" spans="3:14" x14ac:dyDescent="0.25">
      <c r="C105" s="7" t="s">
        <v>154</v>
      </c>
      <c r="D105" s="7" t="s">
        <v>8</v>
      </c>
      <c r="E105">
        <v>22</v>
      </c>
      <c r="F105" t="s">
        <v>13</v>
      </c>
      <c r="G105" s="8">
        <v>44388</v>
      </c>
      <c r="H105" s="7" t="s">
        <v>9</v>
      </c>
      <c r="I105">
        <v>76900</v>
      </c>
      <c r="J105" t="s">
        <v>206</v>
      </c>
      <c r="K105" s="9">
        <f ca="1">(TODAY()-staff[[#This Row],[Date Joined]])/365</f>
        <v>2.3506849315068492</v>
      </c>
      <c r="L105" s="6">
        <f ca="1">ROUNDUP(IF(staff[tenure]&gt;2,3%,2%)*staff[Salary],0)</f>
        <v>2307</v>
      </c>
      <c r="M105" s="28">
        <f>VLOOKUP(staff[[#This Row],[Rating]],Sheet7!$C$4:$D$8,2,0)</f>
        <v>4</v>
      </c>
      <c r="N105" s="9"/>
    </row>
    <row r="106" spans="3:14" x14ac:dyDescent="0.25">
      <c r="C106" s="7" t="s">
        <v>62</v>
      </c>
      <c r="D106" s="7" t="s">
        <v>8</v>
      </c>
      <c r="E106">
        <v>22</v>
      </c>
      <c r="F106" t="s">
        <v>13</v>
      </c>
      <c r="G106" s="8">
        <v>44450</v>
      </c>
      <c r="H106" s="7" t="s">
        <v>9</v>
      </c>
      <c r="I106">
        <v>76900</v>
      </c>
      <c r="J106" t="s">
        <v>208</v>
      </c>
      <c r="K106" s="9">
        <f ca="1">(TODAY()-staff[[#This Row],[Date Joined]])/365</f>
        <v>2.1808219178082191</v>
      </c>
      <c r="L106" s="6">
        <f ca="1">ROUNDUP(IF(staff[tenure]&gt;2,3%,2%)*staff[Salary],0)</f>
        <v>2307</v>
      </c>
      <c r="M106" s="28">
        <f>VLOOKUP(staff[[#This Row],[Rating]],Sheet7!$C$4:$D$8,2,0)</f>
        <v>4</v>
      </c>
      <c r="N106" s="9"/>
    </row>
    <row r="107" spans="3:14" x14ac:dyDescent="0.25">
      <c r="C107" s="7" t="s">
        <v>164</v>
      </c>
      <c r="D107" s="7" t="s">
        <v>8</v>
      </c>
      <c r="E107">
        <v>36</v>
      </c>
      <c r="F107" t="s">
        <v>16</v>
      </c>
      <c r="G107" s="8">
        <v>44468</v>
      </c>
      <c r="H107" s="7" t="s">
        <v>9</v>
      </c>
      <c r="I107">
        <v>78390</v>
      </c>
      <c r="J107" t="s">
        <v>206</v>
      </c>
      <c r="K107" s="9">
        <f ca="1">(TODAY()-staff[[#This Row],[Date Joined]])/365</f>
        <v>2.1315068493150684</v>
      </c>
      <c r="L107" s="6">
        <f ca="1">ROUNDUP(IF(staff[tenure]&gt;2,3%,2%)*staff[Salary],0)</f>
        <v>2352</v>
      </c>
      <c r="M107" s="28">
        <f>VLOOKUP(staff[[#This Row],[Rating]],Sheet7!$C$4:$D$8,2,0)</f>
        <v>3</v>
      </c>
      <c r="N107" s="9"/>
    </row>
    <row r="108" spans="3:14" x14ac:dyDescent="0.25">
      <c r="C108" s="7" t="s">
        <v>72</v>
      </c>
      <c r="D108" s="7" t="s">
        <v>8</v>
      </c>
      <c r="E108">
        <v>36</v>
      </c>
      <c r="F108" t="s">
        <v>16</v>
      </c>
      <c r="G108" s="8">
        <v>44529</v>
      </c>
      <c r="H108" s="7" t="s">
        <v>9</v>
      </c>
      <c r="I108">
        <v>78390</v>
      </c>
      <c r="J108" t="s">
        <v>208</v>
      </c>
      <c r="K108" s="9">
        <f ca="1">(TODAY()-staff[[#This Row],[Date Joined]])/365</f>
        <v>1.9643835616438357</v>
      </c>
      <c r="L108" s="6">
        <f ca="1">ROUNDUP(IF(staff[tenure]&gt;2,3%,2%)*staff[Salary],0)</f>
        <v>1568</v>
      </c>
      <c r="M108" s="28">
        <f>VLOOKUP(staff[[#This Row],[Rating]],Sheet7!$C$4:$D$8,2,0)</f>
        <v>3</v>
      </c>
      <c r="N108" s="9"/>
    </row>
    <row r="109" spans="3:14" x14ac:dyDescent="0.25">
      <c r="C109" s="7" t="s">
        <v>141</v>
      </c>
      <c r="D109" s="7" t="s">
        <v>8</v>
      </c>
      <c r="E109">
        <v>36</v>
      </c>
      <c r="F109" t="s">
        <v>16</v>
      </c>
      <c r="G109" s="8">
        <v>44433</v>
      </c>
      <c r="H109" s="7" t="s">
        <v>19</v>
      </c>
      <c r="I109">
        <v>78540</v>
      </c>
      <c r="J109" t="s">
        <v>206</v>
      </c>
      <c r="K109" s="9">
        <f ca="1">(TODAY()-staff[[#This Row],[Date Joined]])/365</f>
        <v>2.2273972602739724</v>
      </c>
      <c r="L109" s="6">
        <f ca="1">ROUNDUP(IF(staff[tenure]&gt;2,3%,2%)*staff[Salary],0)</f>
        <v>2357</v>
      </c>
      <c r="M109" s="28">
        <f>VLOOKUP(staff[[#This Row],[Rating]],Sheet7!$C$4:$D$8,2,0)</f>
        <v>3</v>
      </c>
      <c r="N109" s="9"/>
    </row>
    <row r="110" spans="3:14" x14ac:dyDescent="0.25">
      <c r="C110" s="7" t="s">
        <v>48</v>
      </c>
      <c r="D110" s="7" t="s">
        <v>8</v>
      </c>
      <c r="E110">
        <v>36</v>
      </c>
      <c r="F110" t="s">
        <v>16</v>
      </c>
      <c r="G110" s="8">
        <v>44494</v>
      </c>
      <c r="H110" s="7" t="s">
        <v>19</v>
      </c>
      <c r="I110">
        <v>78540</v>
      </c>
      <c r="J110" t="s">
        <v>208</v>
      </c>
      <c r="K110" s="9">
        <f ca="1">(TODAY()-staff[[#This Row],[Date Joined]])/365</f>
        <v>2.0602739726027397</v>
      </c>
      <c r="L110" s="6">
        <f ca="1">ROUNDUP(IF(staff[tenure]&gt;2,3%,2%)*staff[Salary],0)</f>
        <v>2357</v>
      </c>
      <c r="M110" s="28">
        <f>VLOOKUP(staff[[#This Row],[Rating]],Sheet7!$C$4:$D$8,2,0)</f>
        <v>3</v>
      </c>
      <c r="N110" s="9"/>
    </row>
    <row r="111" spans="3:14" x14ac:dyDescent="0.25">
      <c r="C111" s="7" t="s">
        <v>197</v>
      </c>
      <c r="D111" s="7" t="s">
        <v>15</v>
      </c>
      <c r="E111">
        <v>20</v>
      </c>
      <c r="F111" t="s">
        <v>16</v>
      </c>
      <c r="G111" s="8">
        <v>44683</v>
      </c>
      <c r="H111" s="7" t="s">
        <v>9</v>
      </c>
      <c r="I111">
        <v>79570</v>
      </c>
      <c r="J111" t="s">
        <v>206</v>
      </c>
      <c r="K111" s="9">
        <f ca="1">(TODAY()-staff[[#This Row],[Date Joined]])/365</f>
        <v>1.5424657534246575</v>
      </c>
      <c r="L111" s="6">
        <f ca="1">ROUNDUP(IF(staff[tenure]&gt;2,3%,2%)*staff[Salary],0)</f>
        <v>1592</v>
      </c>
      <c r="M111" s="28">
        <f>VLOOKUP(staff[[#This Row],[Rating]],Sheet7!$C$4:$D$8,2,0)</f>
        <v>3</v>
      </c>
      <c r="N111" s="9"/>
    </row>
    <row r="112" spans="3:14" x14ac:dyDescent="0.25">
      <c r="C112" s="7" t="s">
        <v>104</v>
      </c>
      <c r="D112" s="7" t="s">
        <v>15</v>
      </c>
      <c r="E112">
        <v>20</v>
      </c>
      <c r="F112" t="s">
        <v>16</v>
      </c>
      <c r="G112" s="8">
        <v>44744</v>
      </c>
      <c r="H112" s="7" t="s">
        <v>9</v>
      </c>
      <c r="I112">
        <v>79570</v>
      </c>
      <c r="J112" t="s">
        <v>208</v>
      </c>
      <c r="K112" s="9">
        <f ca="1">(TODAY()-staff[[#This Row],[Date Joined]])/365</f>
        <v>1.3753424657534246</v>
      </c>
      <c r="L112" s="6">
        <f ca="1">ROUNDUP(IF(staff[tenure]&gt;2,3%,2%)*staff[Salary],0)</f>
        <v>1592</v>
      </c>
      <c r="M112" s="28">
        <f>VLOOKUP(staff[[#This Row],[Rating]],Sheet7!$C$4:$D$8,2,0)</f>
        <v>3</v>
      </c>
      <c r="N112" s="9"/>
    </row>
    <row r="113" spans="3:14" x14ac:dyDescent="0.25">
      <c r="C113" s="7" t="s">
        <v>133</v>
      </c>
      <c r="D113" s="7" t="s">
        <v>8</v>
      </c>
      <c r="E113">
        <v>25</v>
      </c>
      <c r="F113" t="s">
        <v>13</v>
      </c>
      <c r="G113" s="8">
        <v>44633</v>
      </c>
      <c r="H113" s="7" t="s">
        <v>12</v>
      </c>
      <c r="I113">
        <v>80700</v>
      </c>
      <c r="J113" t="s">
        <v>206</v>
      </c>
      <c r="K113" s="9">
        <f ca="1">(TODAY()-staff[[#This Row],[Date Joined]])/365</f>
        <v>1.6794520547945206</v>
      </c>
      <c r="L113" s="6">
        <f ca="1">ROUNDUP(IF(staff[tenure]&gt;2,3%,2%)*staff[Salary],0)</f>
        <v>1614</v>
      </c>
      <c r="M113" s="28">
        <f>VLOOKUP(staff[[#This Row],[Rating]],Sheet7!$C$4:$D$8,2,0)</f>
        <v>4</v>
      </c>
      <c r="N113" s="9"/>
    </row>
    <row r="114" spans="3:14" x14ac:dyDescent="0.25">
      <c r="C114" s="7" t="s">
        <v>39</v>
      </c>
      <c r="D114" s="7" t="s">
        <v>8</v>
      </c>
      <c r="E114">
        <v>25</v>
      </c>
      <c r="F114" t="s">
        <v>13</v>
      </c>
      <c r="G114" s="8">
        <v>44694</v>
      </c>
      <c r="H114" s="7" t="s">
        <v>12</v>
      </c>
      <c r="I114">
        <v>80700</v>
      </c>
      <c r="J114" t="s">
        <v>208</v>
      </c>
      <c r="K114" s="9">
        <f ca="1">(TODAY()-staff[[#This Row],[Date Joined]])/365</f>
        <v>1.5123287671232877</v>
      </c>
      <c r="L114" s="6">
        <f ca="1">ROUNDUP(IF(staff[tenure]&gt;2,3%,2%)*staff[Salary],0)</f>
        <v>1614</v>
      </c>
      <c r="M114" s="28">
        <f>VLOOKUP(staff[[#This Row],[Rating]],Sheet7!$C$4:$D$8,2,0)</f>
        <v>4</v>
      </c>
      <c r="N114" s="9"/>
    </row>
    <row r="115" spans="3:14" x14ac:dyDescent="0.25">
      <c r="C115" s="7" t="s">
        <v>185</v>
      </c>
      <c r="D115" s="7" t="s">
        <v>8</v>
      </c>
      <c r="E115">
        <v>27</v>
      </c>
      <c r="F115" t="s">
        <v>16</v>
      </c>
      <c r="G115" s="8">
        <v>44625</v>
      </c>
      <c r="H115" s="7" t="s">
        <v>12</v>
      </c>
      <c r="I115">
        <v>83750</v>
      </c>
      <c r="J115" t="s">
        <v>206</v>
      </c>
      <c r="K115" s="9">
        <f ca="1">(TODAY()-staff[[#This Row],[Date Joined]])/365</f>
        <v>1.7013698630136986</v>
      </c>
      <c r="L115" s="6">
        <f ca="1">ROUNDUP(IF(staff[tenure]&gt;2,3%,2%)*staff[Salary],0)</f>
        <v>1675</v>
      </c>
      <c r="M115" s="28">
        <f>VLOOKUP(staff[[#This Row],[Rating]],Sheet7!$C$4:$D$8,2,0)</f>
        <v>3</v>
      </c>
      <c r="N115" s="9"/>
    </row>
    <row r="116" spans="3:14" x14ac:dyDescent="0.25">
      <c r="C116" s="7" t="s">
        <v>92</v>
      </c>
      <c r="D116" s="7" t="s">
        <v>8</v>
      </c>
      <c r="E116">
        <v>27</v>
      </c>
      <c r="F116" t="s">
        <v>16</v>
      </c>
      <c r="G116" s="8">
        <v>44686</v>
      </c>
      <c r="H116" s="7" t="s">
        <v>12</v>
      </c>
      <c r="I116">
        <v>83750</v>
      </c>
      <c r="J116" t="s">
        <v>208</v>
      </c>
      <c r="K116" s="9">
        <f ca="1">(TODAY()-staff[[#This Row],[Date Joined]])/365</f>
        <v>1.5342465753424657</v>
      </c>
      <c r="L116" s="6">
        <f ca="1">ROUNDUP(IF(staff[tenure]&gt;2,3%,2%)*staff[Salary],0)</f>
        <v>1675</v>
      </c>
      <c r="M116" s="28">
        <f>VLOOKUP(staff[[#This Row],[Rating]],Sheet7!$C$4:$D$8,2,0)</f>
        <v>3</v>
      </c>
      <c r="N116" s="9"/>
    </row>
    <row r="117" spans="3:14" x14ac:dyDescent="0.25">
      <c r="C117" s="7" t="s">
        <v>122</v>
      </c>
      <c r="D117" s="7" t="s">
        <v>8</v>
      </c>
      <c r="E117">
        <v>34</v>
      </c>
      <c r="F117" t="s">
        <v>16</v>
      </c>
      <c r="G117" s="8">
        <v>44397</v>
      </c>
      <c r="H117" s="7" t="s">
        <v>21</v>
      </c>
      <c r="I117">
        <v>85000</v>
      </c>
      <c r="J117" t="s">
        <v>206</v>
      </c>
      <c r="K117" s="9">
        <f ca="1">(TODAY()-staff[[#This Row],[Date Joined]])/365</f>
        <v>2.3260273972602739</v>
      </c>
      <c r="L117" s="6">
        <f ca="1">ROUNDUP(IF(staff[tenure]&gt;2,3%,2%)*staff[Salary],0)</f>
        <v>2550</v>
      </c>
      <c r="M117" s="28">
        <f>VLOOKUP(staff[[#This Row],[Rating]],Sheet7!$C$4:$D$8,2,0)</f>
        <v>3</v>
      </c>
      <c r="N117" s="9"/>
    </row>
    <row r="118" spans="3:14" x14ac:dyDescent="0.25">
      <c r="C118" s="7" t="s">
        <v>28</v>
      </c>
      <c r="D118" s="7" t="s">
        <v>8</v>
      </c>
      <c r="E118">
        <v>34</v>
      </c>
      <c r="F118" t="s">
        <v>16</v>
      </c>
      <c r="G118" s="8">
        <v>44459</v>
      </c>
      <c r="H118" s="7" t="s">
        <v>21</v>
      </c>
      <c r="I118">
        <v>85000</v>
      </c>
      <c r="J118" t="s">
        <v>208</v>
      </c>
      <c r="K118" s="9">
        <f ca="1">(TODAY()-staff[[#This Row],[Date Joined]])/365</f>
        <v>2.1561643835616437</v>
      </c>
      <c r="L118" s="6">
        <f ca="1">ROUNDUP(IF(staff[tenure]&gt;2,3%,2%)*staff[Salary],0)</f>
        <v>2550</v>
      </c>
      <c r="M118" s="28">
        <f>VLOOKUP(staff[[#This Row],[Rating]],Sheet7!$C$4:$D$8,2,0)</f>
        <v>3</v>
      </c>
      <c r="N118" s="9"/>
    </row>
    <row r="119" spans="3:14" x14ac:dyDescent="0.25">
      <c r="C119" s="7" t="s">
        <v>181</v>
      </c>
      <c r="D119" s="7" t="s">
        <v>8</v>
      </c>
      <c r="E119">
        <v>33</v>
      </c>
      <c r="F119" t="s">
        <v>16</v>
      </c>
      <c r="G119" s="8">
        <v>44747</v>
      </c>
      <c r="H119" s="7" t="s">
        <v>21</v>
      </c>
      <c r="I119">
        <v>86570</v>
      </c>
      <c r="J119" t="s">
        <v>206</v>
      </c>
      <c r="K119" s="9">
        <f ca="1">(TODAY()-staff[[#This Row],[Date Joined]])/365</f>
        <v>1.3671232876712329</v>
      </c>
      <c r="L119" s="6">
        <f ca="1">ROUNDUP(IF(staff[tenure]&gt;2,3%,2%)*staff[Salary],0)</f>
        <v>1732</v>
      </c>
      <c r="M119" s="28">
        <f>VLOOKUP(staff[[#This Row],[Rating]],Sheet7!$C$4:$D$8,2,0)</f>
        <v>3</v>
      </c>
      <c r="N119" s="9"/>
    </row>
    <row r="120" spans="3:14" x14ac:dyDescent="0.25">
      <c r="C120" s="7" t="s">
        <v>88</v>
      </c>
      <c r="D120" s="7" t="s">
        <v>8</v>
      </c>
      <c r="E120">
        <v>33</v>
      </c>
      <c r="F120" t="s">
        <v>16</v>
      </c>
      <c r="G120" s="8">
        <v>44809</v>
      </c>
      <c r="H120" s="7" t="s">
        <v>21</v>
      </c>
      <c r="I120">
        <v>86570</v>
      </c>
      <c r="J120" t="s">
        <v>208</v>
      </c>
      <c r="K120" s="9">
        <f ca="1">(TODAY()-staff[[#This Row],[Date Joined]])/365</f>
        <v>1.1972602739726028</v>
      </c>
      <c r="L120" s="6">
        <f ca="1">ROUNDUP(IF(staff[tenure]&gt;2,3%,2%)*staff[Salary],0)</f>
        <v>1732</v>
      </c>
      <c r="M120" s="28">
        <f>VLOOKUP(staff[[#This Row],[Rating]],Sheet7!$C$4:$D$8,2,0)</f>
        <v>3</v>
      </c>
      <c r="N120" s="9"/>
    </row>
    <row r="121" spans="3:14" x14ac:dyDescent="0.25">
      <c r="C121" s="7" t="s">
        <v>166</v>
      </c>
      <c r="D121" s="7" t="s">
        <v>8</v>
      </c>
      <c r="E121">
        <v>40</v>
      </c>
      <c r="F121" t="s">
        <v>16</v>
      </c>
      <c r="G121" s="8">
        <v>44276</v>
      </c>
      <c r="H121" s="7" t="s">
        <v>12</v>
      </c>
      <c r="I121">
        <v>87620</v>
      </c>
      <c r="J121" t="s">
        <v>206</v>
      </c>
      <c r="K121" s="9">
        <f ca="1">(TODAY()-staff[[#This Row],[Date Joined]])/365</f>
        <v>2.6575342465753424</v>
      </c>
      <c r="L121" s="6">
        <f ca="1">ROUNDUP(IF(staff[tenure]&gt;2,3%,2%)*staff[Salary],0)</f>
        <v>2629</v>
      </c>
      <c r="M121" s="28">
        <f>VLOOKUP(staff[[#This Row],[Rating]],Sheet7!$C$4:$D$8,2,0)</f>
        <v>3</v>
      </c>
      <c r="N121" s="9"/>
    </row>
    <row r="122" spans="3:14" x14ac:dyDescent="0.25">
      <c r="C122" s="7" t="s">
        <v>74</v>
      </c>
      <c r="D122" s="7" t="s">
        <v>8</v>
      </c>
      <c r="E122">
        <v>40</v>
      </c>
      <c r="F122" t="s">
        <v>16</v>
      </c>
      <c r="G122" s="8">
        <v>44337</v>
      </c>
      <c r="H122" s="7" t="s">
        <v>12</v>
      </c>
      <c r="I122">
        <v>87620</v>
      </c>
      <c r="J122" t="s">
        <v>208</v>
      </c>
      <c r="K122" s="9">
        <f ca="1">(TODAY()-staff[[#This Row],[Date Joined]])/365</f>
        <v>2.4904109589041097</v>
      </c>
      <c r="L122" s="6">
        <f ca="1">ROUNDUP(IF(staff[tenure]&gt;2,3%,2%)*staff[Salary],0)</f>
        <v>2629</v>
      </c>
      <c r="M122" s="28">
        <f>VLOOKUP(staff[[#This Row],[Rating]],Sheet7!$C$4:$D$8,2,0)</f>
        <v>3</v>
      </c>
      <c r="N122" s="9"/>
    </row>
    <row r="123" spans="3:14" x14ac:dyDescent="0.25">
      <c r="C123" s="7" t="s">
        <v>118</v>
      </c>
      <c r="D123" s="7" t="s">
        <v>15</v>
      </c>
      <c r="E123">
        <v>37</v>
      </c>
      <c r="F123" t="s">
        <v>24</v>
      </c>
      <c r="G123" s="8">
        <v>44277</v>
      </c>
      <c r="H123" s="7" t="s">
        <v>12</v>
      </c>
      <c r="I123">
        <v>88050</v>
      </c>
      <c r="J123" t="s">
        <v>206</v>
      </c>
      <c r="K123" s="9">
        <f ca="1">(TODAY()-staff[[#This Row],[Date Joined]])/365</f>
        <v>2.6547945205479451</v>
      </c>
      <c r="L123" s="6">
        <f ca="1">ROUNDUP(IF(staff[tenure]&gt;2,3%,2%)*staff[Salary],0)</f>
        <v>2642</v>
      </c>
      <c r="M123" s="28">
        <f>VLOOKUP(staff[[#This Row],[Rating]],Sheet7!$C$4:$D$8,2,0)</f>
        <v>2</v>
      </c>
      <c r="N123" s="9"/>
    </row>
    <row r="124" spans="3:14" x14ac:dyDescent="0.25">
      <c r="C124" s="7" t="s">
        <v>23</v>
      </c>
      <c r="D124" s="7" t="s">
        <v>15</v>
      </c>
      <c r="E124">
        <v>37</v>
      </c>
      <c r="F124" t="s">
        <v>24</v>
      </c>
      <c r="G124" s="8">
        <v>44338</v>
      </c>
      <c r="H124" s="7" t="s">
        <v>12</v>
      </c>
      <c r="I124">
        <v>88050</v>
      </c>
      <c r="J124" t="s">
        <v>208</v>
      </c>
      <c r="K124" s="9">
        <f ca="1">(TODAY()-staff[[#This Row],[Date Joined]])/365</f>
        <v>2.4876712328767123</v>
      </c>
      <c r="L124" s="6">
        <f ca="1">ROUNDUP(IF(staff[tenure]&gt;2,3%,2%)*staff[Salary],0)</f>
        <v>2642</v>
      </c>
      <c r="M124" s="28">
        <f>VLOOKUP(staff[[#This Row],[Rating]],Sheet7!$C$4:$D$8,2,0)</f>
        <v>2</v>
      </c>
      <c r="N124" s="9"/>
    </row>
    <row r="125" spans="3:14" x14ac:dyDescent="0.25">
      <c r="C125" s="7" t="s">
        <v>112</v>
      </c>
      <c r="D125" s="7" t="s">
        <v>207</v>
      </c>
      <c r="E125">
        <v>27</v>
      </c>
      <c r="F125" t="s">
        <v>13</v>
      </c>
      <c r="G125" s="8">
        <v>44212</v>
      </c>
      <c r="H125" s="7" t="s">
        <v>12</v>
      </c>
      <c r="I125">
        <v>90700</v>
      </c>
      <c r="J125" t="s">
        <v>206</v>
      </c>
      <c r="K125" s="9">
        <f ca="1">(TODAY()-staff[[#This Row],[Date Joined]])/365</f>
        <v>2.8328767123287673</v>
      </c>
      <c r="L125" s="6">
        <f ca="1">ROUNDUP(IF(staff[tenure]&gt;2,3%,2%)*staff[Salary],0)</f>
        <v>2721</v>
      </c>
      <c r="M125" s="28">
        <f>VLOOKUP(staff[[#This Row],[Rating]],Sheet7!$C$4:$D$8,2,0)</f>
        <v>4</v>
      </c>
      <c r="N125" s="9"/>
    </row>
    <row r="126" spans="3:14" x14ac:dyDescent="0.25">
      <c r="C126" s="7" t="s">
        <v>11</v>
      </c>
      <c r="D126" s="7" t="s">
        <v>207</v>
      </c>
      <c r="E126">
        <v>26</v>
      </c>
      <c r="F126" t="s">
        <v>13</v>
      </c>
      <c r="G126" s="8">
        <v>44271</v>
      </c>
      <c r="H126" s="7" t="s">
        <v>12</v>
      </c>
      <c r="I126">
        <v>90700</v>
      </c>
      <c r="J126" t="s">
        <v>208</v>
      </c>
      <c r="K126" s="9">
        <f ca="1">(TODAY()-staff[[#This Row],[Date Joined]])/365</f>
        <v>2.6712328767123288</v>
      </c>
      <c r="L126" s="6">
        <f ca="1">ROUNDUP(IF(staff[tenure]&gt;2,3%,2%)*staff[Salary],0)</f>
        <v>2721</v>
      </c>
      <c r="M126" s="28">
        <f>VLOOKUP(staff[[#This Row],[Rating]],Sheet7!$C$4:$D$8,2,0)</f>
        <v>4</v>
      </c>
      <c r="N126" s="9"/>
    </row>
    <row r="127" spans="3:14" x14ac:dyDescent="0.25">
      <c r="C127" s="7" t="s">
        <v>145</v>
      </c>
      <c r="D127" s="7" t="s">
        <v>207</v>
      </c>
      <c r="E127">
        <v>32</v>
      </c>
      <c r="F127" t="s">
        <v>16</v>
      </c>
      <c r="G127" s="8">
        <v>44713</v>
      </c>
      <c r="H127" s="7" t="s">
        <v>12</v>
      </c>
      <c r="I127">
        <v>91310</v>
      </c>
      <c r="J127" t="s">
        <v>206</v>
      </c>
      <c r="K127" s="9">
        <f ca="1">(TODAY()-staff[[#This Row],[Date Joined]])/365</f>
        <v>1.4602739726027398</v>
      </c>
      <c r="L127" s="6">
        <f ca="1">ROUNDUP(IF(staff[tenure]&gt;2,3%,2%)*staff[Salary],0)</f>
        <v>1827</v>
      </c>
      <c r="M127" s="28">
        <f>VLOOKUP(staff[[#This Row],[Rating]],Sheet7!$C$4:$D$8,2,0)</f>
        <v>3</v>
      </c>
      <c r="N127" s="9"/>
    </row>
    <row r="128" spans="3:14" x14ac:dyDescent="0.25">
      <c r="C128" s="7" t="s">
        <v>52</v>
      </c>
      <c r="D128" s="7" t="s">
        <v>207</v>
      </c>
      <c r="E128">
        <v>32</v>
      </c>
      <c r="F128" t="s">
        <v>16</v>
      </c>
      <c r="G128" s="8">
        <v>44774</v>
      </c>
      <c r="H128" s="7" t="s">
        <v>12</v>
      </c>
      <c r="I128">
        <v>91310</v>
      </c>
      <c r="J128" t="s">
        <v>208</v>
      </c>
      <c r="K128" s="9">
        <f ca="1">(TODAY()-staff[[#This Row],[Date Joined]])/365</f>
        <v>1.2931506849315069</v>
      </c>
      <c r="L128" s="6">
        <f ca="1">ROUNDUP(IF(staff[tenure]&gt;2,3%,2%)*staff[Salary],0)</f>
        <v>1827</v>
      </c>
      <c r="M128" s="28">
        <f>VLOOKUP(staff[[#This Row],[Rating]],Sheet7!$C$4:$D$8,2,0)</f>
        <v>3</v>
      </c>
      <c r="N128" s="9"/>
    </row>
    <row r="129" spans="3:14" x14ac:dyDescent="0.25">
      <c r="C129" s="7" t="s">
        <v>160</v>
      </c>
      <c r="D129" s="7" t="s">
        <v>15</v>
      </c>
      <c r="E129">
        <v>27</v>
      </c>
      <c r="F129" t="s">
        <v>13</v>
      </c>
      <c r="G129" s="8">
        <v>44174</v>
      </c>
      <c r="H129" s="7" t="s">
        <v>21</v>
      </c>
      <c r="I129">
        <v>91650</v>
      </c>
      <c r="J129" t="s">
        <v>206</v>
      </c>
      <c r="K129" s="9">
        <f ca="1">(TODAY()-staff[[#This Row],[Date Joined]])/365</f>
        <v>2.9369863013698629</v>
      </c>
      <c r="L129" s="6">
        <f ca="1">ROUNDUP(IF(staff[tenure]&gt;2,3%,2%)*staff[Salary],0)</f>
        <v>2750</v>
      </c>
      <c r="M129" s="28">
        <f>VLOOKUP(staff[[#This Row],[Rating]],Sheet7!$C$4:$D$8,2,0)</f>
        <v>4</v>
      </c>
      <c r="N129" s="9"/>
    </row>
    <row r="130" spans="3:14" x14ac:dyDescent="0.25">
      <c r="C130" s="7" t="s">
        <v>68</v>
      </c>
      <c r="D130" s="7" t="s">
        <v>15</v>
      </c>
      <c r="E130">
        <v>27</v>
      </c>
      <c r="F130" t="s">
        <v>13</v>
      </c>
      <c r="G130" s="8">
        <v>44236</v>
      </c>
      <c r="H130" s="7" t="s">
        <v>21</v>
      </c>
      <c r="I130">
        <v>91650</v>
      </c>
      <c r="J130" t="s">
        <v>208</v>
      </c>
      <c r="K130" s="9">
        <f ca="1">(TODAY()-staff[[#This Row],[Date Joined]])/365</f>
        <v>2.7671232876712328</v>
      </c>
      <c r="L130" s="6">
        <f ca="1">ROUNDUP(IF(staff[tenure]&gt;2,3%,2%)*staff[Salary],0)</f>
        <v>2750</v>
      </c>
      <c r="M130" s="28">
        <f>VLOOKUP(staff[[#This Row],[Rating]],Sheet7!$C$4:$D$8,2,0)</f>
        <v>4</v>
      </c>
      <c r="N130" s="9"/>
    </row>
    <row r="131" spans="3:14" x14ac:dyDescent="0.25">
      <c r="C131" s="7" t="s">
        <v>195</v>
      </c>
      <c r="D131" s="7" t="s">
        <v>8</v>
      </c>
      <c r="E131">
        <v>34</v>
      </c>
      <c r="F131" t="s">
        <v>16</v>
      </c>
      <c r="G131" s="8">
        <v>44383</v>
      </c>
      <c r="H131" s="7" t="s">
        <v>21</v>
      </c>
      <c r="I131">
        <v>92450</v>
      </c>
      <c r="J131" t="s">
        <v>206</v>
      </c>
      <c r="K131" s="9">
        <f ca="1">(TODAY()-staff[[#This Row],[Date Joined]])/365</f>
        <v>2.3643835616438356</v>
      </c>
      <c r="L131" s="6">
        <f ca="1">ROUNDUP(IF(staff[tenure]&gt;2,3%,2%)*staff[Salary],0)</f>
        <v>2774</v>
      </c>
      <c r="M131" s="28">
        <f>VLOOKUP(staff[[#This Row],[Rating]],Sheet7!$C$4:$D$8,2,0)</f>
        <v>3</v>
      </c>
      <c r="N131" s="9"/>
    </row>
    <row r="132" spans="3:14" x14ac:dyDescent="0.25">
      <c r="C132" s="7" t="s">
        <v>102</v>
      </c>
      <c r="D132" s="7" t="s">
        <v>8</v>
      </c>
      <c r="E132">
        <v>34</v>
      </c>
      <c r="F132" t="s">
        <v>16</v>
      </c>
      <c r="G132" s="8">
        <v>44445</v>
      </c>
      <c r="H132" s="7" t="s">
        <v>21</v>
      </c>
      <c r="I132">
        <v>92450</v>
      </c>
      <c r="J132" t="s">
        <v>208</v>
      </c>
      <c r="K132" s="9">
        <f ca="1">(TODAY()-staff[[#This Row],[Date Joined]])/365</f>
        <v>2.1945205479452055</v>
      </c>
      <c r="L132" s="6">
        <f ca="1">ROUNDUP(IF(staff[tenure]&gt;2,3%,2%)*staff[Salary],0)</f>
        <v>2774</v>
      </c>
      <c r="M132" s="28">
        <f>VLOOKUP(staff[[#This Row],[Rating]],Sheet7!$C$4:$D$8,2,0)</f>
        <v>3</v>
      </c>
      <c r="N132" s="9"/>
    </row>
    <row r="133" spans="3:14" x14ac:dyDescent="0.25">
      <c r="C133" s="7" t="s">
        <v>169</v>
      </c>
      <c r="D133" s="7" t="s">
        <v>8</v>
      </c>
      <c r="E133">
        <v>25</v>
      </c>
      <c r="F133" t="s">
        <v>16</v>
      </c>
      <c r="G133" s="8">
        <v>44144</v>
      </c>
      <c r="H133" s="7" t="s">
        <v>19</v>
      </c>
      <c r="I133">
        <v>92700</v>
      </c>
      <c r="J133" t="s">
        <v>206</v>
      </c>
      <c r="K133" s="9">
        <f ca="1">(TODAY()-staff[[#This Row],[Date Joined]])/365</f>
        <v>3.0191780821917806</v>
      </c>
      <c r="L133" s="6">
        <f ca="1">ROUNDUP(IF(staff[tenure]&gt;2,3%,2%)*staff[Salary],0)</f>
        <v>2781</v>
      </c>
      <c r="M133" s="28">
        <f>VLOOKUP(staff[[#This Row],[Rating]],Sheet7!$C$4:$D$8,2,0)</f>
        <v>3</v>
      </c>
      <c r="N133" s="9"/>
    </row>
    <row r="134" spans="3:14" x14ac:dyDescent="0.25">
      <c r="C134" s="7" t="s">
        <v>77</v>
      </c>
      <c r="D134" s="7" t="s">
        <v>8</v>
      </c>
      <c r="E134">
        <v>25</v>
      </c>
      <c r="F134" t="s">
        <v>16</v>
      </c>
      <c r="G134" s="8">
        <v>44205</v>
      </c>
      <c r="H134" s="7" t="s">
        <v>19</v>
      </c>
      <c r="I134">
        <v>92700</v>
      </c>
      <c r="J134" t="s">
        <v>208</v>
      </c>
      <c r="K134" s="9">
        <f ca="1">(TODAY()-staff[[#This Row],[Date Joined]])/365</f>
        <v>2.8520547945205479</v>
      </c>
      <c r="L134" s="6">
        <f ca="1">ROUNDUP(IF(staff[tenure]&gt;2,3%,2%)*staff[Salary],0)</f>
        <v>2781</v>
      </c>
      <c r="M134" s="28">
        <f>VLOOKUP(staff[[#This Row],[Rating]],Sheet7!$C$4:$D$8,2,0)</f>
        <v>3</v>
      </c>
      <c r="N134" s="9"/>
    </row>
    <row r="135" spans="3:14" x14ac:dyDescent="0.25">
      <c r="C135" s="7" t="s">
        <v>163</v>
      </c>
      <c r="D135" s="7" t="s">
        <v>8</v>
      </c>
      <c r="E135">
        <v>33</v>
      </c>
      <c r="F135" t="s">
        <v>16</v>
      </c>
      <c r="G135" s="8">
        <v>44129</v>
      </c>
      <c r="H135" s="7" t="s">
        <v>12</v>
      </c>
      <c r="I135">
        <v>96140</v>
      </c>
      <c r="J135" t="s">
        <v>206</v>
      </c>
      <c r="K135" s="9">
        <f ca="1">(TODAY()-staff[[#This Row],[Date Joined]])/365</f>
        <v>3.0602739726027397</v>
      </c>
      <c r="L135" s="6">
        <f ca="1">ROUNDUP(IF(staff[tenure]&gt;2,3%,2%)*staff[Salary],0)</f>
        <v>2885</v>
      </c>
      <c r="M135" s="28">
        <f>VLOOKUP(staff[[#This Row],[Rating]],Sheet7!$C$4:$D$8,2,0)</f>
        <v>3</v>
      </c>
      <c r="N135" s="9"/>
    </row>
    <row r="136" spans="3:14" x14ac:dyDescent="0.25">
      <c r="C136" s="7" t="s">
        <v>71</v>
      </c>
      <c r="D136" s="7" t="s">
        <v>8</v>
      </c>
      <c r="E136">
        <v>33</v>
      </c>
      <c r="F136" t="s">
        <v>16</v>
      </c>
      <c r="G136" s="8">
        <v>44190</v>
      </c>
      <c r="H136" s="7" t="s">
        <v>12</v>
      </c>
      <c r="I136">
        <v>96140</v>
      </c>
      <c r="J136" t="s">
        <v>208</v>
      </c>
      <c r="K136" s="9">
        <f ca="1">(TODAY()-staff[[#This Row],[Date Joined]])/365</f>
        <v>2.893150684931507</v>
      </c>
      <c r="L136" s="6">
        <f ca="1">ROUNDUP(IF(staff[tenure]&gt;2,3%,2%)*staff[Salary],0)</f>
        <v>2885</v>
      </c>
      <c r="M136" s="28">
        <f>VLOOKUP(staff[[#This Row],[Rating]],Sheet7!$C$4:$D$8,2,0)</f>
        <v>3</v>
      </c>
      <c r="N136" s="9"/>
    </row>
    <row r="137" spans="3:14" x14ac:dyDescent="0.25">
      <c r="C137" s="7" t="s">
        <v>177</v>
      </c>
      <c r="D137" s="7" t="s">
        <v>15</v>
      </c>
      <c r="E137">
        <v>30</v>
      </c>
      <c r="F137" t="s">
        <v>16</v>
      </c>
      <c r="G137" s="8">
        <v>44544</v>
      </c>
      <c r="H137" s="7" t="s">
        <v>21</v>
      </c>
      <c r="I137">
        <v>96800</v>
      </c>
      <c r="J137" t="s">
        <v>206</v>
      </c>
      <c r="K137" s="9">
        <f ca="1">(TODAY()-staff[[#This Row],[Date Joined]])/365</f>
        <v>1.9232876712328768</v>
      </c>
      <c r="L137" s="6">
        <f ca="1">ROUNDUP(IF(staff[tenure]&gt;2,3%,2%)*staff[Salary],0)</f>
        <v>1936</v>
      </c>
      <c r="M137" s="28">
        <f>VLOOKUP(staff[[#This Row],[Rating]],Sheet7!$C$4:$D$8,2,0)</f>
        <v>3</v>
      </c>
      <c r="N137" s="9"/>
    </row>
    <row r="138" spans="3:14" x14ac:dyDescent="0.25">
      <c r="C138" s="7" t="s">
        <v>85</v>
      </c>
      <c r="D138" s="7" t="s">
        <v>15</v>
      </c>
      <c r="E138">
        <v>30</v>
      </c>
      <c r="F138" t="s">
        <v>16</v>
      </c>
      <c r="G138" s="8">
        <v>44606</v>
      </c>
      <c r="H138" s="7" t="s">
        <v>21</v>
      </c>
      <c r="I138">
        <v>96800</v>
      </c>
      <c r="J138" t="s">
        <v>208</v>
      </c>
      <c r="K138" s="9">
        <f ca="1">(TODAY()-staff[[#This Row],[Date Joined]])/365</f>
        <v>1.7534246575342465</v>
      </c>
      <c r="L138" s="6">
        <f ca="1">ROUNDUP(IF(staff[tenure]&gt;2,3%,2%)*staff[Salary],0)</f>
        <v>1936</v>
      </c>
      <c r="M138" s="28">
        <f>VLOOKUP(staff[[#This Row],[Rating]],Sheet7!$C$4:$D$8,2,0)</f>
        <v>3</v>
      </c>
      <c r="N138" s="9"/>
    </row>
    <row r="139" spans="3:14" x14ac:dyDescent="0.25">
      <c r="C139" s="7" t="s">
        <v>198</v>
      </c>
      <c r="D139" s="7" t="s">
        <v>15</v>
      </c>
      <c r="E139">
        <v>40</v>
      </c>
      <c r="F139" t="s">
        <v>16</v>
      </c>
      <c r="G139" s="8">
        <v>44204</v>
      </c>
      <c r="H139" s="7" t="s">
        <v>9</v>
      </c>
      <c r="I139">
        <v>99750</v>
      </c>
      <c r="J139" t="s">
        <v>206</v>
      </c>
      <c r="K139" s="9">
        <f ca="1">(TODAY()-staff[[#This Row],[Date Joined]])/365</f>
        <v>2.8547945205479452</v>
      </c>
      <c r="L139" s="6">
        <f ca="1">ROUNDUP(IF(staff[tenure]&gt;2,3%,2%)*staff[Salary],0)</f>
        <v>2993</v>
      </c>
      <c r="M139" s="28">
        <f>VLOOKUP(staff[[#This Row],[Rating]],Sheet7!$C$4:$D$8,2,0)</f>
        <v>3</v>
      </c>
      <c r="N139" s="9"/>
    </row>
    <row r="140" spans="3:14" x14ac:dyDescent="0.25">
      <c r="C140" s="7" t="s">
        <v>105</v>
      </c>
      <c r="D140" s="7" t="s">
        <v>15</v>
      </c>
      <c r="E140">
        <v>40</v>
      </c>
      <c r="F140" t="s">
        <v>16</v>
      </c>
      <c r="G140" s="8">
        <v>44263</v>
      </c>
      <c r="H140" s="7" t="s">
        <v>9</v>
      </c>
      <c r="I140">
        <v>99750</v>
      </c>
      <c r="J140" t="s">
        <v>208</v>
      </c>
      <c r="K140" s="9">
        <f ca="1">(TODAY()-staff[[#This Row],[Date Joined]])/365</f>
        <v>2.6931506849315068</v>
      </c>
      <c r="L140" s="6">
        <f ca="1">ROUNDUP(IF(staff[tenure]&gt;2,3%,2%)*staff[Salary],0)</f>
        <v>2993</v>
      </c>
      <c r="M140" s="28">
        <f>VLOOKUP(staff[[#This Row],[Rating]],Sheet7!$C$4:$D$8,2,0)</f>
        <v>3</v>
      </c>
      <c r="N140" s="9"/>
    </row>
    <row r="141" spans="3:14" x14ac:dyDescent="0.25">
      <c r="C141" s="7" t="s">
        <v>200</v>
      </c>
      <c r="D141" s="7" t="s">
        <v>8</v>
      </c>
      <c r="E141">
        <v>28</v>
      </c>
      <c r="F141" t="s">
        <v>16</v>
      </c>
      <c r="G141" s="8">
        <v>44571</v>
      </c>
      <c r="H141" s="7" t="s">
        <v>9</v>
      </c>
      <c r="I141">
        <v>99970</v>
      </c>
      <c r="J141" t="s">
        <v>206</v>
      </c>
      <c r="K141" s="9">
        <f ca="1">(TODAY()-staff[[#This Row],[Date Joined]])/365</f>
        <v>1.8493150684931507</v>
      </c>
      <c r="L141" s="6">
        <f ca="1">ROUNDUP(IF(staff[tenure]&gt;2,3%,2%)*staff[Salary],0)</f>
        <v>2000</v>
      </c>
      <c r="M141" s="28">
        <f>VLOOKUP(staff[[#This Row],[Rating]],Sheet7!$C$4:$D$8,2,0)</f>
        <v>3</v>
      </c>
      <c r="N141" s="9"/>
    </row>
    <row r="142" spans="3:14" x14ac:dyDescent="0.25">
      <c r="C142" s="7" t="s">
        <v>107</v>
      </c>
      <c r="D142" s="7" t="s">
        <v>8</v>
      </c>
      <c r="E142">
        <v>28</v>
      </c>
      <c r="F142" t="s">
        <v>16</v>
      </c>
      <c r="G142" s="8">
        <v>44630</v>
      </c>
      <c r="H142" s="7" t="s">
        <v>9</v>
      </c>
      <c r="I142">
        <v>99970</v>
      </c>
      <c r="J142" t="s">
        <v>208</v>
      </c>
      <c r="K142" s="9">
        <f ca="1">(TODAY()-staff[[#This Row],[Date Joined]])/365</f>
        <v>1.6876712328767123</v>
      </c>
      <c r="L142" s="6">
        <f ca="1">ROUNDUP(IF(staff[tenure]&gt;2,3%,2%)*staff[Salary],0)</f>
        <v>2000</v>
      </c>
      <c r="M142" s="28">
        <f>VLOOKUP(staff[[#This Row],[Rating]],Sheet7!$C$4:$D$8,2,0)</f>
        <v>3</v>
      </c>
      <c r="N142" s="9"/>
    </row>
    <row r="143" spans="3:14" x14ac:dyDescent="0.25">
      <c r="C143" s="7" t="s">
        <v>196</v>
      </c>
      <c r="D143" s="7" t="s">
        <v>15</v>
      </c>
      <c r="E143">
        <v>24</v>
      </c>
      <c r="F143" t="s">
        <v>16</v>
      </c>
      <c r="G143" s="8">
        <v>44625</v>
      </c>
      <c r="H143" s="7" t="s">
        <v>12</v>
      </c>
      <c r="I143">
        <v>100420</v>
      </c>
      <c r="J143" t="s">
        <v>206</v>
      </c>
      <c r="K143" s="9">
        <f ca="1">(TODAY()-staff[[#This Row],[Date Joined]])/365</f>
        <v>1.7013698630136986</v>
      </c>
      <c r="L143" s="6">
        <f ca="1">ROUNDUP(IF(staff[tenure]&gt;2,3%,2%)*staff[Salary],0)</f>
        <v>2009</v>
      </c>
      <c r="M143" s="28">
        <f>VLOOKUP(staff[[#This Row],[Rating]],Sheet7!$C$4:$D$8,2,0)</f>
        <v>3</v>
      </c>
      <c r="N143" s="9"/>
    </row>
    <row r="144" spans="3:14" x14ac:dyDescent="0.25">
      <c r="C144" s="7" t="s">
        <v>103</v>
      </c>
      <c r="D144" s="7" t="s">
        <v>15</v>
      </c>
      <c r="E144">
        <v>24</v>
      </c>
      <c r="F144" t="s">
        <v>16</v>
      </c>
      <c r="G144" s="8">
        <v>44686</v>
      </c>
      <c r="H144" s="7" t="s">
        <v>12</v>
      </c>
      <c r="I144">
        <v>100420</v>
      </c>
      <c r="J144" t="s">
        <v>208</v>
      </c>
      <c r="K144" s="9">
        <f ca="1">(TODAY()-staff[[#This Row],[Date Joined]])/365</f>
        <v>1.5342465753424657</v>
      </c>
      <c r="L144" s="6">
        <f ca="1">ROUNDUP(IF(staff[tenure]&gt;2,3%,2%)*staff[Salary],0)</f>
        <v>2009</v>
      </c>
      <c r="M144" s="28">
        <f>VLOOKUP(staff[[#This Row],[Rating]],Sheet7!$C$4:$D$8,2,0)</f>
        <v>3</v>
      </c>
      <c r="N144" s="9"/>
    </row>
    <row r="145" spans="3:14" x14ac:dyDescent="0.25">
      <c r="C145" s="7" t="s">
        <v>143</v>
      </c>
      <c r="D145" s="7" t="s">
        <v>15</v>
      </c>
      <c r="E145">
        <v>31</v>
      </c>
      <c r="F145" t="s">
        <v>16</v>
      </c>
      <c r="G145" s="8">
        <v>44663</v>
      </c>
      <c r="H145" s="7" t="s">
        <v>9</v>
      </c>
      <c r="I145">
        <v>103550</v>
      </c>
      <c r="J145" t="s">
        <v>206</v>
      </c>
      <c r="K145" s="9">
        <f ca="1">(TODAY()-staff[[#This Row],[Date Joined]])/365</f>
        <v>1.5972602739726027</v>
      </c>
      <c r="L145" s="6">
        <f ca="1">ROUNDUP(IF(staff[tenure]&gt;2,3%,2%)*staff[Salary],0)</f>
        <v>2071</v>
      </c>
      <c r="M145" s="28">
        <f>VLOOKUP(staff[[#This Row],[Rating]],Sheet7!$C$4:$D$8,2,0)</f>
        <v>3</v>
      </c>
      <c r="N145" s="9"/>
    </row>
    <row r="146" spans="3:14" x14ac:dyDescent="0.25">
      <c r="C146" s="7" t="s">
        <v>50</v>
      </c>
      <c r="D146" s="7" t="s">
        <v>15</v>
      </c>
      <c r="E146">
        <v>31</v>
      </c>
      <c r="F146" t="s">
        <v>16</v>
      </c>
      <c r="G146" s="8">
        <v>44724</v>
      </c>
      <c r="H146" s="7" t="s">
        <v>9</v>
      </c>
      <c r="I146">
        <v>103550</v>
      </c>
      <c r="J146" t="s">
        <v>208</v>
      </c>
      <c r="K146" s="9">
        <f ca="1">(TODAY()-staff[[#This Row],[Date Joined]])/365</f>
        <v>1.4301369863013698</v>
      </c>
      <c r="L146" s="6">
        <f ca="1">ROUNDUP(IF(staff[tenure]&gt;2,3%,2%)*staff[Salary],0)</f>
        <v>2071</v>
      </c>
      <c r="M146" s="28">
        <f>VLOOKUP(staff[[#This Row],[Rating]],Sheet7!$C$4:$D$8,2,0)</f>
        <v>3</v>
      </c>
      <c r="N146" s="9"/>
    </row>
    <row r="147" spans="3:14" x14ac:dyDescent="0.25">
      <c r="C147" s="7" t="s">
        <v>189</v>
      </c>
      <c r="D147" s="7" t="s">
        <v>8</v>
      </c>
      <c r="E147">
        <v>28</v>
      </c>
      <c r="F147" t="s">
        <v>16</v>
      </c>
      <c r="G147" s="8">
        <v>44590</v>
      </c>
      <c r="H147" s="7" t="s">
        <v>9</v>
      </c>
      <c r="I147">
        <v>104120</v>
      </c>
      <c r="J147" t="s">
        <v>206</v>
      </c>
      <c r="K147" s="9">
        <f ca="1">(TODAY()-staff[[#This Row],[Date Joined]])/365</f>
        <v>1.7972602739726027</v>
      </c>
      <c r="L147" s="6">
        <f ca="1">ROUNDUP(IF(staff[tenure]&gt;2,3%,2%)*staff[Salary],0)</f>
        <v>2083</v>
      </c>
      <c r="M147" s="28">
        <f>VLOOKUP(staff[[#This Row],[Rating]],Sheet7!$C$4:$D$8,2,0)</f>
        <v>3</v>
      </c>
      <c r="N147" s="9"/>
    </row>
    <row r="148" spans="3:14" x14ac:dyDescent="0.25">
      <c r="C148" s="7" t="s">
        <v>96</v>
      </c>
      <c r="D148" s="7" t="s">
        <v>8</v>
      </c>
      <c r="E148">
        <v>28</v>
      </c>
      <c r="F148" t="s">
        <v>16</v>
      </c>
      <c r="G148" s="8">
        <v>44649</v>
      </c>
      <c r="H148" s="7" t="s">
        <v>9</v>
      </c>
      <c r="I148">
        <v>104120</v>
      </c>
      <c r="J148" t="s">
        <v>208</v>
      </c>
      <c r="K148" s="9">
        <f ca="1">(TODAY()-staff[[#This Row],[Date Joined]])/365</f>
        <v>1.6356164383561644</v>
      </c>
      <c r="L148" s="6">
        <f ca="1">ROUNDUP(IF(staff[tenure]&gt;2,3%,2%)*staff[Salary],0)</f>
        <v>2083</v>
      </c>
      <c r="M148" s="28">
        <f>VLOOKUP(staff[[#This Row],[Rating]],Sheet7!$C$4:$D$8,2,0)</f>
        <v>3</v>
      </c>
      <c r="N148" s="9"/>
    </row>
    <row r="149" spans="3:14" x14ac:dyDescent="0.25">
      <c r="C149" s="7" t="s">
        <v>194</v>
      </c>
      <c r="D149" s="7" t="s">
        <v>8</v>
      </c>
      <c r="E149">
        <v>40</v>
      </c>
      <c r="F149" t="s">
        <v>16</v>
      </c>
      <c r="G149" s="8">
        <v>44320</v>
      </c>
      <c r="H149" s="7" t="s">
        <v>12</v>
      </c>
      <c r="I149">
        <v>104410</v>
      </c>
      <c r="J149" t="s">
        <v>206</v>
      </c>
      <c r="K149" s="9">
        <f ca="1">(TODAY()-staff[[#This Row],[Date Joined]])/365</f>
        <v>2.536986301369863</v>
      </c>
      <c r="L149" s="6">
        <f ca="1">ROUNDUP(IF(staff[tenure]&gt;2,3%,2%)*staff[Salary],0)</f>
        <v>3133</v>
      </c>
      <c r="M149" s="28">
        <f>VLOOKUP(staff[[#This Row],[Rating]],Sheet7!$C$4:$D$8,2,0)</f>
        <v>3</v>
      </c>
      <c r="N149" s="9"/>
    </row>
    <row r="150" spans="3:14" x14ac:dyDescent="0.25">
      <c r="C150" s="7" t="s">
        <v>101</v>
      </c>
      <c r="D150" s="7" t="s">
        <v>8</v>
      </c>
      <c r="E150">
        <v>40</v>
      </c>
      <c r="F150" t="s">
        <v>16</v>
      </c>
      <c r="G150" s="8">
        <v>44381</v>
      </c>
      <c r="H150" s="7" t="s">
        <v>12</v>
      </c>
      <c r="I150">
        <v>104410</v>
      </c>
      <c r="J150" t="s">
        <v>208</v>
      </c>
      <c r="K150" s="9">
        <f ca="1">(TODAY()-staff[[#This Row],[Date Joined]])/365</f>
        <v>2.3698630136986303</v>
      </c>
      <c r="L150" s="6">
        <f ca="1">ROUNDUP(IF(staff[tenure]&gt;2,3%,2%)*staff[Salary],0)</f>
        <v>3133</v>
      </c>
      <c r="M150" s="28">
        <f>VLOOKUP(staff[[#This Row],[Rating]],Sheet7!$C$4:$D$8,2,0)</f>
        <v>3</v>
      </c>
      <c r="N150" s="9"/>
    </row>
    <row r="151" spans="3:14" x14ac:dyDescent="0.25">
      <c r="C151" s="7" t="s">
        <v>136</v>
      </c>
      <c r="D151" s="7" t="s">
        <v>8</v>
      </c>
      <c r="E151">
        <v>28</v>
      </c>
      <c r="F151" t="s">
        <v>16</v>
      </c>
      <c r="G151" s="8">
        <v>44425</v>
      </c>
      <c r="H151" s="7" t="s">
        <v>9</v>
      </c>
      <c r="I151">
        <v>104770</v>
      </c>
      <c r="J151" t="s">
        <v>206</v>
      </c>
      <c r="K151" s="9">
        <f ca="1">(TODAY()-staff[[#This Row],[Date Joined]])/365</f>
        <v>2.2493150684931509</v>
      </c>
      <c r="L151" s="6">
        <f ca="1">ROUNDUP(IF(staff[tenure]&gt;2,3%,2%)*staff[Salary],0)</f>
        <v>3144</v>
      </c>
      <c r="M151" s="28">
        <f>VLOOKUP(staff[[#This Row],[Rating]],Sheet7!$C$4:$D$8,2,0)</f>
        <v>3</v>
      </c>
      <c r="N151" s="9"/>
    </row>
    <row r="152" spans="3:14" x14ac:dyDescent="0.25">
      <c r="C152" s="7" t="s">
        <v>43</v>
      </c>
      <c r="D152" s="7" t="s">
        <v>8</v>
      </c>
      <c r="E152">
        <v>28</v>
      </c>
      <c r="F152" t="s">
        <v>16</v>
      </c>
      <c r="G152" s="8">
        <v>44486</v>
      </c>
      <c r="H152" s="7" t="s">
        <v>9</v>
      </c>
      <c r="I152">
        <v>104770</v>
      </c>
      <c r="J152" t="s">
        <v>208</v>
      </c>
      <c r="K152" s="9">
        <f ca="1">(TODAY()-staff[[#This Row],[Date Joined]])/365</f>
        <v>2.0821917808219177</v>
      </c>
      <c r="L152" s="6">
        <f ca="1">ROUNDUP(IF(staff[tenure]&gt;2,3%,2%)*staff[Salary],0)</f>
        <v>3144</v>
      </c>
      <c r="M152" s="28">
        <f>VLOOKUP(staff[[#This Row],[Rating]],Sheet7!$C$4:$D$8,2,0)</f>
        <v>3</v>
      </c>
      <c r="N152" s="9"/>
    </row>
    <row r="153" spans="3:14" x14ac:dyDescent="0.25">
      <c r="C153" s="7" t="s">
        <v>161</v>
      </c>
      <c r="D153" s="7" t="s">
        <v>15</v>
      </c>
      <c r="E153">
        <v>23</v>
      </c>
      <c r="F153" t="s">
        <v>16</v>
      </c>
      <c r="G153" s="8">
        <v>44378</v>
      </c>
      <c r="H153" s="7" t="s">
        <v>9</v>
      </c>
      <c r="I153">
        <v>106460</v>
      </c>
      <c r="J153" t="s">
        <v>206</v>
      </c>
      <c r="K153" s="9">
        <f ca="1">(TODAY()-staff[[#This Row],[Date Joined]])/365</f>
        <v>2.3780821917808219</v>
      </c>
      <c r="L153" s="6">
        <f ca="1">ROUNDUP(IF(staff[tenure]&gt;2,3%,2%)*staff[Salary],0)</f>
        <v>3194</v>
      </c>
      <c r="M153" s="28">
        <f>VLOOKUP(staff[[#This Row],[Rating]],Sheet7!$C$4:$D$8,2,0)</f>
        <v>3</v>
      </c>
      <c r="N153" s="9"/>
    </row>
    <row r="154" spans="3:14" x14ac:dyDescent="0.25">
      <c r="C154" s="7" t="s">
        <v>69</v>
      </c>
      <c r="D154" s="7" t="s">
        <v>15</v>
      </c>
      <c r="E154">
        <v>23</v>
      </c>
      <c r="F154" t="s">
        <v>16</v>
      </c>
      <c r="G154" s="8">
        <v>44440</v>
      </c>
      <c r="H154" s="7" t="s">
        <v>9</v>
      </c>
      <c r="I154">
        <v>106460</v>
      </c>
      <c r="J154" t="s">
        <v>208</v>
      </c>
      <c r="K154" s="9">
        <f ca="1">(TODAY()-staff[[#This Row],[Date Joined]])/365</f>
        <v>2.2082191780821918</v>
      </c>
      <c r="L154" s="6">
        <f ca="1">ROUNDUP(IF(staff[tenure]&gt;2,3%,2%)*staff[Salary],0)</f>
        <v>3194</v>
      </c>
      <c r="M154" s="28">
        <f>VLOOKUP(staff[[#This Row],[Rating]],Sheet7!$C$4:$D$8,2,0)</f>
        <v>3</v>
      </c>
      <c r="N154" s="9"/>
    </row>
    <row r="155" spans="3:14" x14ac:dyDescent="0.25">
      <c r="C155" s="7" t="s">
        <v>117</v>
      </c>
      <c r="D155" s="7" t="s">
        <v>15</v>
      </c>
      <c r="E155">
        <v>20</v>
      </c>
      <c r="F155" t="s">
        <v>16</v>
      </c>
      <c r="G155" s="8">
        <v>44397</v>
      </c>
      <c r="H155" s="7" t="s">
        <v>12</v>
      </c>
      <c r="I155">
        <v>107700</v>
      </c>
      <c r="J155" t="s">
        <v>206</v>
      </c>
      <c r="K155" s="9">
        <f ca="1">(TODAY()-staff[[#This Row],[Date Joined]])/365</f>
        <v>2.3260273972602739</v>
      </c>
      <c r="L155" s="6">
        <f ca="1">ROUNDUP(IF(staff[tenure]&gt;2,3%,2%)*staff[Salary],0)</f>
        <v>3231</v>
      </c>
      <c r="M155" s="28">
        <f>VLOOKUP(staff[[#This Row],[Rating]],Sheet7!$C$4:$D$8,2,0)</f>
        <v>3</v>
      </c>
      <c r="N155" s="9"/>
    </row>
    <row r="156" spans="3:14" x14ac:dyDescent="0.25">
      <c r="C156" s="7" t="s">
        <v>22</v>
      </c>
      <c r="D156" s="7" t="s">
        <v>15</v>
      </c>
      <c r="E156">
        <v>20</v>
      </c>
      <c r="F156" t="s">
        <v>16</v>
      </c>
      <c r="G156" s="8">
        <v>44459</v>
      </c>
      <c r="H156" s="7" t="s">
        <v>12</v>
      </c>
      <c r="I156">
        <v>107700</v>
      </c>
      <c r="J156" t="s">
        <v>208</v>
      </c>
      <c r="K156" s="9">
        <f ca="1">(TODAY()-staff[[#This Row],[Date Joined]])/365</f>
        <v>2.1561643835616437</v>
      </c>
      <c r="L156" s="6">
        <f ca="1">ROUNDUP(IF(staff[tenure]&gt;2,3%,2%)*staff[Salary],0)</f>
        <v>3231</v>
      </c>
      <c r="M156" s="28">
        <f>VLOOKUP(staff[[#This Row],[Rating]],Sheet7!$C$4:$D$8,2,0)</f>
        <v>3</v>
      </c>
      <c r="N156" s="9"/>
    </row>
    <row r="157" spans="3:14" x14ac:dyDescent="0.25">
      <c r="C157" s="7" t="s">
        <v>127</v>
      </c>
      <c r="D157" s="7" t="s">
        <v>8</v>
      </c>
      <c r="E157">
        <v>38</v>
      </c>
      <c r="F157" t="s">
        <v>10</v>
      </c>
      <c r="G157" s="8">
        <v>44316</v>
      </c>
      <c r="H157" s="7" t="s">
        <v>19</v>
      </c>
      <c r="I157">
        <v>109160</v>
      </c>
      <c r="J157" t="s">
        <v>206</v>
      </c>
      <c r="K157" s="9">
        <f ca="1">(TODAY()-staff[[#This Row],[Date Joined]])/365</f>
        <v>2.547945205479452</v>
      </c>
      <c r="L157" s="6">
        <f ca="1">ROUNDUP(IF(staff[tenure]&gt;2,3%,2%)*staff[Salary],0)</f>
        <v>3275</v>
      </c>
      <c r="M157" s="28">
        <f>VLOOKUP(staff[[#This Row],[Rating]],Sheet7!$C$4:$D$8,2,0)</f>
        <v>5</v>
      </c>
      <c r="N157" s="9"/>
    </row>
    <row r="158" spans="3:14" x14ac:dyDescent="0.25">
      <c r="C158" s="7" t="s">
        <v>33</v>
      </c>
      <c r="D158" s="7" t="s">
        <v>8</v>
      </c>
      <c r="E158">
        <v>38</v>
      </c>
      <c r="F158" t="s">
        <v>10</v>
      </c>
      <c r="G158" s="8">
        <v>44377</v>
      </c>
      <c r="H158" s="7" t="s">
        <v>19</v>
      </c>
      <c r="I158">
        <v>109160</v>
      </c>
      <c r="J158" t="s">
        <v>208</v>
      </c>
      <c r="K158" s="9">
        <f ca="1">(TODAY()-staff[[#This Row],[Date Joined]])/365</f>
        <v>2.3808219178082193</v>
      </c>
      <c r="L158" s="6">
        <f ca="1">ROUNDUP(IF(staff[tenure]&gt;2,3%,2%)*staff[Salary],0)</f>
        <v>3275</v>
      </c>
      <c r="M158" s="28">
        <f>VLOOKUP(staff[[#This Row],[Rating]],Sheet7!$C$4:$D$8,2,0)</f>
        <v>5</v>
      </c>
      <c r="N158" s="9"/>
    </row>
    <row r="159" spans="3:14" x14ac:dyDescent="0.25">
      <c r="C159" s="7" t="s">
        <v>128</v>
      </c>
      <c r="D159" s="7" t="s">
        <v>15</v>
      </c>
      <c r="E159">
        <v>25</v>
      </c>
      <c r="F159" t="s">
        <v>13</v>
      </c>
      <c r="G159" s="8">
        <v>44665</v>
      </c>
      <c r="H159" s="7" t="s">
        <v>9</v>
      </c>
      <c r="I159">
        <v>109190</v>
      </c>
      <c r="J159" t="s">
        <v>206</v>
      </c>
      <c r="K159" s="9">
        <f ca="1">(TODAY()-staff[[#This Row],[Date Joined]])/365</f>
        <v>1.5917808219178082</v>
      </c>
      <c r="L159" s="6">
        <f ca="1">ROUNDUP(IF(staff[tenure]&gt;2,3%,2%)*staff[Salary],0)</f>
        <v>2184</v>
      </c>
      <c r="M159" s="28">
        <f>VLOOKUP(staff[[#This Row],[Rating]],Sheet7!$C$4:$D$8,2,0)</f>
        <v>4</v>
      </c>
      <c r="N159" s="9"/>
    </row>
    <row r="160" spans="3:14" x14ac:dyDescent="0.25">
      <c r="C160" s="7" t="s">
        <v>34</v>
      </c>
      <c r="D160" s="7" t="s">
        <v>15</v>
      </c>
      <c r="E160">
        <v>25</v>
      </c>
      <c r="F160" t="s">
        <v>13</v>
      </c>
      <c r="G160" s="8">
        <v>44726</v>
      </c>
      <c r="H160" s="7" t="s">
        <v>9</v>
      </c>
      <c r="I160">
        <v>109190</v>
      </c>
      <c r="J160" t="s">
        <v>208</v>
      </c>
      <c r="K160" s="9">
        <f ca="1">(TODAY()-staff[[#This Row],[Date Joined]])/365</f>
        <v>1.4246575342465753</v>
      </c>
      <c r="L160" s="6">
        <f ca="1">ROUNDUP(IF(staff[tenure]&gt;2,3%,2%)*staff[Salary],0)</f>
        <v>2184</v>
      </c>
      <c r="M160" s="28">
        <f>VLOOKUP(staff[[#This Row],[Rating]],Sheet7!$C$4:$D$8,2,0)</f>
        <v>4</v>
      </c>
      <c r="N160" s="9"/>
    </row>
    <row r="161" spans="3:14" x14ac:dyDescent="0.25">
      <c r="C161" s="7" t="s">
        <v>180</v>
      </c>
      <c r="D161" s="7" t="s">
        <v>15</v>
      </c>
      <c r="E161">
        <v>29</v>
      </c>
      <c r="F161" t="s">
        <v>24</v>
      </c>
      <c r="G161" s="8">
        <v>44119</v>
      </c>
      <c r="H161" s="7" t="s">
        <v>12</v>
      </c>
      <c r="I161">
        <v>112110</v>
      </c>
      <c r="J161" t="s">
        <v>206</v>
      </c>
      <c r="K161" s="9">
        <f ca="1">(TODAY()-staff[[#This Row],[Date Joined]])/365</f>
        <v>3.0876712328767124</v>
      </c>
      <c r="L161" s="6">
        <f ca="1">ROUNDUP(IF(staff[tenure]&gt;2,3%,2%)*staff[Salary],0)</f>
        <v>3364</v>
      </c>
      <c r="M161" s="28">
        <f>VLOOKUP(staff[[#This Row],[Rating]],Sheet7!$C$4:$D$8,2,0)</f>
        <v>2</v>
      </c>
      <c r="N161" s="9"/>
    </row>
    <row r="162" spans="3:14" x14ac:dyDescent="0.25">
      <c r="C162" s="7" t="s">
        <v>87</v>
      </c>
      <c r="D162" s="7" t="s">
        <v>15</v>
      </c>
      <c r="E162">
        <v>29</v>
      </c>
      <c r="F162" t="s">
        <v>24</v>
      </c>
      <c r="G162" s="8">
        <v>44180</v>
      </c>
      <c r="H162" s="7" t="s">
        <v>12</v>
      </c>
      <c r="I162">
        <v>112110</v>
      </c>
      <c r="J162" t="s">
        <v>208</v>
      </c>
      <c r="K162" s="9">
        <f ca="1">(TODAY()-staff[[#This Row],[Date Joined]])/365</f>
        <v>2.9205479452054797</v>
      </c>
      <c r="L162" s="6">
        <f ca="1">ROUNDUP(IF(staff[tenure]&gt;2,3%,2%)*staff[Salary],0)</f>
        <v>3364</v>
      </c>
      <c r="M162" s="28">
        <f>VLOOKUP(staff[[#This Row],[Rating]],Sheet7!$C$4:$D$8,2,0)</f>
        <v>2</v>
      </c>
      <c r="N162" s="9"/>
    </row>
    <row r="163" spans="3:14" x14ac:dyDescent="0.25">
      <c r="C163" s="7" t="s">
        <v>173</v>
      </c>
      <c r="D163" s="7" t="s">
        <v>8</v>
      </c>
      <c r="E163">
        <v>30</v>
      </c>
      <c r="F163" t="s">
        <v>16</v>
      </c>
      <c r="G163" s="8">
        <v>44800</v>
      </c>
      <c r="H163" s="7" t="s">
        <v>9</v>
      </c>
      <c r="I163">
        <v>112570</v>
      </c>
      <c r="J163" t="s">
        <v>206</v>
      </c>
      <c r="K163" s="9">
        <f ca="1">(TODAY()-staff[[#This Row],[Date Joined]])/365</f>
        <v>1.2219178082191782</v>
      </c>
      <c r="L163" s="6">
        <f ca="1">ROUNDUP(IF(staff[tenure]&gt;2,3%,2%)*staff[Salary],0)</f>
        <v>2252</v>
      </c>
      <c r="M163" s="28">
        <f>VLOOKUP(staff[[#This Row],[Rating]],Sheet7!$C$4:$D$8,2,0)</f>
        <v>3</v>
      </c>
      <c r="N163" s="9"/>
    </row>
    <row r="164" spans="3:14" x14ac:dyDescent="0.25">
      <c r="C164" s="7" t="s">
        <v>81</v>
      </c>
      <c r="D164" s="7" t="s">
        <v>8</v>
      </c>
      <c r="E164">
        <v>30</v>
      </c>
      <c r="F164" t="s">
        <v>16</v>
      </c>
      <c r="G164" s="8">
        <v>44861</v>
      </c>
      <c r="H164" s="7" t="s">
        <v>9</v>
      </c>
      <c r="I164">
        <v>112570</v>
      </c>
      <c r="J164" t="s">
        <v>208</v>
      </c>
      <c r="K164" s="9">
        <f ca="1">(TODAY()-staff[[#This Row],[Date Joined]])/365</f>
        <v>1.0547945205479452</v>
      </c>
      <c r="L164" s="6">
        <f ca="1">ROUNDUP(IF(staff[tenure]&gt;2,3%,2%)*staff[Salary],0)</f>
        <v>2252</v>
      </c>
      <c r="M164" s="28">
        <f>VLOOKUP(staff[[#This Row],[Rating]],Sheet7!$C$4:$D$8,2,0)</f>
        <v>3</v>
      </c>
      <c r="N164" s="9"/>
    </row>
    <row r="165" spans="3:14" x14ac:dyDescent="0.25">
      <c r="C165" s="7" t="s">
        <v>156</v>
      </c>
      <c r="D165" s="7" t="s">
        <v>15</v>
      </c>
      <c r="E165">
        <v>20</v>
      </c>
      <c r="F165" t="s">
        <v>16</v>
      </c>
      <c r="G165" s="8">
        <v>44122</v>
      </c>
      <c r="H165" s="7" t="s">
        <v>12</v>
      </c>
      <c r="I165">
        <v>112650</v>
      </c>
      <c r="J165" t="s">
        <v>206</v>
      </c>
      <c r="K165" s="9">
        <f ca="1">(TODAY()-staff[[#This Row],[Date Joined]])/365</f>
        <v>3.0794520547945203</v>
      </c>
      <c r="L165" s="6">
        <f ca="1">ROUNDUP(IF(staff[tenure]&gt;2,3%,2%)*staff[Salary],0)</f>
        <v>3380</v>
      </c>
      <c r="M165" s="28">
        <f>VLOOKUP(staff[[#This Row],[Rating]],Sheet7!$C$4:$D$8,2,0)</f>
        <v>3</v>
      </c>
      <c r="N165" s="9"/>
    </row>
    <row r="166" spans="3:14" x14ac:dyDescent="0.25">
      <c r="C166" s="7" t="s">
        <v>178</v>
      </c>
      <c r="D166" s="7" t="s">
        <v>15</v>
      </c>
      <c r="E166">
        <v>34</v>
      </c>
      <c r="F166" t="s">
        <v>16</v>
      </c>
      <c r="G166" s="8">
        <v>44642</v>
      </c>
      <c r="H166" s="7" t="s">
        <v>9</v>
      </c>
      <c r="I166">
        <v>112650</v>
      </c>
      <c r="J166" t="s">
        <v>206</v>
      </c>
      <c r="K166" s="9">
        <f ca="1">(TODAY()-staff[[#This Row],[Date Joined]])/365</f>
        <v>1.6547945205479453</v>
      </c>
      <c r="L166" s="6">
        <f ca="1">ROUNDUP(IF(staff[tenure]&gt;2,3%,2%)*staff[Salary],0)</f>
        <v>2253</v>
      </c>
      <c r="M166" s="28">
        <f>VLOOKUP(staff[[#This Row],[Rating]],Sheet7!$C$4:$D$8,2,0)</f>
        <v>3</v>
      </c>
      <c r="N166" s="9"/>
    </row>
    <row r="167" spans="3:14" x14ac:dyDescent="0.25">
      <c r="C167" s="7" t="s">
        <v>64</v>
      </c>
      <c r="D167" s="7" t="s">
        <v>15</v>
      </c>
      <c r="E167">
        <v>20</v>
      </c>
      <c r="F167" t="s">
        <v>16</v>
      </c>
      <c r="G167" s="8">
        <v>44183</v>
      </c>
      <c r="H167" s="7" t="s">
        <v>12</v>
      </c>
      <c r="I167">
        <v>112650</v>
      </c>
      <c r="J167" t="s">
        <v>208</v>
      </c>
      <c r="K167" s="9">
        <f ca="1">(TODAY()-staff[[#This Row],[Date Joined]])/365</f>
        <v>2.9123287671232876</v>
      </c>
      <c r="L167" s="6">
        <f ca="1">ROUNDUP(IF(staff[tenure]&gt;2,3%,2%)*staff[Salary],0)</f>
        <v>3380</v>
      </c>
      <c r="M167" s="28">
        <f>VLOOKUP(staff[[#This Row],[Rating]],Sheet7!$C$4:$D$8,2,0)</f>
        <v>3</v>
      </c>
      <c r="N167" s="9"/>
    </row>
    <row r="168" spans="3:14" x14ac:dyDescent="0.25">
      <c r="C168" s="7" t="s">
        <v>150</v>
      </c>
      <c r="D168" s="7" t="s">
        <v>15</v>
      </c>
      <c r="E168">
        <v>22</v>
      </c>
      <c r="F168" t="s">
        <v>13</v>
      </c>
      <c r="G168" s="8">
        <v>44384</v>
      </c>
      <c r="H168" s="7" t="s">
        <v>19</v>
      </c>
      <c r="I168">
        <v>112780</v>
      </c>
      <c r="J168" t="s">
        <v>206</v>
      </c>
      <c r="K168" s="9">
        <f ca="1">(TODAY()-staff[[#This Row],[Date Joined]])/365</f>
        <v>2.3616438356164382</v>
      </c>
      <c r="L168" s="6">
        <f ca="1">ROUNDUP(IF(staff[tenure]&gt;2,3%,2%)*staff[Salary],0)</f>
        <v>3384</v>
      </c>
      <c r="M168" s="28">
        <f>VLOOKUP(staff[[#This Row],[Rating]],Sheet7!$C$4:$D$8,2,0)</f>
        <v>4</v>
      </c>
      <c r="N168" s="9"/>
    </row>
    <row r="169" spans="3:14" x14ac:dyDescent="0.25">
      <c r="C169" s="7" t="s">
        <v>204</v>
      </c>
      <c r="D169" s="7" t="s">
        <v>15</v>
      </c>
      <c r="E169">
        <v>22</v>
      </c>
      <c r="F169" t="s">
        <v>13</v>
      </c>
      <c r="G169" s="8">
        <v>44446</v>
      </c>
      <c r="H169" s="7" t="s">
        <v>19</v>
      </c>
      <c r="I169">
        <v>112780</v>
      </c>
      <c r="J169" t="s">
        <v>208</v>
      </c>
      <c r="K169" s="9">
        <f ca="1">(TODAY()-staff[[#This Row],[Date Joined]])/365</f>
        <v>2.1917808219178081</v>
      </c>
      <c r="L169" s="6">
        <f ca="1">ROUNDUP(IF(staff[tenure]&gt;2,3%,2%)*staff[Salary],0)</f>
        <v>3384</v>
      </c>
      <c r="M169" s="28">
        <f>VLOOKUP(staff[[#This Row],[Rating]],Sheet7!$C$4:$D$8,2,0)</f>
        <v>4</v>
      </c>
      <c r="N169" s="9"/>
    </row>
    <row r="170" spans="3:14" x14ac:dyDescent="0.25">
      <c r="C170" s="7" t="s">
        <v>58</v>
      </c>
      <c r="D170" s="7" t="s">
        <v>15</v>
      </c>
      <c r="E170">
        <v>22</v>
      </c>
      <c r="F170" t="s">
        <v>13</v>
      </c>
      <c r="G170" s="8">
        <v>44446</v>
      </c>
      <c r="H170" s="7" t="s">
        <v>19</v>
      </c>
      <c r="I170">
        <v>112780</v>
      </c>
      <c r="J170" t="s">
        <v>208</v>
      </c>
      <c r="K170" s="9">
        <f ca="1">(TODAY()-staff[[#This Row],[Date Joined]])/365</f>
        <v>2.1917808219178081</v>
      </c>
      <c r="L170" s="6">
        <f ca="1">ROUNDUP(IF(staff[tenure]&gt;2,3%,2%)*staff[Salary],0)</f>
        <v>3384</v>
      </c>
      <c r="M170" s="28">
        <f>VLOOKUP(staff[[#This Row],[Rating]],Sheet7!$C$4:$D$8,2,0)</f>
        <v>4</v>
      </c>
      <c r="N170" s="9"/>
    </row>
    <row r="171" spans="3:14" x14ac:dyDescent="0.25">
      <c r="C171" s="7" t="s">
        <v>191</v>
      </c>
      <c r="D171" s="7" t="s">
        <v>15</v>
      </c>
      <c r="E171">
        <v>27</v>
      </c>
      <c r="F171" t="s">
        <v>42</v>
      </c>
      <c r="G171" s="8">
        <v>44547</v>
      </c>
      <c r="H171" s="7" t="s">
        <v>9</v>
      </c>
      <c r="I171">
        <v>113280</v>
      </c>
      <c r="J171" t="s">
        <v>206</v>
      </c>
      <c r="K171" s="9">
        <f ca="1">(TODAY()-staff[[#This Row],[Date Joined]])/365</f>
        <v>1.9150684931506849</v>
      </c>
      <c r="L171" s="6">
        <f ca="1">ROUNDUP(IF(staff[tenure]&gt;2,3%,2%)*staff[Salary],0)</f>
        <v>2266</v>
      </c>
      <c r="M171" s="28">
        <f>VLOOKUP(staff[[#This Row],[Rating]],Sheet7!$C$4:$D$8,2,0)</f>
        <v>1</v>
      </c>
      <c r="N171" s="9"/>
    </row>
    <row r="172" spans="3:14" x14ac:dyDescent="0.25">
      <c r="C172" s="7" t="s">
        <v>98</v>
      </c>
      <c r="D172" s="7" t="s">
        <v>15</v>
      </c>
      <c r="E172">
        <v>27</v>
      </c>
      <c r="F172" t="s">
        <v>42</v>
      </c>
      <c r="G172" s="8">
        <v>44609</v>
      </c>
      <c r="H172" s="7" t="s">
        <v>9</v>
      </c>
      <c r="I172">
        <v>113280</v>
      </c>
      <c r="J172" t="s">
        <v>208</v>
      </c>
      <c r="K172" s="9">
        <f ca="1">(TODAY()-staff[[#This Row],[Date Joined]])/365</f>
        <v>1.7452054794520548</v>
      </c>
      <c r="L172" s="6">
        <f ca="1">ROUNDUP(IF(staff[tenure]&gt;2,3%,2%)*staff[Salary],0)</f>
        <v>2266</v>
      </c>
      <c r="M172" s="28">
        <f>VLOOKUP(staff[[#This Row],[Rating]],Sheet7!$C$4:$D$8,2,0)</f>
        <v>1</v>
      </c>
      <c r="N172" s="9"/>
    </row>
    <row r="173" spans="3:14" x14ac:dyDescent="0.25">
      <c r="C173" s="7" t="s">
        <v>147</v>
      </c>
      <c r="D173" s="7" t="s">
        <v>8</v>
      </c>
      <c r="E173">
        <v>30</v>
      </c>
      <c r="F173" t="s">
        <v>16</v>
      </c>
      <c r="G173" s="8">
        <v>44789</v>
      </c>
      <c r="H173" s="7" t="s">
        <v>9</v>
      </c>
      <c r="I173">
        <v>114180</v>
      </c>
      <c r="J173" t="s">
        <v>206</v>
      </c>
      <c r="K173" s="9">
        <f ca="1">(TODAY()-staff[[#This Row],[Date Joined]])/365</f>
        <v>1.252054794520548</v>
      </c>
      <c r="L173" s="6">
        <f ca="1">ROUNDUP(IF(staff[tenure]&gt;2,3%,2%)*staff[Salary],0)</f>
        <v>2284</v>
      </c>
      <c r="M173" s="28">
        <f>VLOOKUP(staff[[#This Row],[Rating]],Sheet7!$C$4:$D$8,2,0)</f>
        <v>3</v>
      </c>
      <c r="N173" s="9"/>
    </row>
    <row r="174" spans="3:14" x14ac:dyDescent="0.25">
      <c r="C174" s="7" t="s">
        <v>54</v>
      </c>
      <c r="D174" s="7" t="s">
        <v>8</v>
      </c>
      <c r="E174">
        <v>30</v>
      </c>
      <c r="F174" t="s">
        <v>16</v>
      </c>
      <c r="G174" s="8">
        <v>44850</v>
      </c>
      <c r="H174" s="7" t="s">
        <v>9</v>
      </c>
      <c r="I174">
        <v>114180</v>
      </c>
      <c r="J174" t="s">
        <v>208</v>
      </c>
      <c r="K174" s="9">
        <f ca="1">(TODAY()-staff[[#This Row],[Date Joined]])/365</f>
        <v>1.0849315068493151</v>
      </c>
      <c r="L174" s="6">
        <f ca="1">ROUNDUP(IF(staff[tenure]&gt;2,3%,2%)*staff[Salary],0)</f>
        <v>2284</v>
      </c>
      <c r="M174" s="28">
        <f>VLOOKUP(staff[[#This Row],[Rating]],Sheet7!$C$4:$D$8,2,0)</f>
        <v>3</v>
      </c>
      <c r="N174" s="9"/>
    </row>
    <row r="175" spans="3:14" x14ac:dyDescent="0.25">
      <c r="C175" s="7" t="s">
        <v>114</v>
      </c>
      <c r="D175" s="7" t="s">
        <v>8</v>
      </c>
      <c r="E175">
        <v>44</v>
      </c>
      <c r="F175" t="s">
        <v>16</v>
      </c>
      <c r="G175" s="8">
        <v>44985</v>
      </c>
      <c r="H175" s="7" t="s">
        <v>12</v>
      </c>
      <c r="I175">
        <v>114870</v>
      </c>
      <c r="J175" t="s">
        <v>206</v>
      </c>
      <c r="K175" s="9">
        <f ca="1">(TODAY()-staff[[#This Row],[Date Joined]])/365</f>
        <v>0.71506849315068488</v>
      </c>
      <c r="L175" s="6">
        <f ca="1">ROUNDUP(IF(staff[tenure]&gt;2,3%,2%)*staff[Salary],0)</f>
        <v>2298</v>
      </c>
      <c r="M175" s="28">
        <f>VLOOKUP(staff[[#This Row],[Rating]],Sheet7!$C$4:$D$8,2,0)</f>
        <v>3</v>
      </c>
      <c r="N175" s="9"/>
    </row>
    <row r="176" spans="3:14" x14ac:dyDescent="0.25">
      <c r="C176" s="7" t="s">
        <v>17</v>
      </c>
      <c r="D176" s="7" t="s">
        <v>8</v>
      </c>
      <c r="E176">
        <v>43</v>
      </c>
      <c r="F176" t="s">
        <v>16</v>
      </c>
      <c r="G176" s="8">
        <v>45045</v>
      </c>
      <c r="H176" s="7" t="s">
        <v>12</v>
      </c>
      <c r="I176">
        <v>114870</v>
      </c>
      <c r="J176" t="s">
        <v>208</v>
      </c>
      <c r="K176" s="9">
        <f ca="1">(TODAY()-staff[[#This Row],[Date Joined]])/365</f>
        <v>0.55068493150684927</v>
      </c>
      <c r="L176" s="6">
        <f ca="1">ROUNDUP(IF(staff[tenure]&gt;2,3%,2%)*staff[Salary],0)</f>
        <v>2298</v>
      </c>
      <c r="M176" s="28">
        <f>VLOOKUP(staff[[#This Row],[Rating]],Sheet7!$C$4:$D$8,2,0)</f>
        <v>3</v>
      </c>
      <c r="N176" s="9"/>
    </row>
    <row r="177" spans="3:14" x14ac:dyDescent="0.25">
      <c r="C177" s="7" t="s">
        <v>175</v>
      </c>
      <c r="D177" s="7" t="s">
        <v>8</v>
      </c>
      <c r="E177">
        <v>36</v>
      </c>
      <c r="F177" t="s">
        <v>16</v>
      </c>
      <c r="G177" s="8">
        <v>44023</v>
      </c>
      <c r="H177" s="7" t="s">
        <v>9</v>
      </c>
      <c r="I177">
        <v>114890</v>
      </c>
      <c r="J177" t="s">
        <v>206</v>
      </c>
      <c r="K177" s="9">
        <f ca="1">(TODAY()-staff[[#This Row],[Date Joined]])/365</f>
        <v>3.3506849315068492</v>
      </c>
      <c r="L177" s="6">
        <f ca="1">ROUNDUP(IF(staff[tenure]&gt;2,3%,2%)*staff[Salary],0)</f>
        <v>3447</v>
      </c>
      <c r="M177" s="28">
        <f>VLOOKUP(staff[[#This Row],[Rating]],Sheet7!$C$4:$D$8,2,0)</f>
        <v>3</v>
      </c>
      <c r="N177" s="9"/>
    </row>
    <row r="178" spans="3:14" x14ac:dyDescent="0.25">
      <c r="C178" s="7" t="s">
        <v>83</v>
      </c>
      <c r="D178" s="7" t="s">
        <v>8</v>
      </c>
      <c r="E178">
        <v>36</v>
      </c>
      <c r="F178" t="s">
        <v>16</v>
      </c>
      <c r="G178" s="8">
        <v>44085</v>
      </c>
      <c r="H178" s="7" t="s">
        <v>9</v>
      </c>
      <c r="I178">
        <v>114890</v>
      </c>
      <c r="J178" t="s">
        <v>208</v>
      </c>
      <c r="K178" s="9">
        <f ca="1">(TODAY()-staff[[#This Row],[Date Joined]])/365</f>
        <v>3.1808219178082191</v>
      </c>
      <c r="L178" s="6">
        <f ca="1">ROUNDUP(IF(staff[tenure]&gt;2,3%,2%)*staff[Salary],0)</f>
        <v>3447</v>
      </c>
      <c r="M178" s="28">
        <f>VLOOKUP(staff[[#This Row],[Rating]],Sheet7!$C$4:$D$8,2,0)</f>
        <v>3</v>
      </c>
      <c r="N178" s="9"/>
    </row>
    <row r="179" spans="3:14" x14ac:dyDescent="0.25">
      <c r="C179" s="7" t="s">
        <v>142</v>
      </c>
      <c r="D179" s="7" t="s">
        <v>207</v>
      </c>
      <c r="E179">
        <v>37</v>
      </c>
      <c r="F179" t="s">
        <v>24</v>
      </c>
      <c r="G179" s="8">
        <v>44085</v>
      </c>
      <c r="H179" s="7" t="s">
        <v>21</v>
      </c>
      <c r="I179">
        <v>115440</v>
      </c>
      <c r="J179" t="s">
        <v>206</v>
      </c>
      <c r="K179" s="9">
        <f ca="1">(TODAY()-staff[[#This Row],[Date Joined]])/365</f>
        <v>3.1808219178082191</v>
      </c>
      <c r="L179" s="6">
        <f ca="1">ROUNDUP(IF(staff[tenure]&gt;2,3%,2%)*staff[Salary],0)</f>
        <v>3464</v>
      </c>
      <c r="M179" s="28">
        <f>VLOOKUP(staff[[#This Row],[Rating]],Sheet7!$C$4:$D$8,2,0)</f>
        <v>2</v>
      </c>
      <c r="N179" s="9"/>
    </row>
    <row r="180" spans="3:14" x14ac:dyDescent="0.25">
      <c r="C180" s="7" t="s">
        <v>49</v>
      </c>
      <c r="D180" s="7" t="s">
        <v>207</v>
      </c>
      <c r="E180">
        <v>37</v>
      </c>
      <c r="F180" t="s">
        <v>24</v>
      </c>
      <c r="G180" s="8">
        <v>44146</v>
      </c>
      <c r="H180" s="7" t="s">
        <v>21</v>
      </c>
      <c r="I180">
        <v>115440</v>
      </c>
      <c r="J180" t="s">
        <v>208</v>
      </c>
      <c r="K180" s="9">
        <f ca="1">(TODAY()-staff[[#This Row],[Date Joined]])/365</f>
        <v>3.0136986301369864</v>
      </c>
      <c r="L180" s="6">
        <f ca="1">ROUNDUP(IF(staff[tenure]&gt;2,3%,2%)*staff[Salary],0)</f>
        <v>3464</v>
      </c>
      <c r="M180" s="28">
        <f>VLOOKUP(staff[[#This Row],[Rating]],Sheet7!$C$4:$D$8,2,0)</f>
        <v>2</v>
      </c>
      <c r="N180" s="9"/>
    </row>
    <row r="181" spans="3:14" x14ac:dyDescent="0.25">
      <c r="C181" s="7" t="s">
        <v>134</v>
      </c>
      <c r="D181" s="7" t="s">
        <v>15</v>
      </c>
      <c r="E181">
        <v>33</v>
      </c>
      <c r="F181" t="s">
        <v>16</v>
      </c>
      <c r="G181" s="8">
        <v>44103</v>
      </c>
      <c r="H181" s="7" t="s">
        <v>9</v>
      </c>
      <c r="I181">
        <v>115920</v>
      </c>
      <c r="J181" t="s">
        <v>206</v>
      </c>
      <c r="K181" s="9">
        <f ca="1">(TODAY()-staff[[#This Row],[Date Joined]])/365</f>
        <v>3.1315068493150684</v>
      </c>
      <c r="L181" s="6">
        <f ca="1">ROUNDUP(IF(staff[tenure]&gt;2,3%,2%)*staff[Salary],0)</f>
        <v>3478</v>
      </c>
      <c r="M181" s="28">
        <f>VLOOKUP(staff[[#This Row],[Rating]],Sheet7!$C$4:$D$8,2,0)</f>
        <v>3</v>
      </c>
      <c r="N181" s="9"/>
    </row>
    <row r="182" spans="3:14" x14ac:dyDescent="0.25">
      <c r="C182" s="7" t="s">
        <v>40</v>
      </c>
      <c r="D182" s="7" t="s">
        <v>15</v>
      </c>
      <c r="E182">
        <v>33</v>
      </c>
      <c r="F182" t="s">
        <v>16</v>
      </c>
      <c r="G182" s="8">
        <v>44164</v>
      </c>
      <c r="H182" s="7" t="s">
        <v>9</v>
      </c>
      <c r="I182">
        <v>115920</v>
      </c>
      <c r="J182" t="s">
        <v>208</v>
      </c>
      <c r="K182" s="9">
        <f ca="1">(TODAY()-staff[[#This Row],[Date Joined]])/365</f>
        <v>2.9643835616438357</v>
      </c>
      <c r="L182" s="6">
        <f ca="1">ROUNDUP(IF(staff[tenure]&gt;2,3%,2%)*staff[Salary],0)</f>
        <v>3478</v>
      </c>
      <c r="M182" s="28">
        <f>VLOOKUP(staff[[#This Row],[Rating]],Sheet7!$C$4:$D$8,2,0)</f>
        <v>3</v>
      </c>
      <c r="N182" s="9"/>
    </row>
    <row r="183" spans="3:14" x14ac:dyDescent="0.25">
      <c r="C183" s="7" t="s">
        <v>148</v>
      </c>
      <c r="D183" s="7" t="s">
        <v>8</v>
      </c>
      <c r="E183">
        <v>37</v>
      </c>
      <c r="F183" t="s">
        <v>16</v>
      </c>
      <c r="G183" s="8">
        <v>44389</v>
      </c>
      <c r="H183" s="7" t="s">
        <v>56</v>
      </c>
      <c r="I183">
        <v>118100</v>
      </c>
      <c r="J183" t="s">
        <v>206</v>
      </c>
      <c r="K183" s="9">
        <f ca="1">(TODAY()-staff[[#This Row],[Date Joined]])/365</f>
        <v>2.3479452054794518</v>
      </c>
      <c r="L183" s="6">
        <f ca="1">ROUNDUP(IF(staff[tenure]&gt;2,3%,2%)*staff[Salary],0)</f>
        <v>3543</v>
      </c>
      <c r="M183" s="28">
        <f>VLOOKUP(staff[[#This Row],[Rating]],Sheet7!$C$4:$D$8,2,0)</f>
        <v>3</v>
      </c>
      <c r="N183" s="9"/>
    </row>
    <row r="184" spans="3:14" x14ac:dyDescent="0.25">
      <c r="C184" s="7" t="s">
        <v>55</v>
      </c>
      <c r="D184" s="7" t="s">
        <v>8</v>
      </c>
      <c r="E184">
        <v>37</v>
      </c>
      <c r="F184" t="s">
        <v>16</v>
      </c>
      <c r="G184" s="8">
        <v>44451</v>
      </c>
      <c r="H184" s="7" t="s">
        <v>56</v>
      </c>
      <c r="I184">
        <v>132000</v>
      </c>
      <c r="J184" t="s">
        <v>208</v>
      </c>
      <c r="K184" s="9">
        <f ca="1">(TODAY()-staff[[#This Row],[Date Joined]])/365</f>
        <v>2.1780821917808217</v>
      </c>
      <c r="L184" s="6">
        <f ca="1">ROUNDUP(IF(staff[tenure]&gt;2,3%,2%)*staff[Salary],0)</f>
        <v>3960</v>
      </c>
      <c r="M184" s="28">
        <f>VLOOKUP(staff[[#This Row],[Rating]],Sheet7!$C$4:$D$8,2,0)</f>
        <v>3</v>
      </c>
      <c r="N184" s="9"/>
    </row>
    <row r="185" spans="3:14" x14ac:dyDescent="0.25">
      <c r="C185" s="7" t="s">
        <v>199</v>
      </c>
      <c r="D185" s="7" t="s">
        <v>15</v>
      </c>
      <c r="E185">
        <v>36</v>
      </c>
      <c r="F185" t="s">
        <v>16</v>
      </c>
      <c r="G185" s="8">
        <v>43958</v>
      </c>
      <c r="H185" s="7" t="s">
        <v>12</v>
      </c>
      <c r="I185">
        <v>148000</v>
      </c>
      <c r="J185" t="s">
        <v>206</v>
      </c>
      <c r="K185" s="9">
        <f ca="1">(TODAY()-staff[[#This Row],[Date Joined]])/365</f>
        <v>3.5287671232876714</v>
      </c>
      <c r="L185" s="6">
        <f ca="1">ROUNDUP(IF(staff[tenure]&gt;2,3%,2%)*staff[Salary],0)</f>
        <v>4440</v>
      </c>
      <c r="M185" s="28">
        <f>VLOOKUP(staff[[#This Row],[Rating]],Sheet7!$C$4:$D$8,2,0)</f>
        <v>3</v>
      </c>
      <c r="N185" s="9"/>
    </row>
    <row r="186" spans="3:14" x14ac:dyDescent="0.25">
      <c r="C186" s="7" t="s">
        <v>106</v>
      </c>
      <c r="D186" s="7" t="s">
        <v>15</v>
      </c>
      <c r="E186">
        <v>36</v>
      </c>
      <c r="F186" t="s">
        <v>16</v>
      </c>
      <c r="G186" s="8">
        <v>44019</v>
      </c>
      <c r="H186" s="7" t="s">
        <v>12</v>
      </c>
      <c r="I186">
        <v>118840</v>
      </c>
      <c r="J186" t="s">
        <v>208</v>
      </c>
      <c r="K186" s="9">
        <f ca="1">(TODAY()-staff[[#This Row],[Date Joined]])/365</f>
        <v>3.3616438356164382</v>
      </c>
      <c r="L186" s="6">
        <f ca="1">ROUNDUP(IF(staff[tenure]&gt;2,3%,2%)*staff[Salary],0)</f>
        <v>3566</v>
      </c>
      <c r="M186" s="28">
        <f>VLOOKUP(staff[[#This Row],[Rating]],Sheet7!$C$4:$D$8,2,0)</f>
        <v>3</v>
      </c>
      <c r="N186" s="9"/>
    </row>
    <row r="187" spans="3:14" x14ac:dyDescent="0.25">
      <c r="C187" s="7" t="s">
        <v>152</v>
      </c>
      <c r="D187" s="7" t="s">
        <v>8</v>
      </c>
      <c r="E187">
        <v>27</v>
      </c>
      <c r="F187" t="s">
        <v>16</v>
      </c>
      <c r="G187" s="8">
        <v>44061</v>
      </c>
      <c r="H187" s="7" t="s">
        <v>56</v>
      </c>
      <c r="I187">
        <v>119110</v>
      </c>
      <c r="J187" t="s">
        <v>206</v>
      </c>
      <c r="K187" s="9">
        <f ca="1">(TODAY()-staff[[#This Row],[Date Joined]])/365</f>
        <v>3.2465753424657535</v>
      </c>
      <c r="L187" s="6">
        <f ca="1">ROUNDUP(IF(staff[tenure]&gt;2,3%,2%)*staff[Salary],0)</f>
        <v>3574</v>
      </c>
      <c r="M187" s="28">
        <f>VLOOKUP(staff[[#This Row],[Rating]],Sheet7!$C$4:$D$8,2,0)</f>
        <v>3</v>
      </c>
      <c r="N187" s="9"/>
    </row>
    <row r="188" spans="3:14" x14ac:dyDescent="0.25">
      <c r="C188" s="7" t="s">
        <v>60</v>
      </c>
      <c r="D188" s="7" t="s">
        <v>8</v>
      </c>
      <c r="E188">
        <v>27</v>
      </c>
      <c r="F188" t="s">
        <v>16</v>
      </c>
      <c r="G188" s="8">
        <v>44122</v>
      </c>
      <c r="H188" s="7" t="s">
        <v>56</v>
      </c>
      <c r="I188">
        <v>119110</v>
      </c>
      <c r="J188" t="s">
        <v>208</v>
      </c>
      <c r="K188" s="9">
        <f ca="1">(TODAY()-staff[[#This Row],[Date Joined]])/365</f>
        <v>3.0794520547945203</v>
      </c>
      <c r="L188" s="6">
        <f ca="1">ROUNDUP(IF(staff[tenure]&gt;2,3%,2%)*staff[Salary],0)</f>
        <v>3574</v>
      </c>
      <c r="M188" s="28">
        <f>VLOOKUP(staff[[#This Row],[Rating]],Sheet7!$C$4:$D$8,2,0)</f>
        <v>3</v>
      </c>
      <c r="N188" s="9"/>
    </row>
  </sheetData>
  <conditionalFormatting sqref="C5:C188">
    <cfRule type="duplicateValues" dxfId="0" priority="3"/>
  </conditionalFormatting>
  <conditionalFormatting sqref="I5:I188">
    <cfRule type="colorScale" priority="1">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90E8-221E-4751-9135-C05B2F77BFAC}">
  <dimension ref="C4:E9"/>
  <sheetViews>
    <sheetView workbookViewId="0">
      <selection activeCell="D7" sqref="D7"/>
    </sheetView>
  </sheetViews>
  <sheetFormatPr defaultRowHeight="15" x14ac:dyDescent="0.25"/>
  <cols>
    <col min="3" max="3" width="17.28515625" bestFit="1" customWidth="1"/>
    <col min="4" max="4" width="16.28515625" bestFit="1" customWidth="1"/>
    <col min="5" max="5" width="7.5703125" bestFit="1" customWidth="1"/>
    <col min="6" max="7" width="12" bestFit="1" customWidth="1"/>
    <col min="8" max="8" width="16.28515625" bestFit="1" customWidth="1"/>
    <col min="9" max="9" width="19.42578125" bestFit="1" customWidth="1"/>
    <col min="10" max="10" width="19.5703125" bestFit="1" customWidth="1"/>
    <col min="11" max="186" width="30" bestFit="1" customWidth="1"/>
    <col min="187" max="187" width="11.28515625" bestFit="1" customWidth="1"/>
  </cols>
  <sheetData>
    <row r="4" spans="3:5" x14ac:dyDescent="0.25">
      <c r="D4" s="21" t="s">
        <v>218</v>
      </c>
    </row>
    <row r="5" spans="3:5" x14ac:dyDescent="0.25">
      <c r="C5" s="21" t="s">
        <v>222</v>
      </c>
      <c r="D5" t="s">
        <v>8</v>
      </c>
      <c r="E5" t="s">
        <v>15</v>
      </c>
    </row>
    <row r="6" spans="3:5" x14ac:dyDescent="0.25">
      <c r="C6" s="22" t="s">
        <v>220</v>
      </c>
      <c r="D6" s="7">
        <v>86</v>
      </c>
      <c r="E6" s="7">
        <v>90</v>
      </c>
    </row>
    <row r="7" spans="3:5" x14ac:dyDescent="0.25">
      <c r="C7" s="22" t="s">
        <v>224</v>
      </c>
      <c r="D7" s="23">
        <v>2.2271424020388659</v>
      </c>
      <c r="E7" s="23">
        <v>2.2177168949771682</v>
      </c>
    </row>
    <row r="8" spans="3:5" x14ac:dyDescent="0.25">
      <c r="C8" s="22" t="s">
        <v>223</v>
      </c>
      <c r="D8" s="24">
        <v>78284.186046511633</v>
      </c>
      <c r="E8" s="24">
        <v>75335.888888888891</v>
      </c>
    </row>
    <row r="9" spans="3:5" x14ac:dyDescent="0.25">
      <c r="C9" s="22" t="s">
        <v>221</v>
      </c>
      <c r="D9" s="23">
        <v>31.406976744186046</v>
      </c>
      <c r="E9" s="23">
        <v>29.31111111111111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4C78-3303-4406-AAE6-DFF2E04DB5AB}">
  <dimension ref="A1"/>
  <sheetViews>
    <sheetView topLeftCell="B6" workbookViewId="0">
      <selection activeCell="K15" sqref="K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69DEC-DFD9-48A4-B1AC-B1306584D102}">
  <dimension ref="A1:I7"/>
  <sheetViews>
    <sheetView workbookViewId="0">
      <selection activeCell="E15" sqref="E15"/>
    </sheetView>
  </sheetViews>
  <sheetFormatPr defaultRowHeight="15" x14ac:dyDescent="0.25"/>
  <cols>
    <col min="1" max="1" width="18" bestFit="1" customWidth="1"/>
    <col min="2" max="2" width="15.5703125" bestFit="1" customWidth="1"/>
    <col min="3" max="3" width="12.140625" bestFit="1" customWidth="1"/>
    <col min="4" max="4" width="14.28515625" bestFit="1" customWidth="1"/>
    <col min="5" max="5" width="19.28515625" bestFit="1" customWidth="1"/>
    <col min="6" max="6" width="19.7109375" bestFit="1" customWidth="1"/>
    <col min="7" max="7" width="14" bestFit="1" customWidth="1"/>
    <col min="8" max="8" width="15.85546875" bestFit="1" customWidth="1"/>
    <col min="9" max="9" width="14.7109375" bestFit="1" customWidth="1"/>
  </cols>
  <sheetData>
    <row r="1" spans="1:9" x14ac:dyDescent="0.25">
      <c r="A1" s="25" t="s">
        <v>236</v>
      </c>
    </row>
    <row r="3" spans="1:9" x14ac:dyDescent="0.25">
      <c r="A3" t="s">
        <v>227</v>
      </c>
      <c r="B3" t="s">
        <v>228</v>
      </c>
      <c r="C3" t="s">
        <v>229</v>
      </c>
      <c r="D3" t="s">
        <v>230</v>
      </c>
      <c r="E3" t="s">
        <v>231</v>
      </c>
      <c r="F3" t="s">
        <v>232</v>
      </c>
      <c r="G3" t="s">
        <v>233</v>
      </c>
      <c r="H3" t="s">
        <v>234</v>
      </c>
      <c r="I3" t="s">
        <v>235</v>
      </c>
    </row>
    <row r="4" spans="1:9" x14ac:dyDescent="0.25">
      <c r="A4" t="s">
        <v>111</v>
      </c>
      <c r="B4" t="s">
        <v>8</v>
      </c>
      <c r="C4">
        <v>42</v>
      </c>
      <c r="D4" t="s">
        <v>10</v>
      </c>
      <c r="E4" s="8">
        <v>44718</v>
      </c>
      <c r="F4" t="s">
        <v>9</v>
      </c>
      <c r="G4">
        <v>75000</v>
      </c>
      <c r="H4" t="s">
        <v>206</v>
      </c>
      <c r="I4">
        <v>1.4438356164383561</v>
      </c>
    </row>
    <row r="5" spans="1:9" x14ac:dyDescent="0.25">
      <c r="A5" t="s">
        <v>127</v>
      </c>
      <c r="B5" t="s">
        <v>8</v>
      </c>
      <c r="C5">
        <v>38</v>
      </c>
      <c r="D5" t="s">
        <v>10</v>
      </c>
      <c r="E5" s="8">
        <v>44316</v>
      </c>
      <c r="F5" t="s">
        <v>19</v>
      </c>
      <c r="G5">
        <v>109160</v>
      </c>
      <c r="H5" t="s">
        <v>206</v>
      </c>
      <c r="I5">
        <v>2.5452054794520547</v>
      </c>
    </row>
    <row r="6" spans="1:9" x14ac:dyDescent="0.25">
      <c r="A6" t="s">
        <v>7</v>
      </c>
      <c r="B6" t="s">
        <v>8</v>
      </c>
      <c r="C6">
        <v>42</v>
      </c>
      <c r="D6" t="s">
        <v>10</v>
      </c>
      <c r="E6" s="8">
        <v>44779</v>
      </c>
      <c r="F6" t="s">
        <v>9</v>
      </c>
      <c r="G6">
        <v>75000</v>
      </c>
      <c r="H6" t="s">
        <v>208</v>
      </c>
      <c r="I6">
        <v>1.2767123287671234</v>
      </c>
    </row>
    <row r="7" spans="1:9" x14ac:dyDescent="0.25">
      <c r="A7" t="s">
        <v>33</v>
      </c>
      <c r="B7" t="s">
        <v>8</v>
      </c>
      <c r="C7">
        <v>38</v>
      </c>
      <c r="D7" t="s">
        <v>10</v>
      </c>
      <c r="E7" s="8">
        <v>44377</v>
      </c>
      <c r="F7" t="s">
        <v>19</v>
      </c>
      <c r="G7">
        <v>109160</v>
      </c>
      <c r="H7" t="s">
        <v>208</v>
      </c>
      <c r="I7">
        <v>2.3780821917808219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D511-F73A-43B9-BC52-767DB21EA24F}">
  <dimension ref="B4:D10"/>
  <sheetViews>
    <sheetView workbookViewId="0">
      <selection activeCell="P7" sqref="P7"/>
    </sheetView>
  </sheetViews>
  <sheetFormatPr defaultRowHeight="15" x14ac:dyDescent="0.25"/>
  <cols>
    <col min="2" max="2" width="14.28515625" bestFit="1" customWidth="1"/>
    <col min="3" max="3" width="14.42578125" bestFit="1" customWidth="1"/>
    <col min="4" max="4" width="16.42578125" bestFit="1" customWidth="1"/>
  </cols>
  <sheetData>
    <row r="4" spans="2:4" x14ac:dyDescent="0.25">
      <c r="B4" s="21" t="s">
        <v>226</v>
      </c>
      <c r="C4" t="s">
        <v>220</v>
      </c>
      <c r="D4" t="s">
        <v>223</v>
      </c>
    </row>
    <row r="5" spans="2:4" x14ac:dyDescent="0.25">
      <c r="B5" s="22" t="s">
        <v>10</v>
      </c>
      <c r="C5" s="7">
        <v>4</v>
      </c>
      <c r="D5" s="24">
        <v>92080</v>
      </c>
    </row>
    <row r="6" spans="2:4" x14ac:dyDescent="0.25">
      <c r="B6" s="22" t="s">
        <v>13</v>
      </c>
      <c r="C6" s="7">
        <v>21</v>
      </c>
      <c r="D6" s="24">
        <v>77687.619047619053</v>
      </c>
    </row>
    <row r="7" spans="2:4" x14ac:dyDescent="0.25">
      <c r="B7" s="22" t="s">
        <v>16</v>
      </c>
      <c r="C7" s="7">
        <v>137</v>
      </c>
      <c r="D7" s="24">
        <v>76798.759124087592</v>
      </c>
    </row>
    <row r="8" spans="2:4" x14ac:dyDescent="0.25">
      <c r="B8" s="22" t="s">
        <v>24</v>
      </c>
      <c r="C8" s="7">
        <v>16</v>
      </c>
      <c r="D8" s="24">
        <v>78115</v>
      </c>
    </row>
    <row r="9" spans="2:4" x14ac:dyDescent="0.25">
      <c r="B9" s="22" t="s">
        <v>42</v>
      </c>
      <c r="C9" s="7">
        <v>6</v>
      </c>
      <c r="D9" s="24">
        <v>77423.333333333328</v>
      </c>
    </row>
    <row r="10" spans="2:4" x14ac:dyDescent="0.25">
      <c r="B10" s="22" t="s">
        <v>219</v>
      </c>
      <c r="C10" s="7">
        <v>184</v>
      </c>
      <c r="D10" s="24">
        <v>77367.228260869568</v>
      </c>
    </row>
  </sheetData>
  <conditionalFormatting pivot="1" sqref="D5:D9">
    <cfRule type="dataBar" priority="1">
      <dataBar>
        <cfvo type="min"/>
        <cfvo type="max"/>
        <color rgb="FF638EC6"/>
      </dataBar>
      <extLst>
        <ext xmlns:x14="http://schemas.microsoft.com/office/spreadsheetml/2009/9/main" uri="{B025F937-C7B1-47D3-B67F-A62EFF666E3E}">
          <x14:id>{0EA186D9-3903-4B41-A24C-3066C15AA1ED}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EA186D9-3903-4B41-A24C-3066C15AA1ED}">
            <x14:dataBar minLength="0" maxLength="100" border="1" negativeBarBorderColorSameAsPositive="0">
              <x14:cfvo type="autoMin"/>
              <x14:cfvo type="autoMax"/>
              <x14:borderColor rgb="FF638EC6"/>
              <x14:negativeFillColor rgb="FFFF0000"/>
              <x14:negativeBorderColor rgb="FFFF0000"/>
              <x14:axisColor rgb="FF000000"/>
            </x14:dataBar>
          </x14:cfRule>
          <xm:sqref>D5:D9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D1E3-0B99-4928-B8CC-56F1F3DC18B8}">
  <dimension ref="C4:D8"/>
  <sheetViews>
    <sheetView workbookViewId="0">
      <selection activeCell="H8" sqref="H8"/>
    </sheetView>
  </sheetViews>
  <sheetFormatPr defaultRowHeight="15" x14ac:dyDescent="0.25"/>
  <cols>
    <col min="3" max="3" width="14.28515625" bestFit="1" customWidth="1"/>
  </cols>
  <sheetData>
    <row r="4" spans="3:4" x14ac:dyDescent="0.25">
      <c r="C4" s="26" t="s">
        <v>10</v>
      </c>
      <c r="D4" s="27">
        <v>5</v>
      </c>
    </row>
    <row r="5" spans="3:4" x14ac:dyDescent="0.25">
      <c r="C5" s="26" t="s">
        <v>13</v>
      </c>
      <c r="D5" s="27">
        <v>4</v>
      </c>
    </row>
    <row r="6" spans="3:4" x14ac:dyDescent="0.25">
      <c r="C6" s="26" t="s">
        <v>16</v>
      </c>
      <c r="D6" s="27">
        <v>3</v>
      </c>
    </row>
    <row r="7" spans="3:4" x14ac:dyDescent="0.25">
      <c r="C7" s="26" t="s">
        <v>24</v>
      </c>
      <c r="D7" s="27">
        <v>2</v>
      </c>
    </row>
    <row r="8" spans="3:4" x14ac:dyDescent="0.25">
      <c r="C8" s="26" t="s">
        <v>42</v>
      </c>
      <c r="D8" s="2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87F9C-CFA3-429C-92B1-975208EA7D0B}">
  <dimension ref="C4:Y51"/>
  <sheetViews>
    <sheetView topLeftCell="P33" workbookViewId="0">
      <selection activeCell="AE43" sqref="AE43"/>
    </sheetView>
  </sheetViews>
  <sheetFormatPr defaultRowHeight="15" x14ac:dyDescent="0.25"/>
  <cols>
    <col min="3" max="3" width="13.140625" bestFit="1" customWidth="1"/>
    <col min="4" max="4" width="14.42578125" bestFit="1" customWidth="1"/>
    <col min="24" max="24" width="10.42578125" bestFit="1" customWidth="1"/>
    <col min="25" max="25" width="12.42578125" bestFit="1" customWidth="1"/>
  </cols>
  <sheetData>
    <row r="4" spans="3:25" x14ac:dyDescent="0.25">
      <c r="C4" s="21" t="s">
        <v>226</v>
      </c>
      <c r="D4" t="s">
        <v>220</v>
      </c>
    </row>
    <row r="5" spans="3:25" x14ac:dyDescent="0.25">
      <c r="C5" s="22" t="s">
        <v>238</v>
      </c>
      <c r="D5" s="7"/>
    </row>
    <row r="6" spans="3:25" x14ac:dyDescent="0.25">
      <c r="C6" s="29" t="s">
        <v>239</v>
      </c>
      <c r="D6" s="7">
        <v>3</v>
      </c>
    </row>
    <row r="7" spans="3:25" x14ac:dyDescent="0.25">
      <c r="C7" s="29" t="s">
        <v>240</v>
      </c>
      <c r="D7" s="7">
        <v>4</v>
      </c>
    </row>
    <row r="8" spans="3:25" x14ac:dyDescent="0.25">
      <c r="C8" s="29" t="s">
        <v>241</v>
      </c>
      <c r="D8" s="7">
        <v>9</v>
      </c>
    </row>
    <row r="9" spans="3:25" x14ac:dyDescent="0.25">
      <c r="C9" s="29" t="s">
        <v>242</v>
      </c>
      <c r="D9" s="7">
        <v>12</v>
      </c>
    </row>
    <row r="10" spans="3:25" x14ac:dyDescent="0.25">
      <c r="C10" s="29" t="s">
        <v>243</v>
      </c>
      <c r="D10" s="7">
        <v>18</v>
      </c>
    </row>
    <row r="11" spans="3:25" x14ac:dyDescent="0.25">
      <c r="C11" s="29" t="s">
        <v>244</v>
      </c>
      <c r="D11" s="7">
        <v>24</v>
      </c>
    </row>
    <row r="12" spans="3:25" x14ac:dyDescent="0.25">
      <c r="C12" s="29" t="s">
        <v>245</v>
      </c>
      <c r="D12" s="7">
        <v>30</v>
      </c>
    </row>
    <row r="13" spans="3:25" x14ac:dyDescent="0.25">
      <c r="C13" s="29" t="s">
        <v>246</v>
      </c>
      <c r="D13" s="7">
        <v>37</v>
      </c>
    </row>
    <row r="14" spans="3:25" x14ac:dyDescent="0.25">
      <c r="C14" s="22" t="s">
        <v>247</v>
      </c>
      <c r="D14" s="7"/>
    </row>
    <row r="15" spans="3:25" x14ac:dyDescent="0.25">
      <c r="C15" s="29" t="s">
        <v>248</v>
      </c>
      <c r="D15" s="7">
        <v>6</v>
      </c>
      <c r="W15" t="s">
        <v>254</v>
      </c>
      <c r="X15" t="s">
        <v>255</v>
      </c>
      <c r="Y15" t="s">
        <v>256</v>
      </c>
    </row>
    <row r="16" spans="3:25" x14ac:dyDescent="0.25">
      <c r="C16" s="29" t="s">
        <v>249</v>
      </c>
      <c r="D16" s="7">
        <v>10</v>
      </c>
      <c r="V16">
        <v>1</v>
      </c>
      <c r="W16" s="30">
        <f>EDATE(DATE(2020,4,1),V16:V51+0)</f>
        <v>43952</v>
      </c>
      <c r="X16">
        <f>COUNTIFS(staff[Date Joined],"&gt;="&amp;Sheet8!W16,staff[Date Joined],"&lt;="&amp;EOMONTH(Sheet8!W16,0))</f>
        <v>3</v>
      </c>
      <c r="Y16">
        <f>SUM($X$16:X16)</f>
        <v>3</v>
      </c>
    </row>
    <row r="17" spans="3:25" x14ac:dyDescent="0.25">
      <c r="C17" s="29" t="s">
        <v>250</v>
      </c>
      <c r="D17" s="7">
        <v>19</v>
      </c>
      <c r="V17">
        <v>2</v>
      </c>
      <c r="W17" s="30">
        <f t="shared" ref="W17:W51" si="0">EDATE(DATE(2020,4,1),V17:V52+0)</f>
        <v>43983</v>
      </c>
      <c r="X17">
        <f>COUNTIFS(staff[Date Joined],"&gt;="&amp;Sheet8!W17,staff[Date Joined],"&lt;="&amp;EOMONTH(Sheet8!W17,0))</f>
        <v>1</v>
      </c>
      <c r="Y17">
        <f>SUM($X$16:X17)</f>
        <v>4</v>
      </c>
    </row>
    <row r="18" spans="3:25" x14ac:dyDescent="0.25">
      <c r="C18" s="29" t="s">
        <v>251</v>
      </c>
      <c r="D18" s="7">
        <v>24</v>
      </c>
      <c r="V18">
        <v>3</v>
      </c>
      <c r="W18" s="30">
        <f t="shared" si="0"/>
        <v>44013</v>
      </c>
      <c r="X18">
        <f>COUNTIFS(staff[Date Joined],"&gt;="&amp;Sheet8!W18,staff[Date Joined],"&lt;="&amp;EOMONTH(Sheet8!W18,0))</f>
        <v>5</v>
      </c>
      <c r="Y18">
        <f>SUM($X$16:X18)</f>
        <v>9</v>
      </c>
    </row>
    <row r="19" spans="3:25" x14ac:dyDescent="0.25">
      <c r="C19" s="29" t="s">
        <v>239</v>
      </c>
      <c r="D19" s="7">
        <v>34</v>
      </c>
      <c r="V19">
        <v>4</v>
      </c>
      <c r="W19" s="30">
        <f t="shared" si="0"/>
        <v>44044</v>
      </c>
      <c r="X19">
        <f>COUNTIFS(staff[Date Joined],"&gt;="&amp;Sheet8!W19,staff[Date Joined],"&lt;="&amp;EOMONTH(Sheet8!W19,0))</f>
        <v>3</v>
      </c>
      <c r="Y19">
        <f>SUM($X$16:X19)</f>
        <v>12</v>
      </c>
    </row>
    <row r="20" spans="3:25" x14ac:dyDescent="0.25">
      <c r="C20" s="29" t="s">
        <v>240</v>
      </c>
      <c r="D20" s="7">
        <v>40</v>
      </c>
      <c r="V20">
        <v>5</v>
      </c>
      <c r="W20" s="30">
        <f t="shared" si="0"/>
        <v>44075</v>
      </c>
      <c r="X20">
        <f>COUNTIFS(staff[Date Joined],"&gt;="&amp;Sheet8!W20,staff[Date Joined],"&lt;="&amp;EOMONTH(Sheet8!W20,0))</f>
        <v>6</v>
      </c>
      <c r="Y20">
        <f>SUM($X$16:X20)</f>
        <v>18</v>
      </c>
    </row>
    <row r="21" spans="3:25" x14ac:dyDescent="0.25">
      <c r="C21" s="29" t="s">
        <v>241</v>
      </c>
      <c r="D21" s="7">
        <v>53</v>
      </c>
      <c r="V21">
        <v>6</v>
      </c>
      <c r="W21" s="30">
        <f t="shared" si="0"/>
        <v>44105</v>
      </c>
      <c r="X21">
        <f>COUNTIFS(staff[Date Joined],"&gt;="&amp;Sheet8!W21,staff[Date Joined],"&lt;="&amp;EOMONTH(Sheet8!W21,0))</f>
        <v>6</v>
      </c>
      <c r="Y21">
        <f>SUM($X$16:X21)</f>
        <v>24</v>
      </c>
    </row>
    <row r="22" spans="3:25" x14ac:dyDescent="0.25">
      <c r="C22" s="29" t="s">
        <v>242</v>
      </c>
      <c r="D22" s="7">
        <v>57</v>
      </c>
      <c r="V22">
        <v>7</v>
      </c>
      <c r="W22" s="30">
        <f t="shared" si="0"/>
        <v>44136</v>
      </c>
      <c r="X22">
        <f>COUNTIFS(staff[Date Joined],"&gt;="&amp;Sheet8!W22,staff[Date Joined],"&lt;="&amp;EOMONTH(Sheet8!W22,0))</f>
        <v>6</v>
      </c>
      <c r="Y22">
        <f>SUM($X$16:X22)</f>
        <v>30</v>
      </c>
    </row>
    <row r="23" spans="3:25" x14ac:dyDescent="0.25">
      <c r="C23" s="29" t="s">
        <v>243</v>
      </c>
      <c r="D23" s="7">
        <v>69</v>
      </c>
      <c r="V23">
        <v>8</v>
      </c>
      <c r="W23" s="30">
        <f t="shared" si="0"/>
        <v>44166</v>
      </c>
      <c r="X23">
        <f>COUNTIFS(staff[Date Joined],"&gt;="&amp;Sheet8!W23,staff[Date Joined],"&lt;="&amp;EOMONTH(Sheet8!W23,0))</f>
        <v>7</v>
      </c>
      <c r="Y23">
        <f>SUM($X$16:X23)</f>
        <v>37</v>
      </c>
    </row>
    <row r="24" spans="3:25" x14ac:dyDescent="0.25">
      <c r="C24" s="29" t="s">
        <v>244</v>
      </c>
      <c r="D24" s="7">
        <v>72</v>
      </c>
      <c r="V24">
        <v>9</v>
      </c>
      <c r="W24" s="30">
        <f t="shared" si="0"/>
        <v>44197</v>
      </c>
      <c r="X24">
        <f>COUNTIFS(staff[Date Joined],"&gt;="&amp;Sheet8!W24,staff[Date Joined],"&lt;="&amp;EOMONTH(Sheet8!W24,0))</f>
        <v>6</v>
      </c>
      <c r="Y24">
        <f>SUM($X$16:X24)</f>
        <v>43</v>
      </c>
    </row>
    <row r="25" spans="3:25" x14ac:dyDescent="0.25">
      <c r="C25" s="29" t="s">
        <v>245</v>
      </c>
      <c r="D25" s="7">
        <v>76</v>
      </c>
      <c r="V25">
        <v>10</v>
      </c>
      <c r="W25" s="30">
        <f t="shared" si="0"/>
        <v>44228</v>
      </c>
      <c r="X25">
        <f>COUNTIFS(staff[Date Joined],"&gt;="&amp;Sheet8!W25,staff[Date Joined],"&lt;="&amp;EOMONTH(Sheet8!W25,0))</f>
        <v>4</v>
      </c>
      <c r="Y25">
        <f>SUM($X$16:X25)</f>
        <v>47</v>
      </c>
    </row>
    <row r="26" spans="3:25" x14ac:dyDescent="0.25">
      <c r="C26" s="29" t="s">
        <v>246</v>
      </c>
      <c r="D26" s="7">
        <v>83</v>
      </c>
      <c r="V26">
        <v>11</v>
      </c>
      <c r="W26" s="30">
        <f t="shared" si="0"/>
        <v>44256</v>
      </c>
      <c r="X26">
        <f>COUNTIFS(staff[Date Joined],"&gt;="&amp;Sheet8!W26,staff[Date Joined],"&lt;="&amp;EOMONTH(Sheet8!W26,0))</f>
        <v>9</v>
      </c>
      <c r="Y26">
        <f>SUM($X$16:X26)</f>
        <v>56</v>
      </c>
    </row>
    <row r="27" spans="3:25" x14ac:dyDescent="0.25">
      <c r="C27" s="22" t="s">
        <v>252</v>
      </c>
      <c r="D27" s="7"/>
      <c r="V27">
        <v>12</v>
      </c>
      <c r="W27" s="30">
        <f t="shared" si="0"/>
        <v>44287</v>
      </c>
      <c r="X27">
        <f>COUNTIFS(staff[Date Joined],"&gt;="&amp;Sheet8!W27,staff[Date Joined],"&lt;="&amp;EOMONTH(Sheet8!W27,0))</f>
        <v>5</v>
      </c>
      <c r="Y27">
        <f>SUM($X$16:X27)</f>
        <v>61</v>
      </c>
    </row>
    <row r="28" spans="3:25" x14ac:dyDescent="0.25">
      <c r="C28" s="29" t="s">
        <v>248</v>
      </c>
      <c r="D28" s="7">
        <v>3</v>
      </c>
      <c r="V28">
        <v>13</v>
      </c>
      <c r="W28" s="30">
        <f t="shared" si="0"/>
        <v>44317</v>
      </c>
      <c r="X28">
        <f>COUNTIFS(staff[Date Joined],"&gt;="&amp;Sheet8!W28,staff[Date Joined],"&lt;="&amp;EOMONTH(Sheet8!W28,0))</f>
        <v>10</v>
      </c>
      <c r="Y28">
        <f>SUM($X$16:X28)</f>
        <v>71</v>
      </c>
    </row>
    <row r="29" spans="3:25" x14ac:dyDescent="0.25">
      <c r="C29" s="29" t="s">
        <v>249</v>
      </c>
      <c r="D29" s="7">
        <v>13</v>
      </c>
      <c r="V29">
        <v>14</v>
      </c>
      <c r="W29" s="30">
        <f t="shared" si="0"/>
        <v>44348</v>
      </c>
      <c r="X29">
        <f>COUNTIFS(staff[Date Joined],"&gt;="&amp;Sheet8!W29,staff[Date Joined],"&lt;="&amp;EOMONTH(Sheet8!W29,0))</f>
        <v>6</v>
      </c>
      <c r="Y29">
        <f>SUM($X$16:X29)</f>
        <v>77</v>
      </c>
    </row>
    <row r="30" spans="3:25" x14ac:dyDescent="0.25">
      <c r="C30" s="29" t="s">
        <v>250</v>
      </c>
      <c r="D30" s="7">
        <v>22</v>
      </c>
      <c r="V30">
        <v>15</v>
      </c>
      <c r="W30" s="30">
        <f t="shared" si="0"/>
        <v>44378</v>
      </c>
      <c r="X30">
        <f>COUNTIFS(staff[Date Joined],"&gt;="&amp;Sheet8!W30,staff[Date Joined],"&lt;="&amp;EOMONTH(Sheet8!W30,0))</f>
        <v>13</v>
      </c>
      <c r="Y30">
        <f>SUM($X$16:X30)</f>
        <v>90</v>
      </c>
    </row>
    <row r="31" spans="3:25" x14ac:dyDescent="0.25">
      <c r="C31" s="29" t="s">
        <v>251</v>
      </c>
      <c r="D31" s="7">
        <v>31</v>
      </c>
      <c r="V31">
        <v>16</v>
      </c>
      <c r="W31" s="30">
        <f>EDATE(DATE(2020,4,1),V31:V66+0)</f>
        <v>44409</v>
      </c>
      <c r="X31">
        <f>COUNTIFS(staff[Date Joined],"&gt;="&amp;Sheet8!W31,staff[Date Joined],"&lt;="&amp;EOMONTH(Sheet8!W31,0))</f>
        <v>4</v>
      </c>
      <c r="Y31">
        <f>SUM($X$16:X31)</f>
        <v>94</v>
      </c>
    </row>
    <row r="32" spans="3:25" x14ac:dyDescent="0.25">
      <c r="C32" s="29" t="s">
        <v>239</v>
      </c>
      <c r="D32" s="7">
        <v>40</v>
      </c>
      <c r="V32">
        <v>17</v>
      </c>
      <c r="W32" s="30">
        <f t="shared" si="0"/>
        <v>44440</v>
      </c>
      <c r="X32">
        <f>COUNTIFS(staff[Date Joined],"&gt;="&amp;Sheet8!W32,staff[Date Joined],"&lt;="&amp;EOMONTH(Sheet8!W32,0))</f>
        <v>12</v>
      </c>
      <c r="Y32">
        <f>SUM($X$16:X32)</f>
        <v>106</v>
      </c>
    </row>
    <row r="33" spans="3:25" x14ac:dyDescent="0.25">
      <c r="C33" s="29" t="s">
        <v>240</v>
      </c>
      <c r="D33" s="7">
        <v>47</v>
      </c>
      <c r="V33">
        <v>18</v>
      </c>
      <c r="W33" s="30">
        <f t="shared" si="0"/>
        <v>44470</v>
      </c>
      <c r="X33">
        <f>COUNTIFS(staff[Date Joined],"&gt;="&amp;Sheet8!W33,staff[Date Joined],"&lt;="&amp;EOMONTH(Sheet8!W33,0))</f>
        <v>3</v>
      </c>
      <c r="Y33">
        <f>SUM($X$16:X33)</f>
        <v>109</v>
      </c>
    </row>
    <row r="34" spans="3:25" x14ac:dyDescent="0.25">
      <c r="C34" s="29" t="s">
        <v>241</v>
      </c>
      <c r="D34" s="7">
        <v>52</v>
      </c>
      <c r="V34">
        <v>19</v>
      </c>
      <c r="W34" s="30">
        <f t="shared" si="0"/>
        <v>44501</v>
      </c>
      <c r="X34">
        <f>COUNTIFS(staff[Date Joined],"&gt;="&amp;Sheet8!W34,staff[Date Joined],"&lt;="&amp;EOMONTH(Sheet8!W34,0))</f>
        <v>4</v>
      </c>
      <c r="Y34">
        <f>SUM($X$16:X34)</f>
        <v>113</v>
      </c>
    </row>
    <row r="35" spans="3:25" x14ac:dyDescent="0.25">
      <c r="C35" s="29" t="s">
        <v>242</v>
      </c>
      <c r="D35" s="7">
        <v>57</v>
      </c>
      <c r="V35">
        <v>20</v>
      </c>
      <c r="W35" s="30">
        <f t="shared" si="0"/>
        <v>44531</v>
      </c>
      <c r="X35">
        <f>COUNTIFS(staff[Date Joined],"&gt;="&amp;Sheet8!W35,staff[Date Joined],"&lt;="&amp;EOMONTH(Sheet8!W35,0))</f>
        <v>7</v>
      </c>
      <c r="Y35">
        <f>SUM($X$16:X35)</f>
        <v>120</v>
      </c>
    </row>
    <row r="36" spans="3:25" x14ac:dyDescent="0.25">
      <c r="C36" s="29" t="s">
        <v>243</v>
      </c>
      <c r="D36" s="7">
        <v>59</v>
      </c>
      <c r="V36">
        <v>21</v>
      </c>
      <c r="W36" s="30">
        <f t="shared" si="0"/>
        <v>44562</v>
      </c>
      <c r="X36">
        <f>COUNTIFS(staff[Date Joined],"&gt;="&amp;Sheet8!W36,staff[Date Joined],"&lt;="&amp;EOMONTH(Sheet8!W36,0))</f>
        <v>3</v>
      </c>
      <c r="Y36">
        <f>SUM($X$16:X36)</f>
        <v>123</v>
      </c>
    </row>
    <row r="37" spans="3:25" x14ac:dyDescent="0.25">
      <c r="C37" s="29" t="s">
        <v>244</v>
      </c>
      <c r="D37" s="7">
        <v>62</v>
      </c>
      <c r="V37">
        <v>22</v>
      </c>
      <c r="W37" s="30">
        <f t="shared" si="0"/>
        <v>44593</v>
      </c>
      <c r="X37">
        <f>COUNTIFS(staff[Date Joined],"&gt;="&amp;Sheet8!W37,staff[Date Joined],"&lt;="&amp;EOMONTH(Sheet8!W37,0))</f>
        <v>10</v>
      </c>
      <c r="Y37">
        <f>SUM($X$16:X37)</f>
        <v>133</v>
      </c>
    </row>
    <row r="38" spans="3:25" x14ac:dyDescent="0.25">
      <c r="C38" s="22" t="s">
        <v>253</v>
      </c>
      <c r="D38" s="7"/>
      <c r="V38">
        <v>23</v>
      </c>
      <c r="W38" s="30">
        <f t="shared" si="0"/>
        <v>44621</v>
      </c>
      <c r="X38">
        <f>COUNTIFS(staff[Date Joined],"&gt;="&amp;Sheet8!W38,staff[Date Joined],"&lt;="&amp;EOMONTH(Sheet8!W38,0))</f>
        <v>9</v>
      </c>
      <c r="Y38">
        <f>SUM($X$16:X38)</f>
        <v>142</v>
      </c>
    </row>
    <row r="39" spans="3:25" x14ac:dyDescent="0.25">
      <c r="C39" s="29" t="s">
        <v>249</v>
      </c>
      <c r="D39" s="7">
        <v>1</v>
      </c>
      <c r="V39">
        <v>24</v>
      </c>
      <c r="W39" s="30">
        <f t="shared" si="0"/>
        <v>44652</v>
      </c>
      <c r="X39">
        <f>COUNTIFS(staff[Date Joined],"&gt;="&amp;Sheet8!W39,staff[Date Joined],"&lt;="&amp;EOMONTH(Sheet8!W39,0))</f>
        <v>9</v>
      </c>
      <c r="Y39">
        <f>SUM($X$16:X39)</f>
        <v>151</v>
      </c>
    </row>
    <row r="40" spans="3:25" x14ac:dyDescent="0.25">
      <c r="C40" s="29" t="s">
        <v>251</v>
      </c>
      <c r="D40" s="7">
        <v>2</v>
      </c>
      <c r="V40">
        <v>25</v>
      </c>
      <c r="W40" s="30">
        <f t="shared" si="0"/>
        <v>44682</v>
      </c>
      <c r="X40">
        <f>COUNTIFS(staff[Date Joined],"&gt;="&amp;Sheet8!W40,staff[Date Joined],"&lt;="&amp;EOMONTH(Sheet8!W40,0))</f>
        <v>9</v>
      </c>
      <c r="Y40">
        <f>SUM($X$16:X40)</f>
        <v>160</v>
      </c>
    </row>
    <row r="41" spans="3:25" x14ac:dyDescent="0.25">
      <c r="C41" s="22" t="s">
        <v>219</v>
      </c>
      <c r="D41" s="7"/>
      <c r="V41">
        <v>26</v>
      </c>
      <c r="W41" s="30">
        <f t="shared" si="0"/>
        <v>44713</v>
      </c>
      <c r="X41">
        <f>COUNTIFS(staff[Date Joined],"&gt;="&amp;Sheet8!W41,staff[Date Joined],"&lt;="&amp;EOMONTH(Sheet8!W41,0))</f>
        <v>7</v>
      </c>
      <c r="Y41">
        <f>SUM($X$16:X41)</f>
        <v>167</v>
      </c>
    </row>
    <row r="42" spans="3:25" x14ac:dyDescent="0.25">
      <c r="V42">
        <v>27</v>
      </c>
      <c r="W42" s="30">
        <f t="shared" si="0"/>
        <v>44743</v>
      </c>
      <c r="X42">
        <f>COUNTIFS(staff[Date Joined],"&gt;="&amp;Sheet8!W42,staff[Date Joined],"&lt;="&amp;EOMONTH(Sheet8!W42,0))</f>
        <v>5</v>
      </c>
      <c r="Y42">
        <f>SUM($X$16:X42)</f>
        <v>172</v>
      </c>
    </row>
    <row r="43" spans="3:25" x14ac:dyDescent="0.25">
      <c r="V43">
        <v>28</v>
      </c>
      <c r="W43" s="30">
        <f>EDATE(DATE(2020,4,1),V43:V78+0)</f>
        <v>44774</v>
      </c>
      <c r="X43">
        <f>COUNTIFS(staff[Date Joined],"&gt;="&amp;Sheet8!W43,staff[Date Joined],"&lt;="&amp;EOMONTH(Sheet8!W43,0))</f>
        <v>5</v>
      </c>
      <c r="Y43">
        <f>SUM($X$16:X43)</f>
        <v>177</v>
      </c>
    </row>
    <row r="44" spans="3:25" x14ac:dyDescent="0.25">
      <c r="V44">
        <v>29</v>
      </c>
      <c r="W44" s="30">
        <f t="shared" si="0"/>
        <v>44805</v>
      </c>
      <c r="X44">
        <f>COUNTIFS(staff[Date Joined],"&gt;="&amp;Sheet8!W44,staff[Date Joined],"&lt;="&amp;EOMONTH(Sheet8!W44,0))</f>
        <v>2</v>
      </c>
      <c r="Y44">
        <f>SUM($X$16:X44)</f>
        <v>179</v>
      </c>
    </row>
    <row r="45" spans="3:25" x14ac:dyDescent="0.25">
      <c r="V45">
        <v>30</v>
      </c>
      <c r="W45" s="30">
        <f t="shared" si="0"/>
        <v>44835</v>
      </c>
      <c r="X45">
        <f>COUNTIFS(staff[Date Joined],"&gt;="&amp;Sheet8!W45,staff[Date Joined],"&lt;="&amp;EOMONTH(Sheet8!W45,0))</f>
        <v>3</v>
      </c>
      <c r="Y45">
        <f>SUM($X$16:X45)</f>
        <v>182</v>
      </c>
    </row>
    <row r="46" spans="3:25" x14ac:dyDescent="0.25">
      <c r="V46">
        <v>31</v>
      </c>
      <c r="W46" s="30">
        <f t="shared" si="0"/>
        <v>44866</v>
      </c>
      <c r="X46">
        <f>COUNTIFS(staff[Date Joined],"&gt;="&amp;Sheet8!W46,staff[Date Joined],"&lt;="&amp;EOMONTH(Sheet8!W46,0))</f>
        <v>0</v>
      </c>
      <c r="Y46">
        <f>SUM($X$16:X46)</f>
        <v>182</v>
      </c>
    </row>
    <row r="47" spans="3:25" x14ac:dyDescent="0.25">
      <c r="V47">
        <v>32</v>
      </c>
      <c r="W47" s="30">
        <f t="shared" si="0"/>
        <v>44896</v>
      </c>
      <c r="X47">
        <f>COUNTIFS(staff[Date Joined],"&gt;="&amp;Sheet8!W47,staff[Date Joined],"&lt;="&amp;EOMONTH(Sheet8!W47,0))</f>
        <v>0</v>
      </c>
      <c r="Y47">
        <f>SUM($X$16:X47)</f>
        <v>182</v>
      </c>
    </row>
    <row r="48" spans="3:25" x14ac:dyDescent="0.25">
      <c r="V48">
        <v>33</v>
      </c>
      <c r="W48" s="30">
        <f t="shared" si="0"/>
        <v>44927</v>
      </c>
      <c r="X48">
        <f>COUNTIFS(staff[Date Joined],"&gt;="&amp;Sheet8!W48,staff[Date Joined],"&lt;="&amp;EOMONTH(Sheet8!W48,0))</f>
        <v>0</v>
      </c>
      <c r="Y48">
        <f>SUM($X$16:X48)</f>
        <v>182</v>
      </c>
    </row>
    <row r="49" spans="22:25" x14ac:dyDescent="0.25">
      <c r="V49">
        <v>34</v>
      </c>
      <c r="W49" s="30">
        <f t="shared" si="0"/>
        <v>44958</v>
      </c>
      <c r="X49">
        <f>COUNTIFS(staff[Date Joined],"&gt;="&amp;Sheet8!W49,staff[Date Joined],"&lt;="&amp;EOMONTH(Sheet8!W49,0))</f>
        <v>1</v>
      </c>
      <c r="Y49">
        <f>SUM($X$16:X49)</f>
        <v>183</v>
      </c>
    </row>
    <row r="50" spans="22:25" x14ac:dyDescent="0.25">
      <c r="V50">
        <v>35</v>
      </c>
      <c r="W50" s="30">
        <f t="shared" si="0"/>
        <v>44986</v>
      </c>
      <c r="X50">
        <f>COUNTIFS(staff[Date Joined],"&gt;="&amp;Sheet8!W50,staff[Date Joined],"&lt;="&amp;EOMONTH(Sheet8!W50,0))</f>
        <v>0</v>
      </c>
      <c r="Y50">
        <f>SUM($X$16:X50)</f>
        <v>183</v>
      </c>
    </row>
    <row r="51" spans="22:25" x14ac:dyDescent="0.25">
      <c r="V51">
        <v>36</v>
      </c>
      <c r="W51" s="30">
        <f t="shared" si="0"/>
        <v>45017</v>
      </c>
      <c r="X51">
        <f>COUNTIFS(staff[Date Joined],"&gt;="&amp;Sheet8!W51,staff[Date Joined],"&lt;="&amp;EOMONTH(Sheet8!W51,0))</f>
        <v>1</v>
      </c>
      <c r="Y51">
        <f>SUM($X$16:X51)</f>
        <v>184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8 7 3 3 c f - c 7 d 8 - 4 4 9 c - b d 2 f - c e 5 8 0 1 f b e 1 3 5 "   x m l n s = " h t t p : / / s c h e m a s . m i c r o s o f t . c o m / D a t a M a s h u p " > A A A A A K c E A A B Q S w M E F A A C A A g A R a B v 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R a B 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g b 1 c 7 R 8 f N o Q E A A D 8 F A A A T A B w A R m 9 y b X V s Y X M v U 2 V j d G l v b j E u b S C i G A A o o B Q A A A A A A A A A A A A A A A A A A A A A A A A A A A D t l E 1 L w 0 A Q h u + F / o d l v S S w C J 7 9 A E l V 9 F C h L Q q W I t t k 2 i 7 u R 9 n M q j X 0 v z t p 2 j S 1 F U Q 8 m k v g n Z 1 5 Z + b Z J I c U l b O s X 7 1 P T t u t d i u f S Q 8 Z s x / P O c r J h J 0 z D d h u M X r 6 L v g U S L l 6 T 0 E f J 8 F 7 s P j o / M v Y u Z c o L o Z d a e C c b 3 L 5 a D l M n E U 6 N B J V i S O e z K S d k s F g M Q d O t Q Z y r O F 4 4 K X N J 8 6 b x O l g b B n M o 8 p P F A U v 6 3 L B k G S G 8 I 5 L w Q p + A z Y D v y d 3 Y C 4 9 G j L d C 1 1 O 6 y o 2 m D H 4 K k E i s D u n L G S b a E Y S K g O r e F 9 q 6 R c H E n s S l Z 1 u A t I u l s u 4 n v M y y 2 j K J O T o z H Z O U q s J o y + b E I w n L l h c G Y F M Z 4 x 3 n 3 j c b i l 7 s G K T l b L Z 7 2 F R s p L / v P 6 A 1 2 2 3 8 0 N g 3 8 O q X B N n x j R e V N R k R f 1 B N l r u g X G v V K 4 T 5 l q l t I J 8 2 3 h H 5 T R s i h s o b A 1 l J 3 2 u Z U r 5 D 1 K H B t u 1 v l K j g y 7 C B q 0 F v 8 d Z y X N 9 3 u 8 k i p p 3 w / F a a Y R y A T 3 3 1 u i 1 D 5 r + Q K U W 7 X W 1 X m 4 0 b F A f s b M L V r Y Q x 7 + 5 p l / 7 K C / s N 3 e K L k g T 6 I 7 J 6 S d Q S w E C L Q A U A A I A C A B F o G 9 X l i e 0 I 6 Q A A A D 2 A A A A E g A A A A A A A A A A A A A A A A A A A A A A Q 2 9 u Z m l n L 1 B h Y 2 t h Z 2 U u e G 1 s U E s B A i 0 A F A A C A A g A R a B v V w / K 6 a u k A A A A 6 Q A A A B M A A A A A A A A A A A A A A A A A 8 A A A A F t D b 2 5 0 Z W 5 0 X 1 R 5 c G V z X S 5 4 b W x Q S w E C L Q A U A A I A C A B F o G 9 X O 0 f H z a E B A A A / B Q A A E w A A A A A A A A A A A A A A A A D h A Q A A R m 9 y b X V s Y X M v U 2 V j d G l v b j E u b V B L B Q Y A A A A A A w A D A M I A A A D 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F w A A A A A A A P s 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e l 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E t M T V U M T Q 6 M T E 6 M j g u O T U 3 M T k 3 N V o i I C 8 + P E V u d H J 5 I F R 5 c G U 9 I k Z p b G x T d G F 0 d X M i I F Z h b H V l P S J z Q 2 9 t c G x l d G U i I C 8 + P C 9 T d G F i b G V F b n R y a W V z P j w v S X R l b T 4 8 S X R l b T 4 8 S X R l b U x v Y 2 F 0 a W 9 u P j x J d G V t V H l w Z T 5 G b 3 J t d W x h P C 9 J d G V t V H l w Z T 4 8 S X R l b V B h d G g + U 2 V j d G l v b j E v b n p f c 3 R h Z m Y v U 2 9 1 c m N l P C 9 J d G V t U G F 0 a D 4 8 L 0 l 0 Z W 1 M b 2 N h d G l v b j 4 8 U 3 R h Y m x l R W 5 0 c m l l c y A v P j w v S X R l b T 4 8 S X R l b T 4 8 S X R l b U x v Y 2 F 0 a W 9 u P j x J d G V t V H l w Z T 5 G b 3 J t d W x h P C 9 J d G V t V H l w Z T 4 8 S X R l b V B h d G g + U 2 V j d G l v b j E v b n p f c 3 R h Z m Y v Q 2 h h b m d l Z C U y M F R 5 c G U 8 L 0 l 0 Z W 1 Q Y X R o P j w v S X R l b U x v Y 2 F 0 a W 9 u P j x T d G F i b G V F b n R y a W V z I C 8 + P C 9 J d G V t P j x J d G V t P j x J d G V t T G 9 j Y X R p b 2 4 + P E l 0 Z W 1 U e X B l P k Z v c m 1 1 b G E 8 L 0 l 0 Z W 1 U e X B l P j x J d G V t U G F 0 a D 5 T Z W N 0 a W 9 u M S 9 p b m R f c 3 R h Z m Y 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E x L T E 1 V D E 0 O j E x O j I 4 L j k 1 N z E 5 N z V 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p b m R f c 3 R h Z m Y v U 2 9 1 c m N l P C 9 J d G V t U G F 0 a D 4 8 L 0 l 0 Z W 1 M b 2 N h d G l v b j 4 8 U 3 R h Y m x l R W 5 0 c m l l c y A v P j w v S X R l b T 4 8 S X R l b T 4 8 S X R l b U x v Y 2 F 0 a W 9 u P j x J d G V t V H l w Z T 5 G b 3 J t d W x h P C 9 J d G V t V H l w Z T 4 8 S X R l b V B h d G g + U 2 V j d G l v b j E v a W 5 k X 3 N 0 Y W Z m L 0 N o Y W 5 n Z W Q l M j B U e X B l 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p b m R f c 3 R h Z m Y v Q W R k Z W Q l M j B D d X N 0 b 2 0 8 L 0 l 0 Z W 1 Q Y X R o P j w v S X R l b U x v Y 2 F 0 a W 9 u P j x T d G F i b G V F b n R y a W V z I C 8 + P C 9 J d G V t P j x J d G V t P j x J d G V t T G 9 j Y X R p b 2 4 + P E l 0 Z W 1 U e X B l P k Z v c m 1 1 b G E 8 L 0 l 0 Z W 1 U e X B l P j x J d G V t U G F 0 a D 5 T Z W N 0 a W 9 u M S 9 z d G F m Z 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D Q i I C 8 + P E V u d H J 5 I F R 5 c G U 9 I k Z p b G x F c n J v c k N v Z G U i I F Z h b H V l P S J z V W 5 r b m 9 3 b i I g L z 4 8 R W 5 0 c n k g V H l w Z T 0 i R m l s b E V y c m 9 y Q 2 9 1 b n Q i I F Z h b H V l P S J s M C I g L z 4 8 R W 5 0 c n k g V H l w Z T 0 i R m l s b E x h c 3 R V c G R h d G V k I i B W Y W x 1 Z T 0 i Z D I w M j M t M T E t M T V U M T Q 6 M z I 6 M T A u N D I 3 M D Q w M l o i I C 8 + P E V u d H J 5 I F R 5 c G U 9 I k Z p b G x D b 2 x 1 b W 5 U e X B l c y I g V m F s d W U 9 I n N C Z 1 l G Q U F r R 0 J R Q T 0 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F N 0 Y X R 1 c y I g V m F s d W U 9 I n N D b 2 1 w b G V 0 Z S I g L z 4 8 R W 5 0 c n k g V H l w Z T 0 i U m V s Y X R p b 2 5 z a G l w S W 5 m b 0 N v b n R h a W 5 l c i I g V m F s d W U 9 I n N 7 J n F 1 b 3 Q 7 Y 2 9 s d W 1 u Q 2 9 1 b n Q m c X V v d D s 6 O C w m c X V v d D t r Z X l D b 2 x 1 b W 5 O Y W 1 l c y Z x d W 9 0 O z p b J n F 1 b 3 Q 7 T m F t Z S Z x d W 9 0 O 1 0 s J n F 1 b 3 Q 7 c X V l c n l S Z W x h d G l v b n N o a X B z J n F 1 b 3 Q 7 O l t d L C Z x d W 9 0 O 2 N v b H V t b k l k Z W 5 0 a X R p Z X M m c X V v d D s 6 W y Z x d W 9 0 O 1 N l Y 3 R p b 2 4 x L 3 N 0 Y W Z m L 1 N v d X J j Z S 5 7 T m F t Z S w w f S Z x d W 9 0 O y w m c X V v d D t T Z W N 0 a W 9 u M S 9 z d G F m Z i 9 S Z X B s Y W N l Z C B W Y W x 1 Z S 5 7 R 2 V u Z G V y L D F 9 J n F 1 b 3 Q 7 L C Z x d W 9 0 O 1 N l Y 3 R p b 2 4 x L 3 N 0 Y W Z m L 1 N v d X J j Z S 5 7 Q W d l L D J 9 J n F 1 b 3 Q 7 L C Z x d W 9 0 O 1 N l Y 3 R p b 2 4 x L 3 N 0 Y W Z m L 1 N v d X J j Z S 5 7 U m F 0 a W 5 n L D N 9 J n F 1 b 3 Q 7 L C Z x d W 9 0 O 1 N l Y 3 R p b 2 4 x L 3 N 0 Y W Z m L 0 N o Y W 5 n Z W Q g V H l w Z S 5 7 R G F 0 Z S B K b 2 l u Z W Q s N H 0 m c X V v d D s s J n F 1 b 3 Q 7 U 2 V j d G l v b j E v c 3 R h Z m Y v U 2 9 1 c m N l L n t E Z X B h c n R t Z W 5 0 L D V 9 J n F 1 b 3 Q 7 L C Z x d W 9 0 O 1 N l Y 3 R p b 2 4 x L 3 N 0 Y W Z m L 1 N v d X J j Z S 5 7 U 2 F s Y X J 5 L D Z 9 J n F 1 b 3 Q 7 L C Z x d W 9 0 O 1 N l Y 3 R p b 2 4 x L 3 N 0 Y W Z m L 1 N v d X J j Z S 5 7 Q 2 9 1 b n R y e S w 3 f S Z x d W 9 0 O 1 0 s J n F 1 b 3 Q 7 Q 2 9 s d W 1 u Q 2 9 1 b n Q m c X V v d D s 6 O C w m c X V v d D t L Z X l D b 2 x 1 b W 5 O Y W 1 l c y Z x d W 9 0 O z p b J n F 1 b 3 Q 7 T m F t Z S Z x d W 9 0 O 1 0 s J n F 1 b 3 Q 7 Q 2 9 s d W 1 u S W R l b n R p d G l l c y Z x d W 9 0 O z p b J n F 1 b 3 Q 7 U 2 V j d G l v b j E v c 3 R h Z m Y v U 2 9 1 c m N l L n t O Y W 1 l L D B 9 J n F 1 b 3 Q 7 L C Z x d W 9 0 O 1 N l Y 3 R p b 2 4 x L 3 N 0 Y W Z m L 1 J l c G x h Y 2 V k I F Z h b H V l L n t H Z W 5 k Z X I s M X 0 m c X V v d D s s J n F 1 b 3 Q 7 U 2 V j d G l v b j E v c 3 R h Z m Y v U 2 9 1 c m N l L n t B Z 2 U s M n 0 m c X V v d D s s J n F 1 b 3 Q 7 U 2 V j d G l v b j E v c 3 R h Z m Y v U 2 9 1 c m N l L n t S Y X R p b m c s M 3 0 m c X V v d D s s J n F 1 b 3 Q 7 U 2 V j d G l v b j E v c 3 R h Z m Y v Q 2 h h b m d l Z C B U e X B l L n t E Y X R l I E p v a W 5 l Z C w 0 f S Z x d W 9 0 O y w m c X V v d D t T Z W N 0 a W 9 u M S 9 z d G F m Z i 9 T b 3 V y Y 2 U u e 0 R l c G F y d G 1 l b n Q s N X 0 m c X V v d D s s J n F 1 b 3 Q 7 U 2 V j d G l v b j E v c 3 R h Z m Y v U 2 9 1 c m N l L n t T Y W x h c n k s N n 0 m c X V v d D s s J n F 1 b 3 Q 7 U 2 V j d G l v b j E v c 3 R h Z m Y v U 2 9 1 c m N l L n t D b 3 V u d H J 5 L D d 9 J n F 1 b 3 Q 7 X S w m c X V v d D t S Z W x h d G l v b n N o a X B J b m Z v J n F 1 b 3 Q 7 O l t d f S I g L z 4 8 R W 5 0 c n k g V H l w Z T 0 i U m V j b 3 Z l c n l U Y X J n Z X R T a G V l d C I g V m F s d W U 9 I n N B b G w g c 3 R h Z m Y i I C 8 + P E V u d H J 5 I F R 5 c G U 9 I l J l Y 2 9 2 Z X J 5 V G F y Z 2 V 0 Q 2 9 s d W 1 u I i B W Y W x 1 Z T 0 i b D Y i I C 8 + P E V u d H J 5 I F R 5 c G U 9 I l J l Y 2 9 2 Z X J 5 V G F y Z 2 V 0 U m 9 3 I i B W Y W x 1 Z T 0 i b D E w I i A v P j x F b n R y e S B U e X B l P S J G a W x s V G F y Z 2 V 0 I i B W Y W x 1 Z T 0 i c 3 N 0 Y W Z m I i A v P j x F b n R y e S B U e X B l P S J R d W V y e U l E I i B W Y W x 1 Z T 0 i c 2 I 3 M G E 3 Z j R l L T A y Y W Q t N D E 1 Z S 0 5 N j l h L T Y 1 Z G R h Y T F m O W Y 4 N S I g L z 4 8 L 1 N 0 Y W J s Z U V u d H J p Z X M + P C 9 J d G V t P j x J d G V t P j x J d G V t T G 9 j Y X R p b 2 4 + P E l 0 Z W 1 U e X B l P k Z v c m 1 1 b G E 8 L 0 l 0 Z W 1 U e X B l P j x J d G V t U G F 0 a D 5 T Z W N 0 a W 9 u M S 9 z d G F m Z i 9 T b 3 V y Y 2 U 8 L 0 l 0 Z W 1 Q Y X R o P j w v S X R l b U x v Y 2 F 0 a W 9 u P j x T d G F i b G V F b n R y a W V z I C 8 + P C 9 J d G V t P j x J d G V t P j x J d G V t T G 9 j Y X R p b 2 4 + P E l 0 Z W 1 U e X B l P k Z v c m 1 1 b G E 8 L 0 l 0 Z W 1 U e X B l P j x J d G V t U G F 0 a D 5 T Z W N 0 a W 9 u M S 9 z d G F m Z i 9 S Z W 1 v d m V k J T I w R H V w b G l j Y X R l c z w v S X R l b V B h d G g + P C 9 J d G V t T G 9 j Y X R p b 2 4 + P F N 0 Y W J s Z U V u d H J p Z X M g L z 4 8 L 0 l 0 Z W 0 + P E l 0 Z W 0 + P E l 0 Z W 1 M b 2 N h d G l v b j 4 8 S X R l b V R 5 c G U + R m 9 y b X V s Y T w v S X R l b V R 5 c G U + P E l 0 Z W 1 Q Y X R o P l N l Y 3 R p b 2 4 x L 3 N 0 Y W Z m L 1 J l c G x h Y 2 V k J T I w V m F s d W U 8 L 0 l 0 Z W 1 Q Y X R o P j w v S X R l b U x v Y 2 F 0 a W 9 u P j x T d G F i b G V F b n R y a W V z I C 8 + P C 9 J d G V t P j x J d G V t P j x J d G V t T G 9 j Y X R p b 2 4 + P E l 0 Z W 1 U e X B l P k Z v c m 1 1 b G E 8 L 0 l 0 Z W 1 U e X B l P j x J d G V t U G F 0 a D 5 T Z W N 0 a W 9 u M S 9 z d G F m Z i 9 G a W x 0 Z X J l Z C U y M F J v d 3 M 8 L 0 l 0 Z W 1 Q Y X R o P j w v S X R l b U x v Y 2 F 0 a W 9 u P j x T d G F i b G V F b n R y a W V z I C 8 + P C 9 J d G V t P j x J d G V t P j x J d G V t T G 9 j Y X R p b 2 4 + P E l 0 Z W 1 U e X B l P k Z v c m 1 1 b G E 8 L 0 l 0 Z W 1 U e X B l P j x J d G V t U G F 0 a D 5 T Z W N 0 a W 9 u M S 9 z d G F m Z i 9 D a G F u Z 2 V k J T I w V H l w Z T w v S X R l b V B h d G g + P C 9 J d G V t T G 9 j Y X R p b 2 4 + P F N 0 Y W J s Z U V u d H J p Z X M g L z 4 8 L 0 l 0 Z W 0 + P C 9 J d G V t c z 4 8 L 0 x v Y 2 F s U G F j a 2 F n Z U 1 l d G F k Y X R h R m l s Z T 4 W A A A A U E s F B g A A A A A A A A A A A A A A A A A A A A A A A C Y B A A A B A A A A 0 I y d 3 w E V 0 R G M e g D A T 8 K X 6 w E A A A C b l O c / l g y h R 4 H H 2 e n H N t k X A A A A A A I A A A A A A B B m A A A A A Q A A I A A A A P A 6 Y 5 k e A t h g t m k m 1 I y N u G W x H 5 o L R k 1 T p x w h 9 u v + B b 3 J A A A A A A 6 A A A A A A g A A I A A A A D Q 7 u Z X p X V i A l v C B M O 1 p N 5 7 a D c 3 s M X d J w 6 S m M c J B X 9 O h U A A A A K 9 v d m / H E u y b G g j M S w V h d a c q m X D J K j w U i g d c x h 0 J S o b 9 B x O u u s y I a o 4 W C B w 1 M B X n 4 6 b z X v q I G j + T P n x i q s V k H Y X N Q 2 K l 9 i 3 M i o B 1 F h u e 9 E m O Q A A A A E Q m E f M + L o z U z l 1 5 l N 0 x n k 7 G i Y d e g y 8 c I 6 g Q t D v l T O I 7 Y H p m e T R U n A f m 8 b N / D h 2 7 F B / 4 v 4 l 2 Y Y n J 8 4 R o A v V f m 6 E = < / D a t a M a s h u p > 
</file>

<file path=customXml/itemProps1.xml><?xml version="1.0" encoding="utf-8"?>
<ds:datastoreItem xmlns:ds="http://schemas.openxmlformats.org/officeDocument/2006/customXml" ds:itemID="{812C4595-F2B2-4C3B-BC86-1E62D170F4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India Staff</vt:lpstr>
      <vt:lpstr>All staff</vt:lpstr>
      <vt:lpstr>Sheet2</vt:lpstr>
      <vt:lpstr>Sheet3</vt:lpstr>
      <vt:lpstr>Sheet6</vt:lpstr>
      <vt:lpstr>Sheet5</vt:lpstr>
      <vt:lpstr>Sheet7</vt:lpstr>
      <vt:lpstr>Sheet8</vt:lpstr>
      <vt:lpstr>Sheet9</vt:lpstr>
      <vt:lpstr>Sheet10</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NICKSON MICHAEL S</cp:lastModifiedBy>
  <dcterms:created xsi:type="dcterms:W3CDTF">2021-03-14T20:21:32Z</dcterms:created>
  <dcterms:modified xsi:type="dcterms:W3CDTF">2023-11-15T18:46:36Z</dcterms:modified>
</cp:coreProperties>
</file>