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zad\Belajar\Python\excel-web\"/>
    </mc:Choice>
  </mc:AlternateContent>
  <xr:revisionPtr revIDLastSave="0" documentId="13_ncr:1_{97898056-D566-4922-A7DA-8E2565DCB04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enjualan Kopi 2016-2018" sheetId="1" r:id="rId1"/>
    <sheet name="Unique" sheetId="9" state="hidden" r:id="rId2"/>
  </sheets>
  <definedNames>
    <definedName name="_xlnm._FilterDatabase" localSheetId="0" hidden="1">'Penjualan Kopi 2016-2018'!$A$1:$B$20</definedName>
    <definedName name="NamaDep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8" i="9" l="1"/>
  <c r="L1048" i="9"/>
  <c r="K1048" i="9"/>
  <c r="J1048" i="9"/>
  <c r="I1048" i="9"/>
  <c r="H1048" i="9"/>
  <c r="G1048" i="9"/>
  <c r="F1048" i="9"/>
  <c r="E1048" i="9"/>
  <c r="D1048" i="9"/>
  <c r="C1048" i="9"/>
  <c r="B1048" i="9"/>
  <c r="A1048" i="9"/>
  <c r="M1047" i="9"/>
  <c r="L1047" i="9"/>
  <c r="K1047" i="9"/>
  <c r="J1047" i="9"/>
  <c r="I1047" i="9"/>
  <c r="H1047" i="9"/>
  <c r="G1047" i="9"/>
  <c r="F1047" i="9"/>
  <c r="E1047" i="9"/>
  <c r="D1047" i="9"/>
  <c r="C1047" i="9"/>
  <c r="B1047" i="9"/>
  <c r="A1047" i="9"/>
  <c r="M1046" i="9"/>
  <c r="L1046" i="9"/>
  <c r="K1046" i="9"/>
  <c r="J1046" i="9"/>
  <c r="I1046" i="9"/>
  <c r="H1046" i="9"/>
  <c r="G1046" i="9"/>
  <c r="F1046" i="9"/>
  <c r="E1046" i="9"/>
  <c r="D1046" i="9"/>
  <c r="C1046" i="9"/>
  <c r="B1046" i="9"/>
  <c r="A1046" i="9"/>
  <c r="M1045" i="9"/>
  <c r="L1045" i="9"/>
  <c r="K1045" i="9"/>
  <c r="J1045" i="9"/>
  <c r="I1045" i="9"/>
  <c r="H1045" i="9"/>
  <c r="G1045" i="9"/>
  <c r="F1045" i="9"/>
  <c r="E1045" i="9"/>
  <c r="D1045" i="9"/>
  <c r="C1045" i="9"/>
  <c r="B1045" i="9"/>
  <c r="A1045" i="9"/>
  <c r="M1044" i="9"/>
  <c r="L1044" i="9"/>
  <c r="K1044" i="9"/>
  <c r="J1044" i="9"/>
  <c r="I1044" i="9"/>
  <c r="H1044" i="9"/>
  <c r="G1044" i="9"/>
  <c r="F1044" i="9"/>
  <c r="E1044" i="9"/>
  <c r="D1044" i="9"/>
  <c r="C1044" i="9"/>
  <c r="B1044" i="9"/>
  <c r="A1044" i="9"/>
  <c r="M1043" i="9"/>
  <c r="L1043" i="9"/>
  <c r="K1043" i="9"/>
  <c r="J1043" i="9"/>
  <c r="I1043" i="9"/>
  <c r="H1043" i="9"/>
  <c r="G1043" i="9"/>
  <c r="F1043" i="9"/>
  <c r="E1043" i="9"/>
  <c r="D1043" i="9"/>
  <c r="C1043" i="9"/>
  <c r="B1043" i="9"/>
  <c r="A1043" i="9"/>
  <c r="M1042" i="9"/>
  <c r="L1042" i="9"/>
  <c r="K1042" i="9"/>
  <c r="J1042" i="9"/>
  <c r="I1042" i="9"/>
  <c r="H1042" i="9"/>
  <c r="G1042" i="9"/>
  <c r="F1042" i="9"/>
  <c r="E1042" i="9"/>
  <c r="D1042" i="9"/>
  <c r="C1042" i="9"/>
  <c r="B1042" i="9"/>
  <c r="A1042" i="9"/>
  <c r="M1041" i="9"/>
  <c r="L1041" i="9"/>
  <c r="K1041" i="9"/>
  <c r="J1041" i="9"/>
  <c r="I1041" i="9"/>
  <c r="H1041" i="9"/>
  <c r="G1041" i="9"/>
  <c r="F1041" i="9"/>
  <c r="E1041" i="9"/>
  <c r="D1041" i="9"/>
  <c r="C1041" i="9"/>
  <c r="B1041" i="9"/>
  <c r="A1041" i="9"/>
  <c r="M1040" i="9"/>
  <c r="L1040" i="9"/>
  <c r="K1040" i="9"/>
  <c r="J1040" i="9"/>
  <c r="I1040" i="9"/>
  <c r="H1040" i="9"/>
  <c r="G1040" i="9"/>
  <c r="F1040" i="9"/>
  <c r="E1040" i="9"/>
  <c r="D1040" i="9"/>
  <c r="C1040" i="9"/>
  <c r="B1040" i="9"/>
  <c r="A1040" i="9"/>
  <c r="M1039" i="9"/>
  <c r="L1039" i="9"/>
  <c r="K1039" i="9"/>
  <c r="J1039" i="9"/>
  <c r="I1039" i="9"/>
  <c r="H1039" i="9"/>
  <c r="G1039" i="9"/>
  <c r="F1039" i="9"/>
  <c r="E1039" i="9"/>
  <c r="D1039" i="9"/>
  <c r="C1039" i="9"/>
  <c r="B1039" i="9"/>
  <c r="A1039" i="9"/>
  <c r="M1038" i="9"/>
  <c r="L1038" i="9"/>
  <c r="K1038" i="9"/>
  <c r="J1038" i="9"/>
  <c r="I1038" i="9"/>
  <c r="H1038" i="9"/>
  <c r="G1038" i="9"/>
  <c r="F1038" i="9"/>
  <c r="E1038" i="9"/>
  <c r="D1038" i="9"/>
  <c r="C1038" i="9"/>
  <c r="B1038" i="9"/>
  <c r="A1038" i="9"/>
  <c r="M1037" i="9"/>
  <c r="L1037" i="9"/>
  <c r="K1037" i="9"/>
  <c r="J1037" i="9"/>
  <c r="I1037" i="9"/>
  <c r="H1037" i="9"/>
  <c r="G1037" i="9"/>
  <c r="F1037" i="9"/>
  <c r="E1037" i="9"/>
  <c r="D1037" i="9"/>
  <c r="C1037" i="9"/>
  <c r="B1037" i="9"/>
  <c r="A1037" i="9"/>
  <c r="M1036" i="9"/>
  <c r="L1036" i="9"/>
  <c r="K1036" i="9"/>
  <c r="J1036" i="9"/>
  <c r="I1036" i="9"/>
  <c r="H1036" i="9"/>
  <c r="G1036" i="9"/>
  <c r="F1036" i="9"/>
  <c r="E1036" i="9"/>
  <c r="D1036" i="9"/>
  <c r="C1036" i="9"/>
  <c r="B1036" i="9"/>
  <c r="A1036" i="9"/>
  <c r="M1035" i="9"/>
  <c r="L1035" i="9"/>
  <c r="K1035" i="9"/>
  <c r="J1035" i="9"/>
  <c r="I1035" i="9"/>
  <c r="H1035" i="9"/>
  <c r="G1035" i="9"/>
  <c r="F1035" i="9"/>
  <c r="E1035" i="9"/>
  <c r="D1035" i="9"/>
  <c r="C1035" i="9"/>
  <c r="B1035" i="9"/>
  <c r="A1035" i="9"/>
  <c r="M1034" i="9"/>
  <c r="L1034" i="9"/>
  <c r="K1034" i="9"/>
  <c r="J1034" i="9"/>
  <c r="I1034" i="9"/>
  <c r="H1034" i="9"/>
  <c r="G1034" i="9"/>
  <c r="F1034" i="9"/>
  <c r="E1034" i="9"/>
  <c r="D1034" i="9"/>
  <c r="C1034" i="9"/>
  <c r="B1034" i="9"/>
  <c r="A1034" i="9"/>
  <c r="M1033" i="9"/>
  <c r="L1033" i="9"/>
  <c r="K1033" i="9"/>
  <c r="J1033" i="9"/>
  <c r="I1033" i="9"/>
  <c r="H1033" i="9"/>
  <c r="G1033" i="9"/>
  <c r="F1033" i="9"/>
  <c r="E1033" i="9"/>
  <c r="D1033" i="9"/>
  <c r="C1033" i="9"/>
  <c r="B1033" i="9"/>
  <c r="A1033" i="9"/>
  <c r="M1032" i="9"/>
  <c r="L1032" i="9"/>
  <c r="K1032" i="9"/>
  <c r="J1032" i="9"/>
  <c r="I1032" i="9"/>
  <c r="H1032" i="9"/>
  <c r="G1032" i="9"/>
  <c r="F1032" i="9"/>
  <c r="E1032" i="9"/>
  <c r="D1032" i="9"/>
  <c r="C1032" i="9"/>
  <c r="B1032" i="9"/>
  <c r="A1032" i="9"/>
  <c r="M1031" i="9"/>
  <c r="L1031" i="9"/>
  <c r="K1031" i="9"/>
  <c r="J1031" i="9"/>
  <c r="I1031" i="9"/>
  <c r="H1031" i="9"/>
  <c r="G1031" i="9"/>
  <c r="F1031" i="9"/>
  <c r="E1031" i="9"/>
  <c r="D1031" i="9"/>
  <c r="C1031" i="9"/>
  <c r="B1031" i="9"/>
  <c r="A1031" i="9"/>
  <c r="M1030" i="9"/>
  <c r="L1030" i="9"/>
  <c r="K1030" i="9"/>
  <c r="J1030" i="9"/>
  <c r="I1030" i="9"/>
  <c r="H1030" i="9"/>
  <c r="G1030" i="9"/>
  <c r="F1030" i="9"/>
  <c r="E1030" i="9"/>
  <c r="D1030" i="9"/>
  <c r="C1030" i="9"/>
  <c r="B1030" i="9"/>
  <c r="A1030" i="9"/>
  <c r="M1029" i="9"/>
  <c r="L1029" i="9"/>
  <c r="K1029" i="9"/>
  <c r="J1029" i="9"/>
  <c r="I1029" i="9"/>
  <c r="H1029" i="9"/>
  <c r="G1029" i="9"/>
  <c r="F1029" i="9"/>
  <c r="E1029" i="9"/>
  <c r="D1029" i="9"/>
  <c r="C1029" i="9"/>
  <c r="B1029" i="9"/>
  <c r="A1029" i="9"/>
  <c r="M1028" i="9"/>
  <c r="L1028" i="9"/>
  <c r="K1028" i="9"/>
  <c r="J1028" i="9"/>
  <c r="I1028" i="9"/>
  <c r="H1028" i="9"/>
  <c r="G1028" i="9"/>
  <c r="F1028" i="9"/>
  <c r="E1028" i="9"/>
  <c r="D1028" i="9"/>
  <c r="C1028" i="9"/>
  <c r="B1028" i="9"/>
  <c r="A1028" i="9"/>
  <c r="M1027" i="9"/>
  <c r="L1027" i="9"/>
  <c r="K1027" i="9"/>
  <c r="J1027" i="9"/>
  <c r="I1027" i="9"/>
  <c r="H1027" i="9"/>
  <c r="G1027" i="9"/>
  <c r="F1027" i="9"/>
  <c r="E1027" i="9"/>
  <c r="D1027" i="9"/>
  <c r="C1027" i="9"/>
  <c r="B1027" i="9"/>
  <c r="A1027" i="9"/>
  <c r="M1026" i="9"/>
  <c r="L1026" i="9"/>
  <c r="K1026" i="9"/>
  <c r="J1026" i="9"/>
  <c r="I1026" i="9"/>
  <c r="H1026" i="9"/>
  <c r="G1026" i="9"/>
  <c r="F1026" i="9"/>
  <c r="E1026" i="9"/>
  <c r="D1026" i="9"/>
  <c r="C1026" i="9"/>
  <c r="B1026" i="9"/>
  <c r="A1026" i="9"/>
  <c r="M1025" i="9"/>
  <c r="L1025" i="9"/>
  <c r="K1025" i="9"/>
  <c r="J1025" i="9"/>
  <c r="I1025" i="9"/>
  <c r="H1025" i="9"/>
  <c r="G1025" i="9"/>
  <c r="F1025" i="9"/>
  <c r="E1025" i="9"/>
  <c r="D1025" i="9"/>
  <c r="C1025" i="9"/>
  <c r="B1025" i="9"/>
  <c r="A1025" i="9"/>
  <c r="M1024" i="9"/>
  <c r="L1024" i="9"/>
  <c r="K1024" i="9"/>
  <c r="J1024" i="9"/>
  <c r="I1024" i="9"/>
  <c r="H1024" i="9"/>
  <c r="G1024" i="9"/>
  <c r="F1024" i="9"/>
  <c r="E1024" i="9"/>
  <c r="D1024" i="9"/>
  <c r="C1024" i="9"/>
  <c r="B1024" i="9"/>
  <c r="A1024" i="9"/>
  <c r="M1023" i="9"/>
  <c r="L1023" i="9"/>
  <c r="K1023" i="9"/>
  <c r="J1023" i="9"/>
  <c r="I1023" i="9"/>
  <c r="H1023" i="9"/>
  <c r="G1023" i="9"/>
  <c r="F1023" i="9"/>
  <c r="E1023" i="9"/>
  <c r="D1023" i="9"/>
  <c r="C1023" i="9"/>
  <c r="B1023" i="9"/>
  <c r="A1023" i="9"/>
  <c r="M1022" i="9"/>
  <c r="L1022" i="9"/>
  <c r="K1022" i="9"/>
  <c r="J1022" i="9"/>
  <c r="I1022" i="9"/>
  <c r="H1022" i="9"/>
  <c r="G1022" i="9"/>
  <c r="F1022" i="9"/>
  <c r="E1022" i="9"/>
  <c r="D1022" i="9"/>
  <c r="C1022" i="9"/>
  <c r="B1022" i="9"/>
  <c r="A1022" i="9"/>
  <c r="M1021" i="9"/>
  <c r="L1021" i="9"/>
  <c r="K1021" i="9"/>
  <c r="J1021" i="9"/>
  <c r="I1021" i="9"/>
  <c r="H1021" i="9"/>
  <c r="G1021" i="9"/>
  <c r="F1021" i="9"/>
  <c r="E1021" i="9"/>
  <c r="D1021" i="9"/>
  <c r="C1021" i="9"/>
  <c r="B1021" i="9"/>
  <c r="A1021" i="9"/>
  <c r="M1020" i="9"/>
  <c r="L1020" i="9"/>
  <c r="K1020" i="9"/>
  <c r="J1020" i="9"/>
  <c r="I1020" i="9"/>
  <c r="H1020" i="9"/>
  <c r="G1020" i="9"/>
  <c r="F1020" i="9"/>
  <c r="E1020" i="9"/>
  <c r="D1020" i="9"/>
  <c r="C1020" i="9"/>
  <c r="B1020" i="9"/>
  <c r="A1020" i="9"/>
  <c r="M1019" i="9"/>
  <c r="L1019" i="9"/>
  <c r="K1019" i="9"/>
  <c r="J1019" i="9"/>
  <c r="I1019" i="9"/>
  <c r="H1019" i="9"/>
  <c r="G1019" i="9"/>
  <c r="F1019" i="9"/>
  <c r="E1019" i="9"/>
  <c r="D1019" i="9"/>
  <c r="C1019" i="9"/>
  <c r="B1019" i="9"/>
  <c r="A1019" i="9"/>
  <c r="M1018" i="9"/>
  <c r="L1018" i="9"/>
  <c r="K1018" i="9"/>
  <c r="J1018" i="9"/>
  <c r="I1018" i="9"/>
  <c r="H1018" i="9"/>
  <c r="G1018" i="9"/>
  <c r="F1018" i="9"/>
  <c r="E1018" i="9"/>
  <c r="D1018" i="9"/>
  <c r="C1018" i="9"/>
  <c r="B1018" i="9"/>
  <c r="A1018" i="9"/>
  <c r="M1017" i="9"/>
  <c r="L1017" i="9"/>
  <c r="K1017" i="9"/>
  <c r="J1017" i="9"/>
  <c r="I1017" i="9"/>
  <c r="H1017" i="9"/>
  <c r="G1017" i="9"/>
  <c r="F1017" i="9"/>
  <c r="E1017" i="9"/>
  <c r="D1017" i="9"/>
  <c r="C1017" i="9"/>
  <c r="B1017" i="9"/>
  <c r="A1017" i="9"/>
  <c r="M1016" i="9"/>
  <c r="L1016" i="9"/>
  <c r="K1016" i="9"/>
  <c r="J1016" i="9"/>
  <c r="I1016" i="9"/>
  <c r="H1016" i="9"/>
  <c r="G1016" i="9"/>
  <c r="F1016" i="9"/>
  <c r="E1016" i="9"/>
  <c r="D1016" i="9"/>
  <c r="C1016" i="9"/>
  <c r="B1016" i="9"/>
  <c r="A1016" i="9"/>
  <c r="M1015" i="9"/>
  <c r="L1015" i="9"/>
  <c r="K1015" i="9"/>
  <c r="J1015" i="9"/>
  <c r="I1015" i="9"/>
  <c r="H1015" i="9"/>
  <c r="G1015" i="9"/>
  <c r="F1015" i="9"/>
  <c r="E1015" i="9"/>
  <c r="D1015" i="9"/>
  <c r="C1015" i="9"/>
  <c r="B1015" i="9"/>
  <c r="A1015" i="9"/>
  <c r="M1014" i="9"/>
  <c r="L1014" i="9"/>
  <c r="K1014" i="9"/>
  <c r="J1014" i="9"/>
  <c r="I1014" i="9"/>
  <c r="H1014" i="9"/>
  <c r="G1014" i="9"/>
  <c r="F1014" i="9"/>
  <c r="E1014" i="9"/>
  <c r="D1014" i="9"/>
  <c r="C1014" i="9"/>
  <c r="B1014" i="9"/>
  <c r="A1014" i="9"/>
  <c r="M1013" i="9"/>
  <c r="L1013" i="9"/>
  <c r="K1013" i="9"/>
  <c r="J1013" i="9"/>
  <c r="I1013" i="9"/>
  <c r="H1013" i="9"/>
  <c r="G1013" i="9"/>
  <c r="F1013" i="9"/>
  <c r="E1013" i="9"/>
  <c r="D1013" i="9"/>
  <c r="C1013" i="9"/>
  <c r="B1013" i="9"/>
  <c r="A1013" i="9"/>
  <c r="M1012" i="9"/>
  <c r="L1012" i="9"/>
  <c r="K1012" i="9"/>
  <c r="J1012" i="9"/>
  <c r="I1012" i="9"/>
  <c r="H1012" i="9"/>
  <c r="G1012" i="9"/>
  <c r="F1012" i="9"/>
  <c r="E1012" i="9"/>
  <c r="D1012" i="9"/>
  <c r="C1012" i="9"/>
  <c r="B1012" i="9"/>
  <c r="A1012" i="9"/>
  <c r="M1011" i="9"/>
  <c r="L1011" i="9"/>
  <c r="K1011" i="9"/>
  <c r="J1011" i="9"/>
  <c r="I1011" i="9"/>
  <c r="H1011" i="9"/>
  <c r="G1011" i="9"/>
  <c r="F1011" i="9"/>
  <c r="E1011" i="9"/>
  <c r="D1011" i="9"/>
  <c r="C1011" i="9"/>
  <c r="B1011" i="9"/>
  <c r="A1011" i="9"/>
  <c r="M1010" i="9"/>
  <c r="L1010" i="9"/>
  <c r="K1010" i="9"/>
  <c r="J1010" i="9"/>
  <c r="I1010" i="9"/>
  <c r="H1010" i="9"/>
  <c r="G1010" i="9"/>
  <c r="F1010" i="9"/>
  <c r="E1010" i="9"/>
  <c r="D1010" i="9"/>
  <c r="C1010" i="9"/>
  <c r="B1010" i="9"/>
  <c r="A1010" i="9"/>
  <c r="M1009" i="9"/>
  <c r="L1009" i="9"/>
  <c r="K1009" i="9"/>
  <c r="J1009" i="9"/>
  <c r="I1009" i="9"/>
  <c r="H1009" i="9"/>
  <c r="G1009" i="9"/>
  <c r="F1009" i="9"/>
  <c r="E1009" i="9"/>
  <c r="D1009" i="9"/>
  <c r="C1009" i="9"/>
  <c r="B1009" i="9"/>
  <c r="A1009" i="9"/>
  <c r="M1008" i="9"/>
  <c r="L1008" i="9"/>
  <c r="K1008" i="9"/>
  <c r="J1008" i="9"/>
  <c r="I1008" i="9"/>
  <c r="H1008" i="9"/>
  <c r="G1008" i="9"/>
  <c r="F1008" i="9"/>
  <c r="E1008" i="9"/>
  <c r="D1008" i="9"/>
  <c r="C1008" i="9"/>
  <c r="B1008" i="9"/>
  <c r="A1008" i="9"/>
  <c r="M1007" i="9"/>
  <c r="L1007" i="9"/>
  <c r="K1007" i="9"/>
  <c r="J1007" i="9"/>
  <c r="I1007" i="9"/>
  <c r="H1007" i="9"/>
  <c r="G1007" i="9"/>
  <c r="F1007" i="9"/>
  <c r="E1007" i="9"/>
  <c r="D1007" i="9"/>
  <c r="C1007" i="9"/>
  <c r="B1007" i="9"/>
  <c r="A1007" i="9"/>
  <c r="M1006" i="9"/>
  <c r="L1006" i="9"/>
  <c r="K1006" i="9"/>
  <c r="J1006" i="9"/>
  <c r="I1006" i="9"/>
  <c r="H1006" i="9"/>
  <c r="G1006" i="9"/>
  <c r="F1006" i="9"/>
  <c r="E1006" i="9"/>
  <c r="D1006" i="9"/>
  <c r="C1006" i="9"/>
  <c r="B1006" i="9"/>
  <c r="A1006" i="9"/>
  <c r="M1005" i="9"/>
  <c r="L1005" i="9"/>
  <c r="K1005" i="9"/>
  <c r="J1005" i="9"/>
  <c r="I1005" i="9"/>
  <c r="H1005" i="9"/>
  <c r="G1005" i="9"/>
  <c r="F1005" i="9"/>
  <c r="E1005" i="9"/>
  <c r="D1005" i="9"/>
  <c r="C1005" i="9"/>
  <c r="B1005" i="9"/>
  <c r="A1005" i="9"/>
  <c r="M1004" i="9"/>
  <c r="L1004" i="9"/>
  <c r="K1004" i="9"/>
  <c r="J1004" i="9"/>
  <c r="I1004" i="9"/>
  <c r="H1004" i="9"/>
  <c r="G1004" i="9"/>
  <c r="F1004" i="9"/>
  <c r="E1004" i="9"/>
  <c r="D1004" i="9"/>
  <c r="C1004" i="9"/>
  <c r="B1004" i="9"/>
  <c r="A1004" i="9"/>
  <c r="M1003" i="9"/>
  <c r="L1003" i="9"/>
  <c r="K1003" i="9"/>
  <c r="J1003" i="9"/>
  <c r="I1003" i="9"/>
  <c r="H1003" i="9"/>
  <c r="G1003" i="9"/>
  <c r="F1003" i="9"/>
  <c r="E1003" i="9"/>
  <c r="D1003" i="9"/>
  <c r="C1003" i="9"/>
  <c r="B1003" i="9"/>
  <c r="A1003" i="9"/>
  <c r="M1002" i="9"/>
  <c r="L1002" i="9"/>
  <c r="K1002" i="9"/>
  <c r="J1002" i="9"/>
  <c r="I1002" i="9"/>
  <c r="H1002" i="9"/>
  <c r="G1002" i="9"/>
  <c r="F1002" i="9"/>
  <c r="E1002" i="9"/>
  <c r="D1002" i="9"/>
  <c r="C1002" i="9"/>
  <c r="B1002" i="9"/>
  <c r="A1002" i="9"/>
  <c r="M1001" i="9"/>
  <c r="L1001" i="9"/>
  <c r="K1001" i="9"/>
  <c r="J1001" i="9"/>
  <c r="I1001" i="9"/>
  <c r="H1001" i="9"/>
  <c r="G1001" i="9"/>
  <c r="F1001" i="9"/>
  <c r="E1001" i="9"/>
  <c r="D1001" i="9"/>
  <c r="C1001" i="9"/>
  <c r="B1001" i="9"/>
  <c r="A1001" i="9"/>
  <c r="M1000" i="9"/>
  <c r="L1000" i="9"/>
  <c r="K1000" i="9"/>
  <c r="J1000" i="9"/>
  <c r="I1000" i="9"/>
  <c r="H1000" i="9"/>
  <c r="G1000" i="9"/>
  <c r="F1000" i="9"/>
  <c r="E1000" i="9"/>
  <c r="D1000" i="9"/>
  <c r="C1000" i="9"/>
  <c r="B1000" i="9"/>
  <c r="A1000" i="9"/>
  <c r="M999" i="9"/>
  <c r="L999" i="9"/>
  <c r="K999" i="9"/>
  <c r="J999" i="9"/>
  <c r="I999" i="9"/>
  <c r="H999" i="9"/>
  <c r="G999" i="9"/>
  <c r="F999" i="9"/>
  <c r="E999" i="9"/>
  <c r="D999" i="9"/>
  <c r="C999" i="9"/>
  <c r="B999" i="9"/>
  <c r="A999" i="9"/>
  <c r="M998" i="9"/>
  <c r="L998" i="9"/>
  <c r="K998" i="9"/>
  <c r="J998" i="9"/>
  <c r="I998" i="9"/>
  <c r="H998" i="9"/>
  <c r="G998" i="9"/>
  <c r="F998" i="9"/>
  <c r="E998" i="9"/>
  <c r="D998" i="9"/>
  <c r="C998" i="9"/>
  <c r="B998" i="9"/>
  <c r="A998" i="9"/>
  <c r="M997" i="9"/>
  <c r="L997" i="9"/>
  <c r="K997" i="9"/>
  <c r="J997" i="9"/>
  <c r="I997" i="9"/>
  <c r="H997" i="9"/>
  <c r="G997" i="9"/>
  <c r="F997" i="9"/>
  <c r="E997" i="9"/>
  <c r="D997" i="9"/>
  <c r="C997" i="9"/>
  <c r="B997" i="9"/>
  <c r="A997" i="9"/>
  <c r="M996" i="9"/>
  <c r="L996" i="9"/>
  <c r="K996" i="9"/>
  <c r="J996" i="9"/>
  <c r="I996" i="9"/>
  <c r="H996" i="9"/>
  <c r="G996" i="9"/>
  <c r="F996" i="9"/>
  <c r="E996" i="9"/>
  <c r="D996" i="9"/>
  <c r="C996" i="9"/>
  <c r="B996" i="9"/>
  <c r="A996" i="9"/>
  <c r="M995" i="9"/>
  <c r="L995" i="9"/>
  <c r="K995" i="9"/>
  <c r="J995" i="9"/>
  <c r="I995" i="9"/>
  <c r="H995" i="9"/>
  <c r="G995" i="9"/>
  <c r="F995" i="9"/>
  <c r="E995" i="9"/>
  <c r="D995" i="9"/>
  <c r="C995" i="9"/>
  <c r="B995" i="9"/>
  <c r="A995" i="9"/>
  <c r="M994" i="9"/>
  <c r="L994" i="9"/>
  <c r="K994" i="9"/>
  <c r="J994" i="9"/>
  <c r="I994" i="9"/>
  <c r="H994" i="9"/>
  <c r="G994" i="9"/>
  <c r="F994" i="9"/>
  <c r="E994" i="9"/>
  <c r="D994" i="9"/>
  <c r="C994" i="9"/>
  <c r="B994" i="9"/>
  <c r="A994" i="9"/>
  <c r="M993" i="9"/>
  <c r="L993" i="9"/>
  <c r="K993" i="9"/>
  <c r="J993" i="9"/>
  <c r="I993" i="9"/>
  <c r="H993" i="9"/>
  <c r="G993" i="9"/>
  <c r="F993" i="9"/>
  <c r="E993" i="9"/>
  <c r="D993" i="9"/>
  <c r="C993" i="9"/>
  <c r="B993" i="9"/>
  <c r="A993" i="9"/>
  <c r="M992" i="9"/>
  <c r="L992" i="9"/>
  <c r="K992" i="9"/>
  <c r="J992" i="9"/>
  <c r="I992" i="9"/>
  <c r="H992" i="9"/>
  <c r="G992" i="9"/>
  <c r="F992" i="9"/>
  <c r="E992" i="9"/>
  <c r="D992" i="9"/>
  <c r="C992" i="9"/>
  <c r="B992" i="9"/>
  <c r="A992" i="9"/>
  <c r="M991" i="9"/>
  <c r="L991" i="9"/>
  <c r="K991" i="9"/>
  <c r="J991" i="9"/>
  <c r="I991" i="9"/>
  <c r="H991" i="9"/>
  <c r="G991" i="9"/>
  <c r="F991" i="9"/>
  <c r="E991" i="9"/>
  <c r="D991" i="9"/>
  <c r="C991" i="9"/>
  <c r="B991" i="9"/>
  <c r="A991" i="9"/>
  <c r="M990" i="9"/>
  <c r="L990" i="9"/>
  <c r="K990" i="9"/>
  <c r="J990" i="9"/>
  <c r="I990" i="9"/>
  <c r="H990" i="9"/>
  <c r="G990" i="9"/>
  <c r="F990" i="9"/>
  <c r="E990" i="9"/>
  <c r="D990" i="9"/>
  <c r="C990" i="9"/>
  <c r="B990" i="9"/>
  <c r="A990" i="9"/>
  <c r="M989" i="9"/>
  <c r="L989" i="9"/>
  <c r="K989" i="9"/>
  <c r="J989" i="9"/>
  <c r="I989" i="9"/>
  <c r="H989" i="9"/>
  <c r="G989" i="9"/>
  <c r="F989" i="9"/>
  <c r="E989" i="9"/>
  <c r="D989" i="9"/>
  <c r="C989" i="9"/>
  <c r="B989" i="9"/>
  <c r="A989" i="9"/>
  <c r="M988" i="9"/>
  <c r="L988" i="9"/>
  <c r="K988" i="9"/>
  <c r="J988" i="9"/>
  <c r="I988" i="9"/>
  <c r="H988" i="9"/>
  <c r="G988" i="9"/>
  <c r="F988" i="9"/>
  <c r="E988" i="9"/>
  <c r="D988" i="9"/>
  <c r="C988" i="9"/>
  <c r="B988" i="9"/>
  <c r="A988" i="9"/>
  <c r="M987" i="9"/>
  <c r="L987" i="9"/>
  <c r="K987" i="9"/>
  <c r="J987" i="9"/>
  <c r="I987" i="9"/>
  <c r="H987" i="9"/>
  <c r="G987" i="9"/>
  <c r="F987" i="9"/>
  <c r="E987" i="9"/>
  <c r="D987" i="9"/>
  <c r="C987" i="9"/>
  <c r="B987" i="9"/>
  <c r="A987" i="9"/>
  <c r="M986" i="9"/>
  <c r="L986" i="9"/>
  <c r="K986" i="9"/>
  <c r="J986" i="9"/>
  <c r="I986" i="9"/>
  <c r="H986" i="9"/>
  <c r="G986" i="9"/>
  <c r="F986" i="9"/>
  <c r="E986" i="9"/>
  <c r="D986" i="9"/>
  <c r="C986" i="9"/>
  <c r="B986" i="9"/>
  <c r="A986" i="9"/>
  <c r="M985" i="9"/>
  <c r="L985" i="9"/>
  <c r="K985" i="9"/>
  <c r="J985" i="9"/>
  <c r="I985" i="9"/>
  <c r="H985" i="9"/>
  <c r="G985" i="9"/>
  <c r="F985" i="9"/>
  <c r="E985" i="9"/>
  <c r="D985" i="9"/>
  <c r="C985" i="9"/>
  <c r="B985" i="9"/>
  <c r="A985" i="9"/>
  <c r="M984" i="9"/>
  <c r="L984" i="9"/>
  <c r="K984" i="9"/>
  <c r="J984" i="9"/>
  <c r="I984" i="9"/>
  <c r="H984" i="9"/>
  <c r="G984" i="9"/>
  <c r="F984" i="9"/>
  <c r="E984" i="9"/>
  <c r="D984" i="9"/>
  <c r="C984" i="9"/>
  <c r="B984" i="9"/>
  <c r="A984" i="9"/>
  <c r="M983" i="9"/>
  <c r="L983" i="9"/>
  <c r="K983" i="9"/>
  <c r="J983" i="9"/>
  <c r="I983" i="9"/>
  <c r="H983" i="9"/>
  <c r="G983" i="9"/>
  <c r="F983" i="9"/>
  <c r="E983" i="9"/>
  <c r="D983" i="9"/>
  <c r="C983" i="9"/>
  <c r="B983" i="9"/>
  <c r="A983" i="9"/>
  <c r="M982" i="9"/>
  <c r="L982" i="9"/>
  <c r="K982" i="9"/>
  <c r="J982" i="9"/>
  <c r="I982" i="9"/>
  <c r="H982" i="9"/>
  <c r="G982" i="9"/>
  <c r="F982" i="9"/>
  <c r="E982" i="9"/>
  <c r="D982" i="9"/>
  <c r="C982" i="9"/>
  <c r="B982" i="9"/>
  <c r="A982" i="9"/>
  <c r="M981" i="9"/>
  <c r="L981" i="9"/>
  <c r="K981" i="9"/>
  <c r="J981" i="9"/>
  <c r="I981" i="9"/>
  <c r="H981" i="9"/>
  <c r="G981" i="9"/>
  <c r="F981" i="9"/>
  <c r="E981" i="9"/>
  <c r="D981" i="9"/>
  <c r="C981" i="9"/>
  <c r="B981" i="9"/>
  <c r="A981" i="9"/>
  <c r="M980" i="9"/>
  <c r="L980" i="9"/>
  <c r="K980" i="9"/>
  <c r="J980" i="9"/>
  <c r="I980" i="9"/>
  <c r="H980" i="9"/>
  <c r="G980" i="9"/>
  <c r="F980" i="9"/>
  <c r="E980" i="9"/>
  <c r="D980" i="9"/>
  <c r="C980" i="9"/>
  <c r="B980" i="9"/>
  <c r="A980" i="9"/>
  <c r="M979" i="9"/>
  <c r="L979" i="9"/>
  <c r="K979" i="9"/>
  <c r="J979" i="9"/>
  <c r="I979" i="9"/>
  <c r="H979" i="9"/>
  <c r="G979" i="9"/>
  <c r="F979" i="9"/>
  <c r="E979" i="9"/>
  <c r="D979" i="9"/>
  <c r="C979" i="9"/>
  <c r="B979" i="9"/>
  <c r="A979" i="9"/>
  <c r="M978" i="9"/>
  <c r="L978" i="9"/>
  <c r="K978" i="9"/>
  <c r="J978" i="9"/>
  <c r="I978" i="9"/>
  <c r="H978" i="9"/>
  <c r="G978" i="9"/>
  <c r="F978" i="9"/>
  <c r="E978" i="9"/>
  <c r="D978" i="9"/>
  <c r="C978" i="9"/>
  <c r="B978" i="9"/>
  <c r="A978" i="9"/>
  <c r="M977" i="9"/>
  <c r="L977" i="9"/>
  <c r="K977" i="9"/>
  <c r="J977" i="9"/>
  <c r="I977" i="9"/>
  <c r="H977" i="9"/>
  <c r="G977" i="9"/>
  <c r="F977" i="9"/>
  <c r="E977" i="9"/>
  <c r="D977" i="9"/>
  <c r="C977" i="9"/>
  <c r="B977" i="9"/>
  <c r="A977" i="9"/>
  <c r="M976" i="9"/>
  <c r="L976" i="9"/>
  <c r="K976" i="9"/>
  <c r="J976" i="9"/>
  <c r="I976" i="9"/>
  <c r="H976" i="9"/>
  <c r="G976" i="9"/>
  <c r="F976" i="9"/>
  <c r="E976" i="9"/>
  <c r="D976" i="9"/>
  <c r="C976" i="9"/>
  <c r="B976" i="9"/>
  <c r="A976" i="9"/>
  <c r="M975" i="9"/>
  <c r="L975" i="9"/>
  <c r="K975" i="9"/>
  <c r="J975" i="9"/>
  <c r="I975" i="9"/>
  <c r="H975" i="9"/>
  <c r="G975" i="9"/>
  <c r="F975" i="9"/>
  <c r="E975" i="9"/>
  <c r="D975" i="9"/>
  <c r="C975" i="9"/>
  <c r="B975" i="9"/>
  <c r="A975" i="9"/>
  <c r="M974" i="9"/>
  <c r="L974" i="9"/>
  <c r="K974" i="9"/>
  <c r="J974" i="9"/>
  <c r="I974" i="9"/>
  <c r="H974" i="9"/>
  <c r="G974" i="9"/>
  <c r="F974" i="9"/>
  <c r="E974" i="9"/>
  <c r="D974" i="9"/>
  <c r="C974" i="9"/>
  <c r="B974" i="9"/>
  <c r="A974" i="9"/>
  <c r="M973" i="9"/>
  <c r="L973" i="9"/>
  <c r="K973" i="9"/>
  <c r="J973" i="9"/>
  <c r="I973" i="9"/>
  <c r="H973" i="9"/>
  <c r="G973" i="9"/>
  <c r="F973" i="9"/>
  <c r="E973" i="9"/>
  <c r="D973" i="9"/>
  <c r="C973" i="9"/>
  <c r="B973" i="9"/>
  <c r="A973" i="9"/>
  <c r="M972" i="9"/>
  <c r="L972" i="9"/>
  <c r="K972" i="9"/>
  <c r="J972" i="9"/>
  <c r="I972" i="9"/>
  <c r="H972" i="9"/>
  <c r="G972" i="9"/>
  <c r="F972" i="9"/>
  <c r="E972" i="9"/>
  <c r="D972" i="9"/>
  <c r="C972" i="9"/>
  <c r="B972" i="9"/>
  <c r="A972" i="9"/>
  <c r="M971" i="9"/>
  <c r="L971" i="9"/>
  <c r="K971" i="9"/>
  <c r="J971" i="9"/>
  <c r="I971" i="9"/>
  <c r="H971" i="9"/>
  <c r="G971" i="9"/>
  <c r="F971" i="9"/>
  <c r="E971" i="9"/>
  <c r="D971" i="9"/>
  <c r="C971" i="9"/>
  <c r="B971" i="9"/>
  <c r="A971" i="9"/>
  <c r="M970" i="9"/>
  <c r="L970" i="9"/>
  <c r="K970" i="9"/>
  <c r="J970" i="9"/>
  <c r="I970" i="9"/>
  <c r="H970" i="9"/>
  <c r="G970" i="9"/>
  <c r="F970" i="9"/>
  <c r="E970" i="9"/>
  <c r="D970" i="9"/>
  <c r="C970" i="9"/>
  <c r="B970" i="9"/>
  <c r="A970" i="9"/>
  <c r="M969" i="9"/>
  <c r="L969" i="9"/>
  <c r="K969" i="9"/>
  <c r="J969" i="9"/>
  <c r="I969" i="9"/>
  <c r="H969" i="9"/>
  <c r="G969" i="9"/>
  <c r="F969" i="9"/>
  <c r="E969" i="9"/>
  <c r="D969" i="9"/>
  <c r="C969" i="9"/>
  <c r="B969" i="9"/>
  <c r="A969" i="9"/>
  <c r="M968" i="9"/>
  <c r="L968" i="9"/>
  <c r="K968" i="9"/>
  <c r="J968" i="9"/>
  <c r="I968" i="9"/>
  <c r="H968" i="9"/>
  <c r="G968" i="9"/>
  <c r="F968" i="9"/>
  <c r="E968" i="9"/>
  <c r="D968" i="9"/>
  <c r="C968" i="9"/>
  <c r="B968" i="9"/>
  <c r="A968" i="9"/>
  <c r="M967" i="9"/>
  <c r="L967" i="9"/>
  <c r="K967" i="9"/>
  <c r="J967" i="9"/>
  <c r="I967" i="9"/>
  <c r="H967" i="9"/>
  <c r="G967" i="9"/>
  <c r="F967" i="9"/>
  <c r="E967" i="9"/>
  <c r="D967" i="9"/>
  <c r="C967" i="9"/>
  <c r="B967" i="9"/>
  <c r="A967" i="9"/>
  <c r="M966" i="9"/>
  <c r="L966" i="9"/>
  <c r="K966" i="9"/>
  <c r="J966" i="9"/>
  <c r="I966" i="9"/>
  <c r="H966" i="9"/>
  <c r="G966" i="9"/>
  <c r="F966" i="9"/>
  <c r="E966" i="9"/>
  <c r="D966" i="9"/>
  <c r="C966" i="9"/>
  <c r="B966" i="9"/>
  <c r="A966" i="9"/>
  <c r="M965" i="9"/>
  <c r="L965" i="9"/>
  <c r="K965" i="9"/>
  <c r="J965" i="9"/>
  <c r="I965" i="9"/>
  <c r="H965" i="9"/>
  <c r="G965" i="9"/>
  <c r="F965" i="9"/>
  <c r="E965" i="9"/>
  <c r="D965" i="9"/>
  <c r="C965" i="9"/>
  <c r="B965" i="9"/>
  <c r="A965" i="9"/>
  <c r="M964" i="9"/>
  <c r="L964" i="9"/>
  <c r="K964" i="9"/>
  <c r="J964" i="9"/>
  <c r="I964" i="9"/>
  <c r="H964" i="9"/>
  <c r="G964" i="9"/>
  <c r="F964" i="9"/>
  <c r="E964" i="9"/>
  <c r="D964" i="9"/>
  <c r="C964" i="9"/>
  <c r="B964" i="9"/>
  <c r="A964" i="9"/>
  <c r="M963" i="9"/>
  <c r="L963" i="9"/>
  <c r="K963" i="9"/>
  <c r="J963" i="9"/>
  <c r="I963" i="9"/>
  <c r="H963" i="9"/>
  <c r="G963" i="9"/>
  <c r="F963" i="9"/>
  <c r="E963" i="9"/>
  <c r="D963" i="9"/>
  <c r="C963" i="9"/>
  <c r="B963" i="9"/>
  <c r="A963" i="9"/>
  <c r="M962" i="9"/>
  <c r="L962" i="9"/>
  <c r="K962" i="9"/>
  <c r="J962" i="9"/>
  <c r="I962" i="9"/>
  <c r="H962" i="9"/>
  <c r="G962" i="9"/>
  <c r="F962" i="9"/>
  <c r="E962" i="9"/>
  <c r="D962" i="9"/>
  <c r="C962" i="9"/>
  <c r="B962" i="9"/>
  <c r="A962" i="9"/>
  <c r="M961" i="9"/>
  <c r="L961" i="9"/>
  <c r="K961" i="9"/>
  <c r="J961" i="9"/>
  <c r="I961" i="9"/>
  <c r="H961" i="9"/>
  <c r="G961" i="9"/>
  <c r="F961" i="9"/>
  <c r="E961" i="9"/>
  <c r="D961" i="9"/>
  <c r="C961" i="9"/>
  <c r="B961" i="9"/>
  <c r="A961" i="9"/>
  <c r="M960" i="9"/>
  <c r="L960" i="9"/>
  <c r="K960" i="9"/>
  <c r="J960" i="9"/>
  <c r="I960" i="9"/>
  <c r="H960" i="9"/>
  <c r="G960" i="9"/>
  <c r="F960" i="9"/>
  <c r="E960" i="9"/>
  <c r="D960" i="9"/>
  <c r="C960" i="9"/>
  <c r="B960" i="9"/>
  <c r="A960" i="9"/>
  <c r="M959" i="9"/>
  <c r="L959" i="9"/>
  <c r="K959" i="9"/>
  <c r="J959" i="9"/>
  <c r="I959" i="9"/>
  <c r="H959" i="9"/>
  <c r="G959" i="9"/>
  <c r="F959" i="9"/>
  <c r="E959" i="9"/>
  <c r="D959" i="9"/>
  <c r="C959" i="9"/>
  <c r="B959" i="9"/>
  <c r="A959" i="9"/>
  <c r="M958" i="9"/>
  <c r="L958" i="9"/>
  <c r="K958" i="9"/>
  <c r="J958" i="9"/>
  <c r="I958" i="9"/>
  <c r="H958" i="9"/>
  <c r="G958" i="9"/>
  <c r="F958" i="9"/>
  <c r="E958" i="9"/>
  <c r="D958" i="9"/>
  <c r="C958" i="9"/>
  <c r="B958" i="9"/>
  <c r="A958" i="9"/>
  <c r="M957" i="9"/>
  <c r="L957" i="9"/>
  <c r="K957" i="9"/>
  <c r="J957" i="9"/>
  <c r="I957" i="9"/>
  <c r="H957" i="9"/>
  <c r="G957" i="9"/>
  <c r="F957" i="9"/>
  <c r="E957" i="9"/>
  <c r="D957" i="9"/>
  <c r="C957" i="9"/>
  <c r="B957" i="9"/>
  <c r="A957" i="9"/>
  <c r="M956" i="9"/>
  <c r="L956" i="9"/>
  <c r="K956" i="9"/>
  <c r="J956" i="9"/>
  <c r="I956" i="9"/>
  <c r="H956" i="9"/>
  <c r="G956" i="9"/>
  <c r="F956" i="9"/>
  <c r="E956" i="9"/>
  <c r="D956" i="9"/>
  <c r="C956" i="9"/>
  <c r="B956" i="9"/>
  <c r="A956" i="9"/>
  <c r="M955" i="9"/>
  <c r="L955" i="9"/>
  <c r="K955" i="9"/>
  <c r="J955" i="9"/>
  <c r="I955" i="9"/>
  <c r="H955" i="9"/>
  <c r="G955" i="9"/>
  <c r="F955" i="9"/>
  <c r="E955" i="9"/>
  <c r="D955" i="9"/>
  <c r="C955" i="9"/>
  <c r="B955" i="9"/>
  <c r="A955" i="9"/>
  <c r="M954" i="9"/>
  <c r="L954" i="9"/>
  <c r="K954" i="9"/>
  <c r="J954" i="9"/>
  <c r="I954" i="9"/>
  <c r="H954" i="9"/>
  <c r="G954" i="9"/>
  <c r="F954" i="9"/>
  <c r="E954" i="9"/>
  <c r="D954" i="9"/>
  <c r="C954" i="9"/>
  <c r="B954" i="9"/>
  <c r="A954" i="9"/>
  <c r="M953" i="9"/>
  <c r="L953" i="9"/>
  <c r="K953" i="9"/>
  <c r="J953" i="9"/>
  <c r="I953" i="9"/>
  <c r="H953" i="9"/>
  <c r="G953" i="9"/>
  <c r="F953" i="9"/>
  <c r="E953" i="9"/>
  <c r="D953" i="9"/>
  <c r="C953" i="9"/>
  <c r="B953" i="9"/>
  <c r="A953" i="9"/>
  <c r="M952" i="9"/>
  <c r="L952" i="9"/>
  <c r="K952" i="9"/>
  <c r="J952" i="9"/>
  <c r="I952" i="9"/>
  <c r="H952" i="9"/>
  <c r="G952" i="9"/>
  <c r="F952" i="9"/>
  <c r="E952" i="9"/>
  <c r="D952" i="9"/>
  <c r="C952" i="9"/>
  <c r="B952" i="9"/>
  <c r="A952" i="9"/>
  <c r="M951" i="9"/>
  <c r="L951" i="9"/>
  <c r="K951" i="9"/>
  <c r="J951" i="9"/>
  <c r="I951" i="9"/>
  <c r="H951" i="9"/>
  <c r="G951" i="9"/>
  <c r="F951" i="9"/>
  <c r="E951" i="9"/>
  <c r="D951" i="9"/>
  <c r="C951" i="9"/>
  <c r="B951" i="9"/>
  <c r="A951" i="9"/>
  <c r="M950" i="9"/>
  <c r="L950" i="9"/>
  <c r="K950" i="9"/>
  <c r="J950" i="9"/>
  <c r="I950" i="9"/>
  <c r="H950" i="9"/>
  <c r="G950" i="9"/>
  <c r="F950" i="9"/>
  <c r="E950" i="9"/>
  <c r="D950" i="9"/>
  <c r="C950" i="9"/>
  <c r="B950" i="9"/>
  <c r="A950" i="9"/>
  <c r="M949" i="9"/>
  <c r="L949" i="9"/>
  <c r="K949" i="9"/>
  <c r="J949" i="9"/>
  <c r="I949" i="9"/>
  <c r="H949" i="9"/>
  <c r="G949" i="9"/>
  <c r="F949" i="9"/>
  <c r="E949" i="9"/>
  <c r="D949" i="9"/>
  <c r="C949" i="9"/>
  <c r="B949" i="9"/>
  <c r="A949" i="9"/>
  <c r="M948" i="9"/>
  <c r="L948" i="9"/>
  <c r="K948" i="9"/>
  <c r="J948" i="9"/>
  <c r="I948" i="9"/>
  <c r="H948" i="9"/>
  <c r="G948" i="9"/>
  <c r="F948" i="9"/>
  <c r="E948" i="9"/>
  <c r="D948" i="9"/>
  <c r="C948" i="9"/>
  <c r="B948" i="9"/>
  <c r="A948" i="9"/>
  <c r="M947" i="9"/>
  <c r="L947" i="9"/>
  <c r="K947" i="9"/>
  <c r="J947" i="9"/>
  <c r="I947" i="9"/>
  <c r="H947" i="9"/>
  <c r="G947" i="9"/>
  <c r="F947" i="9"/>
  <c r="E947" i="9"/>
  <c r="D947" i="9"/>
  <c r="C947" i="9"/>
  <c r="B947" i="9"/>
  <c r="A947" i="9"/>
  <c r="M946" i="9"/>
  <c r="L946" i="9"/>
  <c r="K946" i="9"/>
  <c r="J946" i="9"/>
  <c r="I946" i="9"/>
  <c r="H946" i="9"/>
  <c r="G946" i="9"/>
  <c r="F946" i="9"/>
  <c r="E946" i="9"/>
  <c r="D946" i="9"/>
  <c r="C946" i="9"/>
  <c r="B946" i="9"/>
  <c r="A946" i="9"/>
  <c r="M945" i="9"/>
  <c r="L945" i="9"/>
  <c r="K945" i="9"/>
  <c r="J945" i="9"/>
  <c r="I945" i="9"/>
  <c r="H945" i="9"/>
  <c r="G945" i="9"/>
  <c r="F945" i="9"/>
  <c r="E945" i="9"/>
  <c r="D945" i="9"/>
  <c r="C945" i="9"/>
  <c r="B945" i="9"/>
  <c r="A945" i="9"/>
  <c r="M944" i="9"/>
  <c r="L944" i="9"/>
  <c r="K944" i="9"/>
  <c r="J944" i="9"/>
  <c r="I944" i="9"/>
  <c r="H944" i="9"/>
  <c r="G944" i="9"/>
  <c r="F944" i="9"/>
  <c r="E944" i="9"/>
  <c r="D944" i="9"/>
  <c r="C944" i="9"/>
  <c r="B944" i="9"/>
  <c r="A944" i="9"/>
  <c r="M943" i="9"/>
  <c r="L943" i="9"/>
  <c r="K943" i="9"/>
  <c r="J943" i="9"/>
  <c r="I943" i="9"/>
  <c r="H943" i="9"/>
  <c r="G943" i="9"/>
  <c r="F943" i="9"/>
  <c r="E943" i="9"/>
  <c r="D943" i="9"/>
  <c r="C943" i="9"/>
  <c r="B943" i="9"/>
  <c r="A943" i="9"/>
  <c r="M942" i="9"/>
  <c r="L942" i="9"/>
  <c r="K942" i="9"/>
  <c r="J942" i="9"/>
  <c r="I942" i="9"/>
  <c r="H942" i="9"/>
  <c r="G942" i="9"/>
  <c r="F942" i="9"/>
  <c r="E942" i="9"/>
  <c r="D942" i="9"/>
  <c r="C942" i="9"/>
  <c r="B942" i="9"/>
  <c r="A942" i="9"/>
  <c r="M941" i="9"/>
  <c r="L941" i="9"/>
  <c r="K941" i="9"/>
  <c r="J941" i="9"/>
  <c r="I941" i="9"/>
  <c r="H941" i="9"/>
  <c r="G941" i="9"/>
  <c r="F941" i="9"/>
  <c r="E941" i="9"/>
  <c r="D941" i="9"/>
  <c r="C941" i="9"/>
  <c r="B941" i="9"/>
  <c r="A941" i="9"/>
  <c r="M940" i="9"/>
  <c r="L940" i="9"/>
  <c r="K940" i="9"/>
  <c r="J940" i="9"/>
  <c r="I940" i="9"/>
  <c r="H940" i="9"/>
  <c r="G940" i="9"/>
  <c r="F940" i="9"/>
  <c r="E940" i="9"/>
  <c r="D940" i="9"/>
  <c r="C940" i="9"/>
  <c r="B940" i="9"/>
  <c r="A940" i="9"/>
  <c r="M939" i="9"/>
  <c r="L939" i="9"/>
  <c r="K939" i="9"/>
  <c r="J939" i="9"/>
  <c r="I939" i="9"/>
  <c r="H939" i="9"/>
  <c r="G939" i="9"/>
  <c r="F939" i="9"/>
  <c r="E939" i="9"/>
  <c r="D939" i="9"/>
  <c r="C939" i="9"/>
  <c r="B939" i="9"/>
  <c r="A939" i="9"/>
  <c r="M938" i="9"/>
  <c r="L938" i="9"/>
  <c r="K938" i="9"/>
  <c r="J938" i="9"/>
  <c r="I938" i="9"/>
  <c r="H938" i="9"/>
  <c r="G938" i="9"/>
  <c r="F938" i="9"/>
  <c r="E938" i="9"/>
  <c r="D938" i="9"/>
  <c r="C938" i="9"/>
  <c r="B938" i="9"/>
  <c r="A938" i="9"/>
  <c r="M937" i="9"/>
  <c r="L937" i="9"/>
  <c r="K937" i="9"/>
  <c r="J937" i="9"/>
  <c r="I937" i="9"/>
  <c r="H937" i="9"/>
  <c r="G937" i="9"/>
  <c r="F937" i="9"/>
  <c r="E937" i="9"/>
  <c r="D937" i="9"/>
  <c r="C937" i="9"/>
  <c r="B937" i="9"/>
  <c r="A937" i="9"/>
  <c r="M936" i="9"/>
  <c r="L936" i="9"/>
  <c r="K936" i="9"/>
  <c r="J936" i="9"/>
  <c r="I936" i="9"/>
  <c r="H936" i="9"/>
  <c r="G936" i="9"/>
  <c r="F936" i="9"/>
  <c r="E936" i="9"/>
  <c r="D936" i="9"/>
  <c r="C936" i="9"/>
  <c r="B936" i="9"/>
  <c r="A936" i="9"/>
  <c r="M935" i="9"/>
  <c r="L935" i="9"/>
  <c r="K935" i="9"/>
  <c r="J935" i="9"/>
  <c r="I935" i="9"/>
  <c r="H935" i="9"/>
  <c r="G935" i="9"/>
  <c r="F935" i="9"/>
  <c r="E935" i="9"/>
  <c r="D935" i="9"/>
  <c r="C935" i="9"/>
  <c r="B935" i="9"/>
  <c r="A935" i="9"/>
  <c r="M934" i="9"/>
  <c r="L934" i="9"/>
  <c r="K934" i="9"/>
  <c r="J934" i="9"/>
  <c r="I934" i="9"/>
  <c r="H934" i="9"/>
  <c r="G934" i="9"/>
  <c r="F934" i="9"/>
  <c r="E934" i="9"/>
  <c r="D934" i="9"/>
  <c r="C934" i="9"/>
  <c r="B934" i="9"/>
  <c r="A934" i="9"/>
  <c r="M933" i="9"/>
  <c r="L933" i="9"/>
  <c r="K933" i="9"/>
  <c r="J933" i="9"/>
  <c r="I933" i="9"/>
  <c r="H933" i="9"/>
  <c r="G933" i="9"/>
  <c r="F933" i="9"/>
  <c r="E933" i="9"/>
  <c r="D933" i="9"/>
  <c r="C933" i="9"/>
  <c r="B933" i="9"/>
  <c r="A933" i="9"/>
  <c r="M932" i="9"/>
  <c r="L932" i="9"/>
  <c r="K932" i="9"/>
  <c r="J932" i="9"/>
  <c r="I932" i="9"/>
  <c r="H932" i="9"/>
  <c r="G932" i="9"/>
  <c r="F932" i="9"/>
  <c r="E932" i="9"/>
  <c r="D932" i="9"/>
  <c r="C932" i="9"/>
  <c r="B932" i="9"/>
  <c r="A932" i="9"/>
  <c r="M931" i="9"/>
  <c r="L931" i="9"/>
  <c r="K931" i="9"/>
  <c r="J931" i="9"/>
  <c r="I931" i="9"/>
  <c r="H931" i="9"/>
  <c r="G931" i="9"/>
  <c r="F931" i="9"/>
  <c r="E931" i="9"/>
  <c r="D931" i="9"/>
  <c r="C931" i="9"/>
  <c r="B931" i="9"/>
  <c r="A931" i="9"/>
  <c r="M930" i="9"/>
  <c r="L930" i="9"/>
  <c r="K930" i="9"/>
  <c r="J930" i="9"/>
  <c r="I930" i="9"/>
  <c r="H930" i="9"/>
  <c r="G930" i="9"/>
  <c r="F930" i="9"/>
  <c r="E930" i="9"/>
  <c r="D930" i="9"/>
  <c r="C930" i="9"/>
  <c r="B930" i="9"/>
  <c r="A930" i="9"/>
  <c r="M929" i="9"/>
  <c r="L929" i="9"/>
  <c r="K929" i="9"/>
  <c r="J929" i="9"/>
  <c r="I929" i="9"/>
  <c r="H929" i="9"/>
  <c r="G929" i="9"/>
  <c r="F929" i="9"/>
  <c r="E929" i="9"/>
  <c r="D929" i="9"/>
  <c r="C929" i="9"/>
  <c r="B929" i="9"/>
  <c r="A929" i="9"/>
  <c r="M928" i="9"/>
  <c r="L928" i="9"/>
  <c r="K928" i="9"/>
  <c r="J928" i="9"/>
  <c r="I928" i="9"/>
  <c r="H928" i="9"/>
  <c r="G928" i="9"/>
  <c r="F928" i="9"/>
  <c r="E928" i="9"/>
  <c r="D928" i="9"/>
  <c r="C928" i="9"/>
  <c r="B928" i="9"/>
  <c r="A928" i="9"/>
  <c r="M927" i="9"/>
  <c r="L927" i="9"/>
  <c r="K927" i="9"/>
  <c r="J927" i="9"/>
  <c r="I927" i="9"/>
  <c r="H927" i="9"/>
  <c r="G927" i="9"/>
  <c r="F927" i="9"/>
  <c r="E927" i="9"/>
  <c r="D927" i="9"/>
  <c r="C927" i="9"/>
  <c r="B927" i="9"/>
  <c r="A927" i="9"/>
  <c r="M926" i="9"/>
  <c r="L926" i="9"/>
  <c r="K926" i="9"/>
  <c r="J926" i="9"/>
  <c r="I926" i="9"/>
  <c r="H926" i="9"/>
  <c r="G926" i="9"/>
  <c r="F926" i="9"/>
  <c r="E926" i="9"/>
  <c r="D926" i="9"/>
  <c r="C926" i="9"/>
  <c r="B926" i="9"/>
  <c r="A926" i="9"/>
  <c r="M925" i="9"/>
  <c r="L925" i="9"/>
  <c r="K925" i="9"/>
  <c r="J925" i="9"/>
  <c r="I925" i="9"/>
  <c r="H925" i="9"/>
  <c r="G925" i="9"/>
  <c r="F925" i="9"/>
  <c r="E925" i="9"/>
  <c r="D925" i="9"/>
  <c r="C925" i="9"/>
  <c r="B925" i="9"/>
  <c r="A925" i="9"/>
  <c r="M924" i="9"/>
  <c r="L924" i="9"/>
  <c r="K924" i="9"/>
  <c r="J924" i="9"/>
  <c r="I924" i="9"/>
  <c r="H924" i="9"/>
  <c r="G924" i="9"/>
  <c r="F924" i="9"/>
  <c r="E924" i="9"/>
  <c r="D924" i="9"/>
  <c r="C924" i="9"/>
  <c r="B924" i="9"/>
  <c r="A924" i="9"/>
  <c r="M923" i="9"/>
  <c r="L923" i="9"/>
  <c r="K923" i="9"/>
  <c r="J923" i="9"/>
  <c r="I923" i="9"/>
  <c r="H923" i="9"/>
  <c r="G923" i="9"/>
  <c r="F923" i="9"/>
  <c r="E923" i="9"/>
  <c r="D923" i="9"/>
  <c r="C923" i="9"/>
  <c r="B923" i="9"/>
  <c r="A923" i="9"/>
  <c r="M922" i="9"/>
  <c r="L922" i="9"/>
  <c r="K922" i="9"/>
  <c r="J922" i="9"/>
  <c r="I922" i="9"/>
  <c r="H922" i="9"/>
  <c r="G922" i="9"/>
  <c r="F922" i="9"/>
  <c r="E922" i="9"/>
  <c r="D922" i="9"/>
  <c r="C922" i="9"/>
  <c r="B922" i="9"/>
  <c r="A922" i="9"/>
  <c r="M921" i="9"/>
  <c r="L921" i="9"/>
  <c r="K921" i="9"/>
  <c r="J921" i="9"/>
  <c r="I921" i="9"/>
  <c r="H921" i="9"/>
  <c r="G921" i="9"/>
  <c r="F921" i="9"/>
  <c r="E921" i="9"/>
  <c r="D921" i="9"/>
  <c r="C921" i="9"/>
  <c r="B921" i="9"/>
  <c r="A921" i="9"/>
  <c r="M920" i="9"/>
  <c r="L920" i="9"/>
  <c r="K920" i="9"/>
  <c r="J920" i="9"/>
  <c r="I920" i="9"/>
  <c r="H920" i="9"/>
  <c r="G920" i="9"/>
  <c r="F920" i="9"/>
  <c r="E920" i="9"/>
  <c r="D920" i="9"/>
  <c r="C920" i="9"/>
  <c r="B920" i="9"/>
  <c r="A920" i="9"/>
  <c r="M919" i="9"/>
  <c r="L919" i="9"/>
  <c r="K919" i="9"/>
  <c r="J919" i="9"/>
  <c r="I919" i="9"/>
  <c r="H919" i="9"/>
  <c r="G919" i="9"/>
  <c r="F919" i="9"/>
  <c r="E919" i="9"/>
  <c r="D919" i="9"/>
  <c r="C919" i="9"/>
  <c r="B919" i="9"/>
  <c r="A919" i="9"/>
  <c r="M918" i="9"/>
  <c r="L918" i="9"/>
  <c r="K918" i="9"/>
  <c r="J918" i="9"/>
  <c r="I918" i="9"/>
  <c r="H918" i="9"/>
  <c r="G918" i="9"/>
  <c r="F918" i="9"/>
  <c r="E918" i="9"/>
  <c r="D918" i="9"/>
  <c r="C918" i="9"/>
  <c r="B918" i="9"/>
  <c r="A918" i="9"/>
  <c r="M917" i="9"/>
  <c r="L917" i="9"/>
  <c r="K917" i="9"/>
  <c r="J917" i="9"/>
  <c r="I917" i="9"/>
  <c r="H917" i="9"/>
  <c r="G917" i="9"/>
  <c r="F917" i="9"/>
  <c r="E917" i="9"/>
  <c r="D917" i="9"/>
  <c r="C917" i="9"/>
  <c r="B917" i="9"/>
  <c r="A917" i="9"/>
  <c r="M916" i="9"/>
  <c r="L916" i="9"/>
  <c r="K916" i="9"/>
  <c r="J916" i="9"/>
  <c r="I916" i="9"/>
  <c r="H916" i="9"/>
  <c r="G916" i="9"/>
  <c r="F916" i="9"/>
  <c r="E916" i="9"/>
  <c r="D916" i="9"/>
  <c r="C916" i="9"/>
  <c r="B916" i="9"/>
  <c r="A916" i="9"/>
  <c r="M915" i="9"/>
  <c r="L915" i="9"/>
  <c r="K915" i="9"/>
  <c r="J915" i="9"/>
  <c r="I915" i="9"/>
  <c r="H915" i="9"/>
  <c r="G915" i="9"/>
  <c r="F915" i="9"/>
  <c r="E915" i="9"/>
  <c r="D915" i="9"/>
  <c r="C915" i="9"/>
  <c r="B915" i="9"/>
  <c r="A915" i="9"/>
  <c r="M914" i="9"/>
  <c r="L914" i="9"/>
  <c r="K914" i="9"/>
  <c r="J914" i="9"/>
  <c r="I914" i="9"/>
  <c r="H914" i="9"/>
  <c r="G914" i="9"/>
  <c r="F914" i="9"/>
  <c r="E914" i="9"/>
  <c r="D914" i="9"/>
  <c r="C914" i="9"/>
  <c r="B914" i="9"/>
  <c r="A914" i="9"/>
  <c r="M913" i="9"/>
  <c r="L913" i="9"/>
  <c r="K913" i="9"/>
  <c r="J913" i="9"/>
  <c r="I913" i="9"/>
  <c r="H913" i="9"/>
  <c r="G913" i="9"/>
  <c r="F913" i="9"/>
  <c r="E913" i="9"/>
  <c r="D913" i="9"/>
  <c r="C913" i="9"/>
  <c r="B913" i="9"/>
  <c r="A913" i="9"/>
  <c r="M912" i="9"/>
  <c r="L912" i="9"/>
  <c r="K912" i="9"/>
  <c r="J912" i="9"/>
  <c r="I912" i="9"/>
  <c r="H912" i="9"/>
  <c r="G912" i="9"/>
  <c r="F912" i="9"/>
  <c r="E912" i="9"/>
  <c r="D912" i="9"/>
  <c r="C912" i="9"/>
  <c r="B912" i="9"/>
  <c r="A912" i="9"/>
  <c r="M911" i="9"/>
  <c r="L911" i="9"/>
  <c r="K911" i="9"/>
  <c r="J911" i="9"/>
  <c r="I911" i="9"/>
  <c r="H911" i="9"/>
  <c r="G911" i="9"/>
  <c r="F911" i="9"/>
  <c r="E911" i="9"/>
  <c r="D911" i="9"/>
  <c r="C911" i="9"/>
  <c r="B911" i="9"/>
  <c r="A911" i="9"/>
  <c r="M910" i="9"/>
  <c r="L910" i="9"/>
  <c r="K910" i="9"/>
  <c r="J910" i="9"/>
  <c r="I910" i="9"/>
  <c r="H910" i="9"/>
  <c r="G910" i="9"/>
  <c r="F910" i="9"/>
  <c r="E910" i="9"/>
  <c r="D910" i="9"/>
  <c r="C910" i="9"/>
  <c r="B910" i="9"/>
  <c r="A910" i="9"/>
  <c r="M909" i="9"/>
  <c r="L909" i="9"/>
  <c r="K909" i="9"/>
  <c r="J909" i="9"/>
  <c r="I909" i="9"/>
  <c r="H909" i="9"/>
  <c r="G909" i="9"/>
  <c r="F909" i="9"/>
  <c r="E909" i="9"/>
  <c r="D909" i="9"/>
  <c r="C909" i="9"/>
  <c r="B909" i="9"/>
  <c r="A909" i="9"/>
  <c r="M908" i="9"/>
  <c r="L908" i="9"/>
  <c r="K908" i="9"/>
  <c r="J908" i="9"/>
  <c r="I908" i="9"/>
  <c r="H908" i="9"/>
  <c r="G908" i="9"/>
  <c r="F908" i="9"/>
  <c r="E908" i="9"/>
  <c r="D908" i="9"/>
  <c r="C908" i="9"/>
  <c r="B908" i="9"/>
  <c r="A908" i="9"/>
  <c r="M907" i="9"/>
  <c r="L907" i="9"/>
  <c r="K907" i="9"/>
  <c r="J907" i="9"/>
  <c r="I907" i="9"/>
  <c r="H907" i="9"/>
  <c r="G907" i="9"/>
  <c r="F907" i="9"/>
  <c r="E907" i="9"/>
  <c r="D907" i="9"/>
  <c r="C907" i="9"/>
  <c r="B907" i="9"/>
  <c r="A907" i="9"/>
  <c r="M906" i="9"/>
  <c r="L906" i="9"/>
  <c r="K906" i="9"/>
  <c r="J906" i="9"/>
  <c r="I906" i="9"/>
  <c r="H906" i="9"/>
  <c r="G906" i="9"/>
  <c r="F906" i="9"/>
  <c r="E906" i="9"/>
  <c r="D906" i="9"/>
  <c r="C906" i="9"/>
  <c r="B906" i="9"/>
  <c r="A906" i="9"/>
  <c r="M905" i="9"/>
  <c r="L905" i="9"/>
  <c r="K905" i="9"/>
  <c r="J905" i="9"/>
  <c r="I905" i="9"/>
  <c r="H905" i="9"/>
  <c r="G905" i="9"/>
  <c r="F905" i="9"/>
  <c r="E905" i="9"/>
  <c r="D905" i="9"/>
  <c r="C905" i="9"/>
  <c r="B905" i="9"/>
  <c r="A905" i="9"/>
  <c r="M904" i="9"/>
  <c r="L904" i="9"/>
  <c r="K904" i="9"/>
  <c r="J904" i="9"/>
  <c r="I904" i="9"/>
  <c r="H904" i="9"/>
  <c r="G904" i="9"/>
  <c r="F904" i="9"/>
  <c r="E904" i="9"/>
  <c r="D904" i="9"/>
  <c r="C904" i="9"/>
  <c r="B904" i="9"/>
  <c r="A904" i="9"/>
  <c r="M903" i="9"/>
  <c r="L903" i="9"/>
  <c r="K903" i="9"/>
  <c r="J903" i="9"/>
  <c r="I903" i="9"/>
  <c r="H903" i="9"/>
  <c r="G903" i="9"/>
  <c r="F903" i="9"/>
  <c r="E903" i="9"/>
  <c r="D903" i="9"/>
  <c r="C903" i="9"/>
  <c r="B903" i="9"/>
  <c r="A903" i="9"/>
  <c r="M902" i="9"/>
  <c r="L902" i="9"/>
  <c r="K902" i="9"/>
  <c r="J902" i="9"/>
  <c r="I902" i="9"/>
  <c r="H902" i="9"/>
  <c r="G902" i="9"/>
  <c r="F902" i="9"/>
  <c r="E902" i="9"/>
  <c r="D902" i="9"/>
  <c r="C902" i="9"/>
  <c r="B902" i="9"/>
  <c r="A902" i="9"/>
  <c r="M901" i="9"/>
  <c r="L901" i="9"/>
  <c r="K901" i="9"/>
  <c r="J901" i="9"/>
  <c r="I901" i="9"/>
  <c r="H901" i="9"/>
  <c r="G901" i="9"/>
  <c r="F901" i="9"/>
  <c r="E901" i="9"/>
  <c r="D901" i="9"/>
  <c r="C901" i="9"/>
  <c r="B901" i="9"/>
  <c r="A901" i="9"/>
  <c r="M900" i="9"/>
  <c r="L900" i="9"/>
  <c r="K900" i="9"/>
  <c r="J900" i="9"/>
  <c r="I900" i="9"/>
  <c r="H900" i="9"/>
  <c r="G900" i="9"/>
  <c r="F900" i="9"/>
  <c r="E900" i="9"/>
  <c r="D900" i="9"/>
  <c r="C900" i="9"/>
  <c r="B900" i="9"/>
  <c r="A900" i="9"/>
  <c r="M899" i="9"/>
  <c r="L899" i="9"/>
  <c r="K899" i="9"/>
  <c r="J899" i="9"/>
  <c r="I899" i="9"/>
  <c r="H899" i="9"/>
  <c r="G899" i="9"/>
  <c r="F899" i="9"/>
  <c r="E899" i="9"/>
  <c r="D899" i="9"/>
  <c r="C899" i="9"/>
  <c r="B899" i="9"/>
  <c r="A899" i="9"/>
  <c r="M898" i="9"/>
  <c r="L898" i="9"/>
  <c r="K898" i="9"/>
  <c r="J898" i="9"/>
  <c r="I898" i="9"/>
  <c r="H898" i="9"/>
  <c r="G898" i="9"/>
  <c r="F898" i="9"/>
  <c r="E898" i="9"/>
  <c r="D898" i="9"/>
  <c r="C898" i="9"/>
  <c r="B898" i="9"/>
  <c r="A898" i="9"/>
  <c r="M897" i="9"/>
  <c r="L897" i="9"/>
  <c r="K897" i="9"/>
  <c r="J897" i="9"/>
  <c r="I897" i="9"/>
  <c r="H897" i="9"/>
  <c r="G897" i="9"/>
  <c r="F897" i="9"/>
  <c r="E897" i="9"/>
  <c r="D897" i="9"/>
  <c r="C897" i="9"/>
  <c r="B897" i="9"/>
  <c r="A897" i="9"/>
  <c r="M896" i="9"/>
  <c r="L896" i="9"/>
  <c r="K896" i="9"/>
  <c r="J896" i="9"/>
  <c r="I896" i="9"/>
  <c r="H896" i="9"/>
  <c r="G896" i="9"/>
  <c r="F896" i="9"/>
  <c r="E896" i="9"/>
  <c r="D896" i="9"/>
  <c r="C896" i="9"/>
  <c r="B896" i="9"/>
  <c r="A896" i="9"/>
  <c r="M895" i="9"/>
  <c r="L895" i="9"/>
  <c r="K895" i="9"/>
  <c r="J895" i="9"/>
  <c r="I895" i="9"/>
  <c r="H895" i="9"/>
  <c r="G895" i="9"/>
  <c r="F895" i="9"/>
  <c r="E895" i="9"/>
  <c r="D895" i="9"/>
  <c r="C895" i="9"/>
  <c r="B895" i="9"/>
  <c r="A895" i="9"/>
  <c r="M894" i="9"/>
  <c r="L894" i="9"/>
  <c r="K894" i="9"/>
  <c r="J894" i="9"/>
  <c r="I894" i="9"/>
  <c r="H894" i="9"/>
  <c r="G894" i="9"/>
  <c r="F894" i="9"/>
  <c r="E894" i="9"/>
  <c r="D894" i="9"/>
  <c r="C894" i="9"/>
  <c r="B894" i="9"/>
  <c r="A894" i="9"/>
  <c r="M893" i="9"/>
  <c r="L893" i="9"/>
  <c r="K893" i="9"/>
  <c r="J893" i="9"/>
  <c r="I893" i="9"/>
  <c r="H893" i="9"/>
  <c r="G893" i="9"/>
  <c r="F893" i="9"/>
  <c r="E893" i="9"/>
  <c r="D893" i="9"/>
  <c r="C893" i="9"/>
  <c r="B893" i="9"/>
  <c r="A893" i="9"/>
  <c r="M892" i="9"/>
  <c r="L892" i="9"/>
  <c r="K892" i="9"/>
  <c r="J892" i="9"/>
  <c r="I892" i="9"/>
  <c r="H892" i="9"/>
  <c r="G892" i="9"/>
  <c r="F892" i="9"/>
  <c r="E892" i="9"/>
  <c r="D892" i="9"/>
  <c r="C892" i="9"/>
  <c r="B892" i="9"/>
  <c r="A892" i="9"/>
  <c r="M891" i="9"/>
  <c r="L891" i="9"/>
  <c r="K891" i="9"/>
  <c r="J891" i="9"/>
  <c r="I891" i="9"/>
  <c r="H891" i="9"/>
  <c r="G891" i="9"/>
  <c r="F891" i="9"/>
  <c r="E891" i="9"/>
  <c r="D891" i="9"/>
  <c r="C891" i="9"/>
  <c r="B891" i="9"/>
  <c r="A891" i="9"/>
  <c r="M890" i="9"/>
  <c r="L890" i="9"/>
  <c r="K890" i="9"/>
  <c r="J890" i="9"/>
  <c r="I890" i="9"/>
  <c r="H890" i="9"/>
  <c r="G890" i="9"/>
  <c r="F890" i="9"/>
  <c r="E890" i="9"/>
  <c r="D890" i="9"/>
  <c r="C890" i="9"/>
  <c r="B890" i="9"/>
  <c r="A890" i="9"/>
  <c r="M889" i="9"/>
  <c r="L889" i="9"/>
  <c r="K889" i="9"/>
  <c r="J889" i="9"/>
  <c r="I889" i="9"/>
  <c r="H889" i="9"/>
  <c r="G889" i="9"/>
  <c r="F889" i="9"/>
  <c r="E889" i="9"/>
  <c r="D889" i="9"/>
  <c r="C889" i="9"/>
  <c r="B889" i="9"/>
  <c r="A889" i="9"/>
  <c r="M888" i="9"/>
  <c r="L888" i="9"/>
  <c r="K888" i="9"/>
  <c r="J888" i="9"/>
  <c r="I888" i="9"/>
  <c r="H888" i="9"/>
  <c r="G888" i="9"/>
  <c r="F888" i="9"/>
  <c r="E888" i="9"/>
  <c r="D888" i="9"/>
  <c r="C888" i="9"/>
  <c r="B888" i="9"/>
  <c r="A888" i="9"/>
  <c r="M887" i="9"/>
  <c r="L887" i="9"/>
  <c r="K887" i="9"/>
  <c r="J887" i="9"/>
  <c r="I887" i="9"/>
  <c r="H887" i="9"/>
  <c r="G887" i="9"/>
  <c r="F887" i="9"/>
  <c r="E887" i="9"/>
  <c r="D887" i="9"/>
  <c r="C887" i="9"/>
  <c r="B887" i="9"/>
  <c r="A887" i="9"/>
  <c r="M886" i="9"/>
  <c r="L886" i="9"/>
  <c r="K886" i="9"/>
  <c r="J886" i="9"/>
  <c r="I886" i="9"/>
  <c r="H886" i="9"/>
  <c r="G886" i="9"/>
  <c r="F886" i="9"/>
  <c r="E886" i="9"/>
  <c r="D886" i="9"/>
  <c r="C886" i="9"/>
  <c r="B886" i="9"/>
  <c r="A886" i="9"/>
  <c r="M885" i="9"/>
  <c r="L885" i="9"/>
  <c r="K885" i="9"/>
  <c r="J885" i="9"/>
  <c r="I885" i="9"/>
  <c r="H885" i="9"/>
  <c r="G885" i="9"/>
  <c r="F885" i="9"/>
  <c r="E885" i="9"/>
  <c r="D885" i="9"/>
  <c r="C885" i="9"/>
  <c r="B885" i="9"/>
  <c r="A885" i="9"/>
  <c r="M884" i="9"/>
  <c r="L884" i="9"/>
  <c r="K884" i="9"/>
  <c r="J884" i="9"/>
  <c r="I884" i="9"/>
  <c r="H884" i="9"/>
  <c r="G884" i="9"/>
  <c r="F884" i="9"/>
  <c r="E884" i="9"/>
  <c r="D884" i="9"/>
  <c r="C884" i="9"/>
  <c r="B884" i="9"/>
  <c r="A884" i="9"/>
  <c r="M883" i="9"/>
  <c r="L883" i="9"/>
  <c r="K883" i="9"/>
  <c r="J883" i="9"/>
  <c r="I883" i="9"/>
  <c r="H883" i="9"/>
  <c r="G883" i="9"/>
  <c r="F883" i="9"/>
  <c r="E883" i="9"/>
  <c r="D883" i="9"/>
  <c r="C883" i="9"/>
  <c r="B883" i="9"/>
  <c r="A883" i="9"/>
  <c r="M882" i="9"/>
  <c r="L882" i="9"/>
  <c r="K882" i="9"/>
  <c r="J882" i="9"/>
  <c r="I882" i="9"/>
  <c r="H882" i="9"/>
  <c r="G882" i="9"/>
  <c r="F882" i="9"/>
  <c r="E882" i="9"/>
  <c r="D882" i="9"/>
  <c r="C882" i="9"/>
  <c r="B882" i="9"/>
  <c r="A882" i="9"/>
  <c r="M881" i="9"/>
  <c r="L881" i="9"/>
  <c r="K881" i="9"/>
  <c r="J881" i="9"/>
  <c r="I881" i="9"/>
  <c r="H881" i="9"/>
  <c r="G881" i="9"/>
  <c r="F881" i="9"/>
  <c r="E881" i="9"/>
  <c r="D881" i="9"/>
  <c r="C881" i="9"/>
  <c r="B881" i="9"/>
  <c r="A881" i="9"/>
  <c r="M880" i="9"/>
  <c r="L880" i="9"/>
  <c r="K880" i="9"/>
  <c r="J880" i="9"/>
  <c r="I880" i="9"/>
  <c r="H880" i="9"/>
  <c r="G880" i="9"/>
  <c r="F880" i="9"/>
  <c r="E880" i="9"/>
  <c r="D880" i="9"/>
  <c r="C880" i="9"/>
  <c r="B880" i="9"/>
  <c r="A880" i="9"/>
  <c r="M879" i="9"/>
  <c r="L879" i="9"/>
  <c r="K879" i="9"/>
  <c r="J879" i="9"/>
  <c r="I879" i="9"/>
  <c r="H879" i="9"/>
  <c r="G879" i="9"/>
  <c r="F879" i="9"/>
  <c r="E879" i="9"/>
  <c r="D879" i="9"/>
  <c r="C879" i="9"/>
  <c r="B879" i="9"/>
  <c r="A879" i="9"/>
  <c r="M878" i="9"/>
  <c r="L878" i="9"/>
  <c r="K878" i="9"/>
  <c r="J878" i="9"/>
  <c r="I878" i="9"/>
  <c r="H878" i="9"/>
  <c r="G878" i="9"/>
  <c r="F878" i="9"/>
  <c r="E878" i="9"/>
  <c r="D878" i="9"/>
  <c r="C878" i="9"/>
  <c r="B878" i="9"/>
  <c r="A878" i="9"/>
  <c r="M877" i="9"/>
  <c r="L877" i="9"/>
  <c r="K877" i="9"/>
  <c r="J877" i="9"/>
  <c r="I877" i="9"/>
  <c r="H877" i="9"/>
  <c r="G877" i="9"/>
  <c r="F877" i="9"/>
  <c r="E877" i="9"/>
  <c r="D877" i="9"/>
  <c r="C877" i="9"/>
  <c r="B877" i="9"/>
  <c r="A877" i="9"/>
  <c r="M876" i="9"/>
  <c r="L876" i="9"/>
  <c r="K876" i="9"/>
  <c r="J876" i="9"/>
  <c r="I876" i="9"/>
  <c r="H876" i="9"/>
  <c r="G876" i="9"/>
  <c r="F876" i="9"/>
  <c r="E876" i="9"/>
  <c r="D876" i="9"/>
  <c r="C876" i="9"/>
  <c r="B876" i="9"/>
  <c r="A876" i="9"/>
  <c r="M875" i="9"/>
  <c r="L875" i="9"/>
  <c r="K875" i="9"/>
  <c r="J875" i="9"/>
  <c r="I875" i="9"/>
  <c r="H875" i="9"/>
  <c r="G875" i="9"/>
  <c r="F875" i="9"/>
  <c r="E875" i="9"/>
  <c r="D875" i="9"/>
  <c r="C875" i="9"/>
  <c r="B875" i="9"/>
  <c r="A875" i="9"/>
  <c r="M874" i="9"/>
  <c r="L874" i="9"/>
  <c r="K874" i="9"/>
  <c r="J874" i="9"/>
  <c r="I874" i="9"/>
  <c r="H874" i="9"/>
  <c r="G874" i="9"/>
  <c r="F874" i="9"/>
  <c r="E874" i="9"/>
  <c r="D874" i="9"/>
  <c r="C874" i="9"/>
  <c r="B874" i="9"/>
  <c r="A874" i="9"/>
  <c r="M873" i="9"/>
  <c r="L873" i="9"/>
  <c r="K873" i="9"/>
  <c r="J873" i="9"/>
  <c r="I873" i="9"/>
  <c r="H873" i="9"/>
  <c r="G873" i="9"/>
  <c r="F873" i="9"/>
  <c r="E873" i="9"/>
  <c r="D873" i="9"/>
  <c r="C873" i="9"/>
  <c r="B873" i="9"/>
  <c r="A873" i="9"/>
  <c r="M872" i="9"/>
  <c r="L872" i="9"/>
  <c r="K872" i="9"/>
  <c r="J872" i="9"/>
  <c r="I872" i="9"/>
  <c r="H872" i="9"/>
  <c r="G872" i="9"/>
  <c r="F872" i="9"/>
  <c r="E872" i="9"/>
  <c r="D872" i="9"/>
  <c r="C872" i="9"/>
  <c r="B872" i="9"/>
  <c r="A872" i="9"/>
  <c r="M871" i="9"/>
  <c r="L871" i="9"/>
  <c r="K871" i="9"/>
  <c r="J871" i="9"/>
  <c r="I871" i="9"/>
  <c r="H871" i="9"/>
  <c r="G871" i="9"/>
  <c r="F871" i="9"/>
  <c r="E871" i="9"/>
  <c r="D871" i="9"/>
  <c r="C871" i="9"/>
  <c r="B871" i="9"/>
  <c r="A871" i="9"/>
  <c r="M870" i="9"/>
  <c r="L870" i="9"/>
  <c r="K870" i="9"/>
  <c r="J870" i="9"/>
  <c r="I870" i="9"/>
  <c r="H870" i="9"/>
  <c r="G870" i="9"/>
  <c r="F870" i="9"/>
  <c r="E870" i="9"/>
  <c r="D870" i="9"/>
  <c r="C870" i="9"/>
  <c r="B870" i="9"/>
  <c r="A870" i="9"/>
  <c r="M869" i="9"/>
  <c r="L869" i="9"/>
  <c r="K869" i="9"/>
  <c r="J869" i="9"/>
  <c r="I869" i="9"/>
  <c r="H869" i="9"/>
  <c r="G869" i="9"/>
  <c r="F869" i="9"/>
  <c r="E869" i="9"/>
  <c r="D869" i="9"/>
  <c r="C869" i="9"/>
  <c r="B869" i="9"/>
  <c r="A869" i="9"/>
  <c r="M868" i="9"/>
  <c r="L868" i="9"/>
  <c r="K868" i="9"/>
  <c r="J868" i="9"/>
  <c r="I868" i="9"/>
  <c r="H868" i="9"/>
  <c r="G868" i="9"/>
  <c r="F868" i="9"/>
  <c r="E868" i="9"/>
  <c r="D868" i="9"/>
  <c r="C868" i="9"/>
  <c r="B868" i="9"/>
  <c r="A868" i="9"/>
  <c r="M867" i="9"/>
  <c r="L867" i="9"/>
  <c r="K867" i="9"/>
  <c r="J867" i="9"/>
  <c r="I867" i="9"/>
  <c r="H867" i="9"/>
  <c r="G867" i="9"/>
  <c r="F867" i="9"/>
  <c r="E867" i="9"/>
  <c r="D867" i="9"/>
  <c r="C867" i="9"/>
  <c r="B867" i="9"/>
  <c r="A867" i="9"/>
  <c r="M866" i="9"/>
  <c r="L866" i="9"/>
  <c r="K866" i="9"/>
  <c r="J866" i="9"/>
  <c r="I866" i="9"/>
  <c r="H866" i="9"/>
  <c r="G866" i="9"/>
  <c r="F866" i="9"/>
  <c r="E866" i="9"/>
  <c r="D866" i="9"/>
  <c r="C866" i="9"/>
  <c r="B866" i="9"/>
  <c r="A866" i="9"/>
  <c r="M865" i="9"/>
  <c r="L865" i="9"/>
  <c r="K865" i="9"/>
  <c r="J865" i="9"/>
  <c r="I865" i="9"/>
  <c r="H865" i="9"/>
  <c r="G865" i="9"/>
  <c r="F865" i="9"/>
  <c r="E865" i="9"/>
  <c r="D865" i="9"/>
  <c r="C865" i="9"/>
  <c r="B865" i="9"/>
  <c r="A865" i="9"/>
  <c r="M864" i="9"/>
  <c r="L864" i="9"/>
  <c r="K864" i="9"/>
  <c r="J864" i="9"/>
  <c r="I864" i="9"/>
  <c r="H864" i="9"/>
  <c r="G864" i="9"/>
  <c r="F864" i="9"/>
  <c r="E864" i="9"/>
  <c r="D864" i="9"/>
  <c r="C864" i="9"/>
  <c r="B864" i="9"/>
  <c r="A864" i="9"/>
  <c r="M863" i="9"/>
  <c r="L863" i="9"/>
  <c r="K863" i="9"/>
  <c r="J863" i="9"/>
  <c r="I863" i="9"/>
  <c r="H863" i="9"/>
  <c r="G863" i="9"/>
  <c r="F863" i="9"/>
  <c r="E863" i="9"/>
  <c r="D863" i="9"/>
  <c r="C863" i="9"/>
  <c r="B863" i="9"/>
  <c r="A863" i="9"/>
  <c r="M862" i="9"/>
  <c r="L862" i="9"/>
  <c r="K862" i="9"/>
  <c r="J862" i="9"/>
  <c r="I862" i="9"/>
  <c r="H862" i="9"/>
  <c r="G862" i="9"/>
  <c r="F862" i="9"/>
  <c r="E862" i="9"/>
  <c r="D862" i="9"/>
  <c r="C862" i="9"/>
  <c r="B862" i="9"/>
  <c r="A862" i="9"/>
  <c r="M861" i="9"/>
  <c r="L861" i="9"/>
  <c r="K861" i="9"/>
  <c r="J861" i="9"/>
  <c r="I861" i="9"/>
  <c r="H861" i="9"/>
  <c r="G861" i="9"/>
  <c r="F861" i="9"/>
  <c r="E861" i="9"/>
  <c r="D861" i="9"/>
  <c r="C861" i="9"/>
  <c r="B861" i="9"/>
  <c r="A861" i="9"/>
  <c r="M860" i="9"/>
  <c r="L860" i="9"/>
  <c r="K860" i="9"/>
  <c r="J860" i="9"/>
  <c r="I860" i="9"/>
  <c r="H860" i="9"/>
  <c r="G860" i="9"/>
  <c r="F860" i="9"/>
  <c r="E860" i="9"/>
  <c r="D860" i="9"/>
  <c r="C860" i="9"/>
  <c r="B860" i="9"/>
  <c r="A860" i="9"/>
  <c r="M859" i="9"/>
  <c r="L859" i="9"/>
  <c r="K859" i="9"/>
  <c r="J859" i="9"/>
  <c r="I859" i="9"/>
  <c r="H859" i="9"/>
  <c r="G859" i="9"/>
  <c r="F859" i="9"/>
  <c r="E859" i="9"/>
  <c r="D859" i="9"/>
  <c r="C859" i="9"/>
  <c r="B859" i="9"/>
  <c r="A859" i="9"/>
  <c r="M858" i="9"/>
  <c r="L858" i="9"/>
  <c r="K858" i="9"/>
  <c r="J858" i="9"/>
  <c r="I858" i="9"/>
  <c r="H858" i="9"/>
  <c r="G858" i="9"/>
  <c r="F858" i="9"/>
  <c r="E858" i="9"/>
  <c r="D858" i="9"/>
  <c r="C858" i="9"/>
  <c r="B858" i="9"/>
  <c r="A858" i="9"/>
  <c r="M857" i="9"/>
  <c r="L857" i="9"/>
  <c r="K857" i="9"/>
  <c r="J857" i="9"/>
  <c r="I857" i="9"/>
  <c r="H857" i="9"/>
  <c r="G857" i="9"/>
  <c r="F857" i="9"/>
  <c r="E857" i="9"/>
  <c r="D857" i="9"/>
  <c r="C857" i="9"/>
  <c r="B857" i="9"/>
  <c r="A857" i="9"/>
  <c r="M856" i="9"/>
  <c r="L856" i="9"/>
  <c r="K856" i="9"/>
  <c r="J856" i="9"/>
  <c r="I856" i="9"/>
  <c r="H856" i="9"/>
  <c r="G856" i="9"/>
  <c r="F856" i="9"/>
  <c r="E856" i="9"/>
  <c r="D856" i="9"/>
  <c r="C856" i="9"/>
  <c r="B856" i="9"/>
  <c r="A856" i="9"/>
  <c r="M855" i="9"/>
  <c r="L855" i="9"/>
  <c r="K855" i="9"/>
  <c r="J855" i="9"/>
  <c r="I855" i="9"/>
  <c r="H855" i="9"/>
  <c r="G855" i="9"/>
  <c r="F855" i="9"/>
  <c r="E855" i="9"/>
  <c r="D855" i="9"/>
  <c r="C855" i="9"/>
  <c r="B855" i="9"/>
  <c r="A855" i="9"/>
  <c r="M854" i="9"/>
  <c r="L854" i="9"/>
  <c r="K854" i="9"/>
  <c r="J854" i="9"/>
  <c r="I854" i="9"/>
  <c r="H854" i="9"/>
  <c r="G854" i="9"/>
  <c r="F854" i="9"/>
  <c r="E854" i="9"/>
  <c r="D854" i="9"/>
  <c r="C854" i="9"/>
  <c r="B854" i="9"/>
  <c r="A854" i="9"/>
  <c r="M853" i="9"/>
  <c r="L853" i="9"/>
  <c r="K853" i="9"/>
  <c r="J853" i="9"/>
  <c r="I853" i="9"/>
  <c r="H853" i="9"/>
  <c r="G853" i="9"/>
  <c r="F853" i="9"/>
  <c r="E853" i="9"/>
  <c r="D853" i="9"/>
  <c r="C853" i="9"/>
  <c r="B853" i="9"/>
  <c r="A853" i="9"/>
  <c r="M852" i="9"/>
  <c r="L852" i="9"/>
  <c r="K852" i="9"/>
  <c r="J852" i="9"/>
  <c r="I852" i="9"/>
  <c r="H852" i="9"/>
  <c r="G852" i="9"/>
  <c r="F852" i="9"/>
  <c r="E852" i="9"/>
  <c r="D852" i="9"/>
  <c r="C852" i="9"/>
  <c r="B852" i="9"/>
  <c r="A852" i="9"/>
  <c r="M851" i="9"/>
  <c r="L851" i="9"/>
  <c r="K851" i="9"/>
  <c r="J851" i="9"/>
  <c r="I851" i="9"/>
  <c r="H851" i="9"/>
  <c r="G851" i="9"/>
  <c r="F851" i="9"/>
  <c r="E851" i="9"/>
  <c r="D851" i="9"/>
  <c r="C851" i="9"/>
  <c r="B851" i="9"/>
  <c r="A851" i="9"/>
  <c r="M850" i="9"/>
  <c r="L850" i="9"/>
  <c r="K850" i="9"/>
  <c r="J850" i="9"/>
  <c r="I850" i="9"/>
  <c r="H850" i="9"/>
  <c r="G850" i="9"/>
  <c r="F850" i="9"/>
  <c r="E850" i="9"/>
  <c r="D850" i="9"/>
  <c r="C850" i="9"/>
  <c r="B850" i="9"/>
  <c r="A850" i="9"/>
  <c r="M849" i="9"/>
  <c r="L849" i="9"/>
  <c r="K849" i="9"/>
  <c r="J849" i="9"/>
  <c r="I849" i="9"/>
  <c r="H849" i="9"/>
  <c r="G849" i="9"/>
  <c r="F849" i="9"/>
  <c r="E849" i="9"/>
  <c r="D849" i="9"/>
  <c r="C849" i="9"/>
  <c r="B849" i="9"/>
  <c r="A849" i="9"/>
  <c r="M848" i="9"/>
  <c r="L848" i="9"/>
  <c r="K848" i="9"/>
  <c r="J848" i="9"/>
  <c r="I848" i="9"/>
  <c r="H848" i="9"/>
  <c r="G848" i="9"/>
  <c r="F848" i="9"/>
  <c r="E848" i="9"/>
  <c r="D848" i="9"/>
  <c r="C848" i="9"/>
  <c r="B848" i="9"/>
  <c r="A848" i="9"/>
  <c r="M847" i="9"/>
  <c r="L847" i="9"/>
  <c r="K847" i="9"/>
  <c r="J847" i="9"/>
  <c r="I847" i="9"/>
  <c r="H847" i="9"/>
  <c r="G847" i="9"/>
  <c r="F847" i="9"/>
  <c r="E847" i="9"/>
  <c r="D847" i="9"/>
  <c r="C847" i="9"/>
  <c r="B847" i="9"/>
  <c r="A847" i="9"/>
  <c r="M846" i="9"/>
  <c r="L846" i="9"/>
  <c r="K846" i="9"/>
  <c r="J846" i="9"/>
  <c r="I846" i="9"/>
  <c r="H846" i="9"/>
  <c r="G846" i="9"/>
  <c r="F846" i="9"/>
  <c r="E846" i="9"/>
  <c r="D846" i="9"/>
  <c r="C846" i="9"/>
  <c r="B846" i="9"/>
  <c r="A846" i="9"/>
  <c r="M845" i="9"/>
  <c r="L845" i="9"/>
  <c r="K845" i="9"/>
  <c r="J845" i="9"/>
  <c r="I845" i="9"/>
  <c r="H845" i="9"/>
  <c r="G845" i="9"/>
  <c r="F845" i="9"/>
  <c r="E845" i="9"/>
  <c r="D845" i="9"/>
  <c r="C845" i="9"/>
  <c r="B845" i="9"/>
  <c r="A845" i="9"/>
  <c r="M844" i="9"/>
  <c r="L844" i="9"/>
  <c r="K844" i="9"/>
  <c r="J844" i="9"/>
  <c r="I844" i="9"/>
  <c r="H844" i="9"/>
  <c r="G844" i="9"/>
  <c r="F844" i="9"/>
  <c r="E844" i="9"/>
  <c r="D844" i="9"/>
  <c r="C844" i="9"/>
  <c r="B844" i="9"/>
  <c r="A844" i="9"/>
  <c r="M843" i="9"/>
  <c r="L843" i="9"/>
  <c r="K843" i="9"/>
  <c r="J843" i="9"/>
  <c r="I843" i="9"/>
  <c r="H843" i="9"/>
  <c r="G843" i="9"/>
  <c r="F843" i="9"/>
  <c r="E843" i="9"/>
  <c r="D843" i="9"/>
  <c r="C843" i="9"/>
  <c r="B843" i="9"/>
  <c r="A843" i="9"/>
  <c r="M842" i="9"/>
  <c r="L842" i="9"/>
  <c r="K842" i="9"/>
  <c r="J842" i="9"/>
  <c r="I842" i="9"/>
  <c r="H842" i="9"/>
  <c r="G842" i="9"/>
  <c r="F842" i="9"/>
  <c r="E842" i="9"/>
  <c r="D842" i="9"/>
  <c r="C842" i="9"/>
  <c r="B842" i="9"/>
  <c r="A842" i="9"/>
  <c r="M841" i="9"/>
  <c r="L841" i="9"/>
  <c r="K841" i="9"/>
  <c r="J841" i="9"/>
  <c r="I841" i="9"/>
  <c r="H841" i="9"/>
  <c r="G841" i="9"/>
  <c r="F841" i="9"/>
  <c r="E841" i="9"/>
  <c r="D841" i="9"/>
  <c r="C841" i="9"/>
  <c r="B841" i="9"/>
  <c r="A841" i="9"/>
  <c r="M840" i="9"/>
  <c r="L840" i="9"/>
  <c r="K840" i="9"/>
  <c r="J840" i="9"/>
  <c r="I840" i="9"/>
  <c r="H840" i="9"/>
  <c r="G840" i="9"/>
  <c r="F840" i="9"/>
  <c r="E840" i="9"/>
  <c r="D840" i="9"/>
  <c r="C840" i="9"/>
  <c r="B840" i="9"/>
  <c r="A840" i="9"/>
  <c r="M839" i="9"/>
  <c r="L839" i="9"/>
  <c r="K839" i="9"/>
  <c r="J839" i="9"/>
  <c r="I839" i="9"/>
  <c r="H839" i="9"/>
  <c r="G839" i="9"/>
  <c r="F839" i="9"/>
  <c r="E839" i="9"/>
  <c r="D839" i="9"/>
  <c r="C839" i="9"/>
  <c r="B839" i="9"/>
  <c r="A839" i="9"/>
  <c r="M838" i="9"/>
  <c r="L838" i="9"/>
  <c r="K838" i="9"/>
  <c r="J838" i="9"/>
  <c r="I838" i="9"/>
  <c r="H838" i="9"/>
  <c r="G838" i="9"/>
  <c r="F838" i="9"/>
  <c r="E838" i="9"/>
  <c r="D838" i="9"/>
  <c r="C838" i="9"/>
  <c r="B838" i="9"/>
  <c r="A838" i="9"/>
  <c r="M837" i="9"/>
  <c r="L837" i="9"/>
  <c r="K837" i="9"/>
  <c r="J837" i="9"/>
  <c r="I837" i="9"/>
  <c r="H837" i="9"/>
  <c r="G837" i="9"/>
  <c r="F837" i="9"/>
  <c r="E837" i="9"/>
  <c r="D837" i="9"/>
  <c r="C837" i="9"/>
  <c r="B837" i="9"/>
  <c r="A837" i="9"/>
  <c r="M836" i="9"/>
  <c r="L836" i="9"/>
  <c r="K836" i="9"/>
  <c r="J836" i="9"/>
  <c r="I836" i="9"/>
  <c r="H836" i="9"/>
  <c r="G836" i="9"/>
  <c r="F836" i="9"/>
  <c r="E836" i="9"/>
  <c r="D836" i="9"/>
  <c r="C836" i="9"/>
  <c r="B836" i="9"/>
  <c r="A836" i="9"/>
  <c r="M835" i="9"/>
  <c r="L835" i="9"/>
  <c r="K835" i="9"/>
  <c r="J835" i="9"/>
  <c r="I835" i="9"/>
  <c r="H835" i="9"/>
  <c r="G835" i="9"/>
  <c r="F835" i="9"/>
  <c r="E835" i="9"/>
  <c r="D835" i="9"/>
  <c r="C835" i="9"/>
  <c r="B835" i="9"/>
  <c r="A835" i="9"/>
  <c r="M834" i="9"/>
  <c r="L834" i="9"/>
  <c r="K834" i="9"/>
  <c r="J834" i="9"/>
  <c r="I834" i="9"/>
  <c r="H834" i="9"/>
  <c r="G834" i="9"/>
  <c r="F834" i="9"/>
  <c r="E834" i="9"/>
  <c r="D834" i="9"/>
  <c r="C834" i="9"/>
  <c r="B834" i="9"/>
  <c r="A834" i="9"/>
  <c r="M833" i="9"/>
  <c r="L833" i="9"/>
  <c r="K833" i="9"/>
  <c r="J833" i="9"/>
  <c r="I833" i="9"/>
  <c r="H833" i="9"/>
  <c r="G833" i="9"/>
  <c r="F833" i="9"/>
  <c r="E833" i="9"/>
  <c r="D833" i="9"/>
  <c r="C833" i="9"/>
  <c r="B833" i="9"/>
  <c r="A833" i="9"/>
  <c r="M832" i="9"/>
  <c r="L832" i="9"/>
  <c r="K832" i="9"/>
  <c r="J832" i="9"/>
  <c r="I832" i="9"/>
  <c r="H832" i="9"/>
  <c r="G832" i="9"/>
  <c r="F832" i="9"/>
  <c r="E832" i="9"/>
  <c r="D832" i="9"/>
  <c r="C832" i="9"/>
  <c r="B832" i="9"/>
  <c r="A832" i="9"/>
  <c r="M831" i="9"/>
  <c r="L831" i="9"/>
  <c r="K831" i="9"/>
  <c r="J831" i="9"/>
  <c r="I831" i="9"/>
  <c r="H831" i="9"/>
  <c r="G831" i="9"/>
  <c r="F831" i="9"/>
  <c r="E831" i="9"/>
  <c r="D831" i="9"/>
  <c r="C831" i="9"/>
  <c r="B831" i="9"/>
  <c r="A831" i="9"/>
  <c r="M830" i="9"/>
  <c r="L830" i="9"/>
  <c r="K830" i="9"/>
  <c r="J830" i="9"/>
  <c r="I830" i="9"/>
  <c r="H830" i="9"/>
  <c r="G830" i="9"/>
  <c r="F830" i="9"/>
  <c r="E830" i="9"/>
  <c r="D830" i="9"/>
  <c r="C830" i="9"/>
  <c r="B830" i="9"/>
  <c r="A830" i="9"/>
  <c r="M829" i="9"/>
  <c r="L829" i="9"/>
  <c r="K829" i="9"/>
  <c r="J829" i="9"/>
  <c r="I829" i="9"/>
  <c r="H829" i="9"/>
  <c r="G829" i="9"/>
  <c r="F829" i="9"/>
  <c r="E829" i="9"/>
  <c r="D829" i="9"/>
  <c r="C829" i="9"/>
  <c r="B829" i="9"/>
  <c r="A829" i="9"/>
  <c r="M828" i="9"/>
  <c r="L828" i="9"/>
  <c r="K828" i="9"/>
  <c r="J828" i="9"/>
  <c r="I828" i="9"/>
  <c r="H828" i="9"/>
  <c r="G828" i="9"/>
  <c r="F828" i="9"/>
  <c r="E828" i="9"/>
  <c r="D828" i="9"/>
  <c r="C828" i="9"/>
  <c r="B828" i="9"/>
  <c r="A828" i="9"/>
  <c r="M827" i="9"/>
  <c r="L827" i="9"/>
  <c r="K827" i="9"/>
  <c r="J827" i="9"/>
  <c r="I827" i="9"/>
  <c r="H827" i="9"/>
  <c r="G827" i="9"/>
  <c r="F827" i="9"/>
  <c r="E827" i="9"/>
  <c r="D827" i="9"/>
  <c r="C827" i="9"/>
  <c r="B827" i="9"/>
  <c r="A827" i="9"/>
  <c r="M826" i="9"/>
  <c r="L826" i="9"/>
  <c r="K826" i="9"/>
  <c r="J826" i="9"/>
  <c r="I826" i="9"/>
  <c r="H826" i="9"/>
  <c r="G826" i="9"/>
  <c r="F826" i="9"/>
  <c r="E826" i="9"/>
  <c r="D826" i="9"/>
  <c r="C826" i="9"/>
  <c r="B826" i="9"/>
  <c r="A826" i="9"/>
  <c r="M825" i="9"/>
  <c r="L825" i="9"/>
  <c r="K825" i="9"/>
  <c r="J825" i="9"/>
  <c r="I825" i="9"/>
  <c r="H825" i="9"/>
  <c r="G825" i="9"/>
  <c r="F825" i="9"/>
  <c r="E825" i="9"/>
  <c r="D825" i="9"/>
  <c r="C825" i="9"/>
  <c r="B825" i="9"/>
  <c r="A825" i="9"/>
  <c r="M824" i="9"/>
  <c r="L824" i="9"/>
  <c r="K824" i="9"/>
  <c r="J824" i="9"/>
  <c r="I824" i="9"/>
  <c r="H824" i="9"/>
  <c r="G824" i="9"/>
  <c r="F824" i="9"/>
  <c r="E824" i="9"/>
  <c r="D824" i="9"/>
  <c r="C824" i="9"/>
  <c r="B824" i="9"/>
  <c r="A824" i="9"/>
  <c r="M823" i="9"/>
  <c r="L823" i="9"/>
  <c r="K823" i="9"/>
  <c r="J823" i="9"/>
  <c r="I823" i="9"/>
  <c r="H823" i="9"/>
  <c r="G823" i="9"/>
  <c r="F823" i="9"/>
  <c r="E823" i="9"/>
  <c r="D823" i="9"/>
  <c r="C823" i="9"/>
  <c r="B823" i="9"/>
  <c r="A823" i="9"/>
  <c r="M822" i="9"/>
  <c r="L822" i="9"/>
  <c r="K822" i="9"/>
  <c r="J822" i="9"/>
  <c r="I822" i="9"/>
  <c r="H822" i="9"/>
  <c r="G822" i="9"/>
  <c r="F822" i="9"/>
  <c r="E822" i="9"/>
  <c r="D822" i="9"/>
  <c r="C822" i="9"/>
  <c r="B822" i="9"/>
  <c r="A822" i="9"/>
  <c r="M821" i="9"/>
  <c r="L821" i="9"/>
  <c r="K821" i="9"/>
  <c r="J821" i="9"/>
  <c r="I821" i="9"/>
  <c r="H821" i="9"/>
  <c r="G821" i="9"/>
  <c r="F821" i="9"/>
  <c r="E821" i="9"/>
  <c r="D821" i="9"/>
  <c r="C821" i="9"/>
  <c r="B821" i="9"/>
  <c r="A821" i="9"/>
  <c r="M820" i="9"/>
  <c r="L820" i="9"/>
  <c r="K820" i="9"/>
  <c r="J820" i="9"/>
  <c r="I820" i="9"/>
  <c r="H820" i="9"/>
  <c r="G820" i="9"/>
  <c r="F820" i="9"/>
  <c r="E820" i="9"/>
  <c r="D820" i="9"/>
  <c r="C820" i="9"/>
  <c r="B820" i="9"/>
  <c r="A820" i="9"/>
  <c r="M819" i="9"/>
  <c r="L819" i="9"/>
  <c r="K819" i="9"/>
  <c r="J819" i="9"/>
  <c r="I819" i="9"/>
  <c r="H819" i="9"/>
  <c r="G819" i="9"/>
  <c r="F819" i="9"/>
  <c r="E819" i="9"/>
  <c r="D819" i="9"/>
  <c r="C819" i="9"/>
  <c r="B819" i="9"/>
  <c r="A819" i="9"/>
  <c r="M818" i="9"/>
  <c r="L818" i="9"/>
  <c r="K818" i="9"/>
  <c r="J818" i="9"/>
  <c r="I818" i="9"/>
  <c r="H818" i="9"/>
  <c r="G818" i="9"/>
  <c r="F818" i="9"/>
  <c r="E818" i="9"/>
  <c r="D818" i="9"/>
  <c r="C818" i="9"/>
  <c r="B818" i="9"/>
  <c r="A818" i="9"/>
  <c r="M817" i="9"/>
  <c r="L817" i="9"/>
  <c r="K817" i="9"/>
  <c r="J817" i="9"/>
  <c r="I817" i="9"/>
  <c r="H817" i="9"/>
  <c r="G817" i="9"/>
  <c r="F817" i="9"/>
  <c r="E817" i="9"/>
  <c r="D817" i="9"/>
  <c r="C817" i="9"/>
  <c r="B817" i="9"/>
  <c r="A817" i="9"/>
  <c r="M816" i="9"/>
  <c r="L816" i="9"/>
  <c r="K816" i="9"/>
  <c r="J816" i="9"/>
  <c r="I816" i="9"/>
  <c r="H816" i="9"/>
  <c r="G816" i="9"/>
  <c r="F816" i="9"/>
  <c r="E816" i="9"/>
  <c r="D816" i="9"/>
  <c r="C816" i="9"/>
  <c r="B816" i="9"/>
  <c r="A816" i="9"/>
  <c r="M815" i="9"/>
  <c r="L815" i="9"/>
  <c r="K815" i="9"/>
  <c r="J815" i="9"/>
  <c r="I815" i="9"/>
  <c r="H815" i="9"/>
  <c r="G815" i="9"/>
  <c r="F815" i="9"/>
  <c r="E815" i="9"/>
  <c r="D815" i="9"/>
  <c r="C815" i="9"/>
  <c r="B815" i="9"/>
  <c r="A815" i="9"/>
  <c r="M814" i="9"/>
  <c r="L814" i="9"/>
  <c r="K814" i="9"/>
  <c r="J814" i="9"/>
  <c r="I814" i="9"/>
  <c r="H814" i="9"/>
  <c r="G814" i="9"/>
  <c r="F814" i="9"/>
  <c r="E814" i="9"/>
  <c r="D814" i="9"/>
  <c r="C814" i="9"/>
  <c r="B814" i="9"/>
  <c r="A814" i="9"/>
  <c r="M813" i="9"/>
  <c r="L813" i="9"/>
  <c r="K813" i="9"/>
  <c r="J813" i="9"/>
  <c r="I813" i="9"/>
  <c r="H813" i="9"/>
  <c r="G813" i="9"/>
  <c r="F813" i="9"/>
  <c r="E813" i="9"/>
  <c r="D813" i="9"/>
  <c r="C813" i="9"/>
  <c r="B813" i="9"/>
  <c r="A813" i="9"/>
  <c r="M812" i="9"/>
  <c r="L812" i="9"/>
  <c r="K812" i="9"/>
  <c r="J812" i="9"/>
  <c r="I812" i="9"/>
  <c r="H812" i="9"/>
  <c r="G812" i="9"/>
  <c r="F812" i="9"/>
  <c r="E812" i="9"/>
  <c r="D812" i="9"/>
  <c r="C812" i="9"/>
  <c r="B812" i="9"/>
  <c r="A812" i="9"/>
  <c r="M811" i="9"/>
  <c r="L811" i="9"/>
  <c r="K811" i="9"/>
  <c r="J811" i="9"/>
  <c r="I811" i="9"/>
  <c r="H811" i="9"/>
  <c r="G811" i="9"/>
  <c r="F811" i="9"/>
  <c r="E811" i="9"/>
  <c r="D811" i="9"/>
  <c r="C811" i="9"/>
  <c r="B811" i="9"/>
  <c r="A811" i="9"/>
  <c r="M810" i="9"/>
  <c r="L810" i="9"/>
  <c r="K810" i="9"/>
  <c r="J810" i="9"/>
  <c r="I810" i="9"/>
  <c r="H810" i="9"/>
  <c r="G810" i="9"/>
  <c r="F810" i="9"/>
  <c r="E810" i="9"/>
  <c r="D810" i="9"/>
  <c r="C810" i="9"/>
  <c r="B810" i="9"/>
  <c r="A810" i="9"/>
  <c r="M809" i="9"/>
  <c r="L809" i="9"/>
  <c r="K809" i="9"/>
  <c r="J809" i="9"/>
  <c r="I809" i="9"/>
  <c r="H809" i="9"/>
  <c r="G809" i="9"/>
  <c r="F809" i="9"/>
  <c r="E809" i="9"/>
  <c r="D809" i="9"/>
  <c r="C809" i="9"/>
  <c r="B809" i="9"/>
  <c r="A809" i="9"/>
  <c r="M808" i="9"/>
  <c r="L808" i="9"/>
  <c r="K808" i="9"/>
  <c r="J808" i="9"/>
  <c r="I808" i="9"/>
  <c r="H808" i="9"/>
  <c r="G808" i="9"/>
  <c r="F808" i="9"/>
  <c r="E808" i="9"/>
  <c r="D808" i="9"/>
  <c r="C808" i="9"/>
  <c r="B808" i="9"/>
  <c r="A808" i="9"/>
  <c r="M807" i="9"/>
  <c r="L807" i="9"/>
  <c r="K807" i="9"/>
  <c r="J807" i="9"/>
  <c r="I807" i="9"/>
  <c r="H807" i="9"/>
  <c r="G807" i="9"/>
  <c r="F807" i="9"/>
  <c r="E807" i="9"/>
  <c r="D807" i="9"/>
  <c r="C807" i="9"/>
  <c r="B807" i="9"/>
  <c r="A807" i="9"/>
  <c r="M806" i="9"/>
  <c r="L806" i="9"/>
  <c r="K806" i="9"/>
  <c r="J806" i="9"/>
  <c r="I806" i="9"/>
  <c r="H806" i="9"/>
  <c r="G806" i="9"/>
  <c r="F806" i="9"/>
  <c r="E806" i="9"/>
  <c r="D806" i="9"/>
  <c r="C806" i="9"/>
  <c r="B806" i="9"/>
  <c r="A806" i="9"/>
  <c r="M805" i="9"/>
  <c r="L805" i="9"/>
  <c r="K805" i="9"/>
  <c r="J805" i="9"/>
  <c r="I805" i="9"/>
  <c r="H805" i="9"/>
  <c r="G805" i="9"/>
  <c r="F805" i="9"/>
  <c r="E805" i="9"/>
  <c r="D805" i="9"/>
  <c r="C805" i="9"/>
  <c r="B805" i="9"/>
  <c r="A805" i="9"/>
  <c r="M804" i="9"/>
  <c r="L804" i="9"/>
  <c r="K804" i="9"/>
  <c r="J804" i="9"/>
  <c r="I804" i="9"/>
  <c r="H804" i="9"/>
  <c r="G804" i="9"/>
  <c r="F804" i="9"/>
  <c r="E804" i="9"/>
  <c r="D804" i="9"/>
  <c r="C804" i="9"/>
  <c r="B804" i="9"/>
  <c r="A804" i="9"/>
  <c r="M803" i="9"/>
  <c r="L803" i="9"/>
  <c r="K803" i="9"/>
  <c r="J803" i="9"/>
  <c r="I803" i="9"/>
  <c r="H803" i="9"/>
  <c r="G803" i="9"/>
  <c r="F803" i="9"/>
  <c r="E803" i="9"/>
  <c r="D803" i="9"/>
  <c r="C803" i="9"/>
  <c r="B803" i="9"/>
  <c r="A803" i="9"/>
  <c r="M802" i="9"/>
  <c r="L802" i="9"/>
  <c r="K802" i="9"/>
  <c r="J802" i="9"/>
  <c r="I802" i="9"/>
  <c r="H802" i="9"/>
  <c r="G802" i="9"/>
  <c r="F802" i="9"/>
  <c r="E802" i="9"/>
  <c r="D802" i="9"/>
  <c r="C802" i="9"/>
  <c r="B802" i="9"/>
  <c r="A802" i="9"/>
  <c r="M801" i="9"/>
  <c r="L801" i="9"/>
  <c r="K801" i="9"/>
  <c r="J801" i="9"/>
  <c r="I801" i="9"/>
  <c r="H801" i="9"/>
  <c r="G801" i="9"/>
  <c r="F801" i="9"/>
  <c r="E801" i="9"/>
  <c r="D801" i="9"/>
  <c r="C801" i="9"/>
  <c r="B801" i="9"/>
  <c r="A801" i="9"/>
  <c r="M800" i="9"/>
  <c r="L800" i="9"/>
  <c r="K800" i="9"/>
  <c r="J800" i="9"/>
  <c r="I800" i="9"/>
  <c r="H800" i="9"/>
  <c r="G800" i="9"/>
  <c r="F800" i="9"/>
  <c r="E800" i="9"/>
  <c r="D800" i="9"/>
  <c r="C800" i="9"/>
  <c r="B800" i="9"/>
  <c r="A800" i="9"/>
  <c r="M799" i="9"/>
  <c r="L799" i="9"/>
  <c r="K799" i="9"/>
  <c r="J799" i="9"/>
  <c r="I799" i="9"/>
  <c r="H799" i="9"/>
  <c r="G799" i="9"/>
  <c r="F799" i="9"/>
  <c r="E799" i="9"/>
  <c r="D799" i="9"/>
  <c r="C799" i="9"/>
  <c r="B799" i="9"/>
  <c r="A799" i="9"/>
  <c r="M798" i="9"/>
  <c r="L798" i="9"/>
  <c r="K798" i="9"/>
  <c r="J798" i="9"/>
  <c r="I798" i="9"/>
  <c r="H798" i="9"/>
  <c r="G798" i="9"/>
  <c r="F798" i="9"/>
  <c r="E798" i="9"/>
  <c r="D798" i="9"/>
  <c r="C798" i="9"/>
  <c r="B798" i="9"/>
  <c r="A798" i="9"/>
  <c r="M797" i="9"/>
  <c r="L797" i="9"/>
  <c r="K797" i="9"/>
  <c r="J797" i="9"/>
  <c r="I797" i="9"/>
  <c r="H797" i="9"/>
  <c r="G797" i="9"/>
  <c r="F797" i="9"/>
  <c r="E797" i="9"/>
  <c r="D797" i="9"/>
  <c r="C797" i="9"/>
  <c r="B797" i="9"/>
  <c r="A797" i="9"/>
  <c r="M796" i="9"/>
  <c r="L796" i="9"/>
  <c r="K796" i="9"/>
  <c r="J796" i="9"/>
  <c r="I796" i="9"/>
  <c r="H796" i="9"/>
  <c r="G796" i="9"/>
  <c r="F796" i="9"/>
  <c r="E796" i="9"/>
  <c r="D796" i="9"/>
  <c r="C796" i="9"/>
  <c r="B796" i="9"/>
  <c r="A796" i="9"/>
  <c r="M795" i="9"/>
  <c r="L795" i="9"/>
  <c r="K795" i="9"/>
  <c r="J795" i="9"/>
  <c r="I795" i="9"/>
  <c r="H795" i="9"/>
  <c r="G795" i="9"/>
  <c r="F795" i="9"/>
  <c r="E795" i="9"/>
  <c r="D795" i="9"/>
  <c r="C795" i="9"/>
  <c r="B795" i="9"/>
  <c r="A795" i="9"/>
  <c r="M794" i="9"/>
  <c r="L794" i="9"/>
  <c r="K794" i="9"/>
  <c r="J794" i="9"/>
  <c r="I794" i="9"/>
  <c r="H794" i="9"/>
  <c r="G794" i="9"/>
  <c r="F794" i="9"/>
  <c r="E794" i="9"/>
  <c r="D794" i="9"/>
  <c r="C794" i="9"/>
  <c r="B794" i="9"/>
  <c r="A794" i="9"/>
  <c r="M793" i="9"/>
  <c r="L793" i="9"/>
  <c r="K793" i="9"/>
  <c r="J793" i="9"/>
  <c r="I793" i="9"/>
  <c r="H793" i="9"/>
  <c r="G793" i="9"/>
  <c r="F793" i="9"/>
  <c r="E793" i="9"/>
  <c r="D793" i="9"/>
  <c r="C793" i="9"/>
  <c r="B793" i="9"/>
  <c r="A793" i="9"/>
  <c r="M792" i="9"/>
  <c r="L792" i="9"/>
  <c r="K792" i="9"/>
  <c r="J792" i="9"/>
  <c r="I792" i="9"/>
  <c r="H792" i="9"/>
  <c r="G792" i="9"/>
  <c r="F792" i="9"/>
  <c r="E792" i="9"/>
  <c r="D792" i="9"/>
  <c r="C792" i="9"/>
  <c r="B792" i="9"/>
  <c r="A792" i="9"/>
  <c r="M791" i="9"/>
  <c r="L791" i="9"/>
  <c r="K791" i="9"/>
  <c r="J791" i="9"/>
  <c r="I791" i="9"/>
  <c r="H791" i="9"/>
  <c r="G791" i="9"/>
  <c r="F791" i="9"/>
  <c r="E791" i="9"/>
  <c r="D791" i="9"/>
  <c r="C791" i="9"/>
  <c r="B791" i="9"/>
  <c r="A791" i="9"/>
  <c r="M790" i="9"/>
  <c r="L790" i="9"/>
  <c r="K790" i="9"/>
  <c r="J790" i="9"/>
  <c r="I790" i="9"/>
  <c r="H790" i="9"/>
  <c r="G790" i="9"/>
  <c r="F790" i="9"/>
  <c r="E790" i="9"/>
  <c r="D790" i="9"/>
  <c r="C790" i="9"/>
  <c r="B790" i="9"/>
  <c r="A790" i="9"/>
  <c r="M789" i="9"/>
  <c r="L789" i="9"/>
  <c r="K789" i="9"/>
  <c r="J789" i="9"/>
  <c r="I789" i="9"/>
  <c r="H789" i="9"/>
  <c r="G789" i="9"/>
  <c r="F789" i="9"/>
  <c r="E789" i="9"/>
  <c r="D789" i="9"/>
  <c r="C789" i="9"/>
  <c r="B789" i="9"/>
  <c r="A789" i="9"/>
  <c r="M788" i="9"/>
  <c r="L788" i="9"/>
  <c r="K788" i="9"/>
  <c r="J788" i="9"/>
  <c r="I788" i="9"/>
  <c r="H788" i="9"/>
  <c r="G788" i="9"/>
  <c r="F788" i="9"/>
  <c r="E788" i="9"/>
  <c r="D788" i="9"/>
  <c r="C788" i="9"/>
  <c r="B788" i="9"/>
  <c r="A788" i="9"/>
  <c r="M787" i="9"/>
  <c r="L787" i="9"/>
  <c r="K787" i="9"/>
  <c r="J787" i="9"/>
  <c r="I787" i="9"/>
  <c r="H787" i="9"/>
  <c r="G787" i="9"/>
  <c r="F787" i="9"/>
  <c r="E787" i="9"/>
  <c r="D787" i="9"/>
  <c r="C787" i="9"/>
  <c r="B787" i="9"/>
  <c r="A787" i="9"/>
  <c r="M786" i="9"/>
  <c r="L786" i="9"/>
  <c r="K786" i="9"/>
  <c r="J786" i="9"/>
  <c r="I786" i="9"/>
  <c r="H786" i="9"/>
  <c r="G786" i="9"/>
  <c r="F786" i="9"/>
  <c r="E786" i="9"/>
  <c r="D786" i="9"/>
  <c r="C786" i="9"/>
  <c r="B786" i="9"/>
  <c r="A786" i="9"/>
  <c r="M785" i="9"/>
  <c r="L785" i="9"/>
  <c r="K785" i="9"/>
  <c r="J785" i="9"/>
  <c r="I785" i="9"/>
  <c r="H785" i="9"/>
  <c r="G785" i="9"/>
  <c r="F785" i="9"/>
  <c r="E785" i="9"/>
  <c r="D785" i="9"/>
  <c r="C785" i="9"/>
  <c r="B785" i="9"/>
  <c r="A785" i="9"/>
  <c r="M784" i="9"/>
  <c r="L784" i="9"/>
  <c r="K784" i="9"/>
  <c r="J784" i="9"/>
  <c r="I784" i="9"/>
  <c r="H784" i="9"/>
  <c r="G784" i="9"/>
  <c r="F784" i="9"/>
  <c r="E784" i="9"/>
  <c r="D784" i="9"/>
  <c r="C784" i="9"/>
  <c r="B784" i="9"/>
  <c r="A784" i="9"/>
  <c r="M783" i="9"/>
  <c r="L783" i="9"/>
  <c r="K783" i="9"/>
  <c r="J783" i="9"/>
  <c r="I783" i="9"/>
  <c r="H783" i="9"/>
  <c r="G783" i="9"/>
  <c r="F783" i="9"/>
  <c r="E783" i="9"/>
  <c r="D783" i="9"/>
  <c r="C783" i="9"/>
  <c r="B783" i="9"/>
  <c r="A783" i="9"/>
  <c r="M782" i="9"/>
  <c r="L782" i="9"/>
  <c r="K782" i="9"/>
  <c r="J782" i="9"/>
  <c r="I782" i="9"/>
  <c r="H782" i="9"/>
  <c r="G782" i="9"/>
  <c r="F782" i="9"/>
  <c r="E782" i="9"/>
  <c r="D782" i="9"/>
  <c r="C782" i="9"/>
  <c r="B782" i="9"/>
  <c r="A782" i="9"/>
  <c r="M781" i="9"/>
  <c r="L781" i="9"/>
  <c r="K781" i="9"/>
  <c r="J781" i="9"/>
  <c r="I781" i="9"/>
  <c r="H781" i="9"/>
  <c r="G781" i="9"/>
  <c r="F781" i="9"/>
  <c r="E781" i="9"/>
  <c r="D781" i="9"/>
  <c r="C781" i="9"/>
  <c r="B781" i="9"/>
  <c r="A781" i="9"/>
  <c r="M780" i="9"/>
  <c r="L780" i="9"/>
  <c r="K780" i="9"/>
  <c r="J780" i="9"/>
  <c r="I780" i="9"/>
  <c r="H780" i="9"/>
  <c r="G780" i="9"/>
  <c r="F780" i="9"/>
  <c r="E780" i="9"/>
  <c r="D780" i="9"/>
  <c r="C780" i="9"/>
  <c r="B780" i="9"/>
  <c r="A780" i="9"/>
  <c r="M779" i="9"/>
  <c r="L779" i="9"/>
  <c r="K779" i="9"/>
  <c r="J779" i="9"/>
  <c r="I779" i="9"/>
  <c r="H779" i="9"/>
  <c r="G779" i="9"/>
  <c r="F779" i="9"/>
  <c r="E779" i="9"/>
  <c r="D779" i="9"/>
  <c r="C779" i="9"/>
  <c r="B779" i="9"/>
  <c r="A779" i="9"/>
  <c r="M778" i="9"/>
  <c r="L778" i="9"/>
  <c r="K778" i="9"/>
  <c r="J778" i="9"/>
  <c r="I778" i="9"/>
  <c r="H778" i="9"/>
  <c r="G778" i="9"/>
  <c r="F778" i="9"/>
  <c r="E778" i="9"/>
  <c r="D778" i="9"/>
  <c r="C778" i="9"/>
  <c r="B778" i="9"/>
  <c r="A778" i="9"/>
  <c r="M777" i="9"/>
  <c r="L777" i="9"/>
  <c r="K777" i="9"/>
  <c r="J777" i="9"/>
  <c r="I777" i="9"/>
  <c r="H777" i="9"/>
  <c r="G777" i="9"/>
  <c r="F777" i="9"/>
  <c r="E777" i="9"/>
  <c r="D777" i="9"/>
  <c r="C777" i="9"/>
  <c r="B777" i="9"/>
  <c r="A777" i="9"/>
  <c r="M776" i="9"/>
  <c r="L776" i="9"/>
  <c r="K776" i="9"/>
  <c r="J776" i="9"/>
  <c r="I776" i="9"/>
  <c r="H776" i="9"/>
  <c r="G776" i="9"/>
  <c r="F776" i="9"/>
  <c r="E776" i="9"/>
  <c r="D776" i="9"/>
  <c r="C776" i="9"/>
  <c r="B776" i="9"/>
  <c r="A776" i="9"/>
  <c r="M775" i="9"/>
  <c r="L775" i="9"/>
  <c r="K775" i="9"/>
  <c r="J775" i="9"/>
  <c r="I775" i="9"/>
  <c r="H775" i="9"/>
  <c r="G775" i="9"/>
  <c r="F775" i="9"/>
  <c r="E775" i="9"/>
  <c r="D775" i="9"/>
  <c r="C775" i="9"/>
  <c r="B775" i="9"/>
  <c r="A775" i="9"/>
  <c r="M774" i="9"/>
  <c r="L774" i="9"/>
  <c r="K774" i="9"/>
  <c r="J774" i="9"/>
  <c r="I774" i="9"/>
  <c r="H774" i="9"/>
  <c r="G774" i="9"/>
  <c r="F774" i="9"/>
  <c r="E774" i="9"/>
  <c r="D774" i="9"/>
  <c r="C774" i="9"/>
  <c r="B774" i="9"/>
  <c r="A774" i="9"/>
  <c r="M773" i="9"/>
  <c r="L773" i="9"/>
  <c r="K773" i="9"/>
  <c r="J773" i="9"/>
  <c r="I773" i="9"/>
  <c r="H773" i="9"/>
  <c r="G773" i="9"/>
  <c r="F773" i="9"/>
  <c r="E773" i="9"/>
  <c r="D773" i="9"/>
  <c r="C773" i="9"/>
  <c r="B773" i="9"/>
  <c r="A773" i="9"/>
  <c r="M772" i="9"/>
  <c r="L772" i="9"/>
  <c r="K772" i="9"/>
  <c r="J772" i="9"/>
  <c r="I772" i="9"/>
  <c r="H772" i="9"/>
  <c r="G772" i="9"/>
  <c r="F772" i="9"/>
  <c r="E772" i="9"/>
  <c r="D772" i="9"/>
  <c r="C772" i="9"/>
  <c r="B772" i="9"/>
  <c r="A772" i="9"/>
  <c r="M771" i="9"/>
  <c r="L771" i="9"/>
  <c r="K771" i="9"/>
  <c r="J771" i="9"/>
  <c r="I771" i="9"/>
  <c r="H771" i="9"/>
  <c r="G771" i="9"/>
  <c r="F771" i="9"/>
  <c r="E771" i="9"/>
  <c r="D771" i="9"/>
  <c r="C771" i="9"/>
  <c r="B771" i="9"/>
  <c r="A771" i="9"/>
  <c r="M770" i="9"/>
  <c r="L770" i="9"/>
  <c r="K770" i="9"/>
  <c r="J770" i="9"/>
  <c r="I770" i="9"/>
  <c r="H770" i="9"/>
  <c r="G770" i="9"/>
  <c r="F770" i="9"/>
  <c r="E770" i="9"/>
  <c r="D770" i="9"/>
  <c r="C770" i="9"/>
  <c r="B770" i="9"/>
  <c r="A770" i="9"/>
  <c r="M769" i="9"/>
  <c r="L769" i="9"/>
  <c r="K769" i="9"/>
  <c r="J769" i="9"/>
  <c r="I769" i="9"/>
  <c r="H769" i="9"/>
  <c r="G769" i="9"/>
  <c r="F769" i="9"/>
  <c r="E769" i="9"/>
  <c r="D769" i="9"/>
  <c r="C769" i="9"/>
  <c r="B769" i="9"/>
  <c r="A769" i="9"/>
  <c r="M768" i="9"/>
  <c r="L768" i="9"/>
  <c r="K768" i="9"/>
  <c r="J768" i="9"/>
  <c r="I768" i="9"/>
  <c r="H768" i="9"/>
  <c r="G768" i="9"/>
  <c r="F768" i="9"/>
  <c r="E768" i="9"/>
  <c r="D768" i="9"/>
  <c r="C768" i="9"/>
  <c r="B768" i="9"/>
  <c r="A768" i="9"/>
  <c r="M767" i="9"/>
  <c r="L767" i="9"/>
  <c r="K767" i="9"/>
  <c r="J767" i="9"/>
  <c r="I767" i="9"/>
  <c r="H767" i="9"/>
  <c r="G767" i="9"/>
  <c r="F767" i="9"/>
  <c r="E767" i="9"/>
  <c r="D767" i="9"/>
  <c r="C767" i="9"/>
  <c r="B767" i="9"/>
  <c r="A767" i="9"/>
  <c r="M766" i="9"/>
  <c r="L766" i="9"/>
  <c r="K766" i="9"/>
  <c r="J766" i="9"/>
  <c r="I766" i="9"/>
  <c r="H766" i="9"/>
  <c r="G766" i="9"/>
  <c r="F766" i="9"/>
  <c r="E766" i="9"/>
  <c r="D766" i="9"/>
  <c r="C766" i="9"/>
  <c r="B766" i="9"/>
  <c r="A766" i="9"/>
  <c r="M765" i="9"/>
  <c r="L765" i="9"/>
  <c r="K765" i="9"/>
  <c r="J765" i="9"/>
  <c r="I765" i="9"/>
  <c r="H765" i="9"/>
  <c r="G765" i="9"/>
  <c r="F765" i="9"/>
  <c r="E765" i="9"/>
  <c r="D765" i="9"/>
  <c r="C765" i="9"/>
  <c r="B765" i="9"/>
  <c r="A765" i="9"/>
  <c r="M764" i="9"/>
  <c r="L764" i="9"/>
  <c r="K764" i="9"/>
  <c r="J764" i="9"/>
  <c r="I764" i="9"/>
  <c r="H764" i="9"/>
  <c r="G764" i="9"/>
  <c r="F764" i="9"/>
  <c r="E764" i="9"/>
  <c r="D764" i="9"/>
  <c r="C764" i="9"/>
  <c r="B764" i="9"/>
  <c r="A764" i="9"/>
  <c r="M763" i="9"/>
  <c r="L763" i="9"/>
  <c r="K763" i="9"/>
  <c r="J763" i="9"/>
  <c r="I763" i="9"/>
  <c r="H763" i="9"/>
  <c r="G763" i="9"/>
  <c r="F763" i="9"/>
  <c r="E763" i="9"/>
  <c r="D763" i="9"/>
  <c r="C763" i="9"/>
  <c r="B763" i="9"/>
  <c r="A763" i="9"/>
  <c r="M762" i="9"/>
  <c r="L762" i="9"/>
  <c r="K762" i="9"/>
  <c r="J762" i="9"/>
  <c r="I762" i="9"/>
  <c r="H762" i="9"/>
  <c r="G762" i="9"/>
  <c r="F762" i="9"/>
  <c r="E762" i="9"/>
  <c r="D762" i="9"/>
  <c r="C762" i="9"/>
  <c r="B762" i="9"/>
  <c r="A762" i="9"/>
  <c r="M761" i="9"/>
  <c r="L761" i="9"/>
  <c r="K761" i="9"/>
  <c r="J761" i="9"/>
  <c r="I761" i="9"/>
  <c r="H761" i="9"/>
  <c r="G761" i="9"/>
  <c r="F761" i="9"/>
  <c r="E761" i="9"/>
  <c r="D761" i="9"/>
  <c r="C761" i="9"/>
  <c r="B761" i="9"/>
  <c r="A761" i="9"/>
  <c r="M760" i="9"/>
  <c r="L760" i="9"/>
  <c r="K760" i="9"/>
  <c r="J760" i="9"/>
  <c r="I760" i="9"/>
  <c r="H760" i="9"/>
  <c r="G760" i="9"/>
  <c r="F760" i="9"/>
  <c r="E760" i="9"/>
  <c r="D760" i="9"/>
  <c r="C760" i="9"/>
  <c r="B760" i="9"/>
  <c r="A760" i="9"/>
  <c r="M759" i="9"/>
  <c r="L759" i="9"/>
  <c r="K759" i="9"/>
  <c r="J759" i="9"/>
  <c r="I759" i="9"/>
  <c r="H759" i="9"/>
  <c r="G759" i="9"/>
  <c r="F759" i="9"/>
  <c r="E759" i="9"/>
  <c r="D759" i="9"/>
  <c r="C759" i="9"/>
  <c r="B759" i="9"/>
  <c r="A759" i="9"/>
  <c r="M758" i="9"/>
  <c r="L758" i="9"/>
  <c r="K758" i="9"/>
  <c r="J758" i="9"/>
  <c r="I758" i="9"/>
  <c r="H758" i="9"/>
  <c r="G758" i="9"/>
  <c r="F758" i="9"/>
  <c r="E758" i="9"/>
  <c r="D758" i="9"/>
  <c r="C758" i="9"/>
  <c r="B758" i="9"/>
  <c r="A758" i="9"/>
  <c r="M757" i="9"/>
  <c r="L757" i="9"/>
  <c r="K757" i="9"/>
  <c r="J757" i="9"/>
  <c r="I757" i="9"/>
  <c r="H757" i="9"/>
  <c r="G757" i="9"/>
  <c r="F757" i="9"/>
  <c r="E757" i="9"/>
  <c r="D757" i="9"/>
  <c r="C757" i="9"/>
  <c r="B757" i="9"/>
  <c r="A757" i="9"/>
  <c r="M756" i="9"/>
  <c r="L756" i="9"/>
  <c r="K756" i="9"/>
  <c r="J756" i="9"/>
  <c r="I756" i="9"/>
  <c r="H756" i="9"/>
  <c r="G756" i="9"/>
  <c r="F756" i="9"/>
  <c r="E756" i="9"/>
  <c r="D756" i="9"/>
  <c r="C756" i="9"/>
  <c r="B756" i="9"/>
  <c r="A756" i="9"/>
  <c r="M755" i="9"/>
  <c r="L755" i="9"/>
  <c r="K755" i="9"/>
  <c r="J755" i="9"/>
  <c r="I755" i="9"/>
  <c r="H755" i="9"/>
  <c r="G755" i="9"/>
  <c r="F755" i="9"/>
  <c r="E755" i="9"/>
  <c r="D755" i="9"/>
  <c r="C755" i="9"/>
  <c r="B755" i="9"/>
  <c r="A755" i="9"/>
  <c r="M754" i="9"/>
  <c r="L754" i="9"/>
  <c r="K754" i="9"/>
  <c r="J754" i="9"/>
  <c r="I754" i="9"/>
  <c r="H754" i="9"/>
  <c r="G754" i="9"/>
  <c r="F754" i="9"/>
  <c r="E754" i="9"/>
  <c r="D754" i="9"/>
  <c r="C754" i="9"/>
  <c r="B754" i="9"/>
  <c r="A754" i="9"/>
  <c r="M753" i="9"/>
  <c r="L753" i="9"/>
  <c r="K753" i="9"/>
  <c r="J753" i="9"/>
  <c r="I753" i="9"/>
  <c r="H753" i="9"/>
  <c r="G753" i="9"/>
  <c r="F753" i="9"/>
  <c r="E753" i="9"/>
  <c r="D753" i="9"/>
  <c r="C753" i="9"/>
  <c r="B753" i="9"/>
  <c r="A753" i="9"/>
  <c r="M752" i="9"/>
  <c r="L752" i="9"/>
  <c r="K752" i="9"/>
  <c r="J752" i="9"/>
  <c r="I752" i="9"/>
  <c r="H752" i="9"/>
  <c r="G752" i="9"/>
  <c r="F752" i="9"/>
  <c r="E752" i="9"/>
  <c r="D752" i="9"/>
  <c r="C752" i="9"/>
  <c r="B752" i="9"/>
  <c r="A752" i="9"/>
  <c r="M751" i="9"/>
  <c r="L751" i="9"/>
  <c r="K751" i="9"/>
  <c r="J751" i="9"/>
  <c r="I751" i="9"/>
  <c r="H751" i="9"/>
  <c r="G751" i="9"/>
  <c r="F751" i="9"/>
  <c r="E751" i="9"/>
  <c r="D751" i="9"/>
  <c r="C751" i="9"/>
  <c r="B751" i="9"/>
  <c r="A751" i="9"/>
  <c r="M750" i="9"/>
  <c r="L750" i="9"/>
  <c r="K750" i="9"/>
  <c r="J750" i="9"/>
  <c r="I750" i="9"/>
  <c r="H750" i="9"/>
  <c r="G750" i="9"/>
  <c r="F750" i="9"/>
  <c r="E750" i="9"/>
  <c r="D750" i="9"/>
  <c r="C750" i="9"/>
  <c r="B750" i="9"/>
  <c r="A750" i="9"/>
  <c r="M749" i="9"/>
  <c r="L749" i="9"/>
  <c r="K749" i="9"/>
  <c r="J749" i="9"/>
  <c r="I749" i="9"/>
  <c r="H749" i="9"/>
  <c r="G749" i="9"/>
  <c r="F749" i="9"/>
  <c r="E749" i="9"/>
  <c r="D749" i="9"/>
  <c r="C749" i="9"/>
  <c r="B749" i="9"/>
  <c r="A749" i="9"/>
  <c r="M748" i="9"/>
  <c r="L748" i="9"/>
  <c r="K748" i="9"/>
  <c r="J748" i="9"/>
  <c r="I748" i="9"/>
  <c r="H748" i="9"/>
  <c r="G748" i="9"/>
  <c r="F748" i="9"/>
  <c r="E748" i="9"/>
  <c r="D748" i="9"/>
  <c r="C748" i="9"/>
  <c r="B748" i="9"/>
  <c r="A748" i="9"/>
  <c r="M747" i="9"/>
  <c r="L747" i="9"/>
  <c r="K747" i="9"/>
  <c r="J747" i="9"/>
  <c r="I747" i="9"/>
  <c r="H747" i="9"/>
  <c r="G747" i="9"/>
  <c r="F747" i="9"/>
  <c r="E747" i="9"/>
  <c r="D747" i="9"/>
  <c r="C747" i="9"/>
  <c r="B747" i="9"/>
  <c r="A747" i="9"/>
  <c r="M746" i="9"/>
  <c r="L746" i="9"/>
  <c r="K746" i="9"/>
  <c r="J746" i="9"/>
  <c r="I746" i="9"/>
  <c r="H746" i="9"/>
  <c r="G746" i="9"/>
  <c r="F746" i="9"/>
  <c r="E746" i="9"/>
  <c r="D746" i="9"/>
  <c r="C746" i="9"/>
  <c r="B746" i="9"/>
  <c r="A746" i="9"/>
  <c r="M745" i="9"/>
  <c r="L745" i="9"/>
  <c r="K745" i="9"/>
  <c r="J745" i="9"/>
  <c r="I745" i="9"/>
  <c r="H745" i="9"/>
  <c r="G745" i="9"/>
  <c r="F745" i="9"/>
  <c r="E745" i="9"/>
  <c r="D745" i="9"/>
  <c r="C745" i="9"/>
  <c r="B745" i="9"/>
  <c r="A745" i="9"/>
  <c r="M744" i="9"/>
  <c r="L744" i="9"/>
  <c r="K744" i="9"/>
  <c r="J744" i="9"/>
  <c r="I744" i="9"/>
  <c r="H744" i="9"/>
  <c r="G744" i="9"/>
  <c r="F744" i="9"/>
  <c r="E744" i="9"/>
  <c r="D744" i="9"/>
  <c r="C744" i="9"/>
  <c r="B744" i="9"/>
  <c r="A744" i="9"/>
  <c r="M743" i="9"/>
  <c r="L743" i="9"/>
  <c r="K743" i="9"/>
  <c r="J743" i="9"/>
  <c r="I743" i="9"/>
  <c r="H743" i="9"/>
  <c r="G743" i="9"/>
  <c r="F743" i="9"/>
  <c r="E743" i="9"/>
  <c r="D743" i="9"/>
  <c r="C743" i="9"/>
  <c r="B743" i="9"/>
  <c r="A743" i="9"/>
  <c r="M742" i="9"/>
  <c r="L742" i="9"/>
  <c r="K742" i="9"/>
  <c r="J742" i="9"/>
  <c r="I742" i="9"/>
  <c r="H742" i="9"/>
  <c r="G742" i="9"/>
  <c r="F742" i="9"/>
  <c r="E742" i="9"/>
  <c r="D742" i="9"/>
  <c r="C742" i="9"/>
  <c r="B742" i="9"/>
  <c r="A742" i="9"/>
  <c r="M741" i="9"/>
  <c r="L741" i="9"/>
  <c r="K741" i="9"/>
  <c r="J741" i="9"/>
  <c r="I741" i="9"/>
  <c r="H741" i="9"/>
  <c r="G741" i="9"/>
  <c r="F741" i="9"/>
  <c r="E741" i="9"/>
  <c r="D741" i="9"/>
  <c r="C741" i="9"/>
  <c r="B741" i="9"/>
  <c r="A741" i="9"/>
  <c r="M740" i="9"/>
  <c r="L740" i="9"/>
  <c r="K740" i="9"/>
  <c r="J740" i="9"/>
  <c r="I740" i="9"/>
  <c r="H740" i="9"/>
  <c r="G740" i="9"/>
  <c r="F740" i="9"/>
  <c r="E740" i="9"/>
  <c r="D740" i="9"/>
  <c r="C740" i="9"/>
  <c r="B740" i="9"/>
  <c r="A740" i="9"/>
  <c r="M739" i="9"/>
  <c r="L739" i="9"/>
  <c r="K739" i="9"/>
  <c r="J739" i="9"/>
  <c r="I739" i="9"/>
  <c r="H739" i="9"/>
  <c r="G739" i="9"/>
  <c r="F739" i="9"/>
  <c r="E739" i="9"/>
  <c r="D739" i="9"/>
  <c r="C739" i="9"/>
  <c r="B739" i="9"/>
  <c r="A739" i="9"/>
  <c r="M738" i="9"/>
  <c r="L738" i="9"/>
  <c r="K738" i="9"/>
  <c r="J738" i="9"/>
  <c r="I738" i="9"/>
  <c r="H738" i="9"/>
  <c r="G738" i="9"/>
  <c r="F738" i="9"/>
  <c r="E738" i="9"/>
  <c r="D738" i="9"/>
  <c r="C738" i="9"/>
  <c r="B738" i="9"/>
  <c r="A738" i="9"/>
  <c r="M737" i="9"/>
  <c r="L737" i="9"/>
  <c r="K737" i="9"/>
  <c r="J737" i="9"/>
  <c r="I737" i="9"/>
  <c r="H737" i="9"/>
  <c r="G737" i="9"/>
  <c r="F737" i="9"/>
  <c r="E737" i="9"/>
  <c r="D737" i="9"/>
  <c r="C737" i="9"/>
  <c r="B737" i="9"/>
  <c r="A737" i="9"/>
  <c r="M736" i="9"/>
  <c r="L736" i="9"/>
  <c r="K736" i="9"/>
  <c r="J736" i="9"/>
  <c r="I736" i="9"/>
  <c r="H736" i="9"/>
  <c r="G736" i="9"/>
  <c r="F736" i="9"/>
  <c r="E736" i="9"/>
  <c r="D736" i="9"/>
  <c r="C736" i="9"/>
  <c r="B736" i="9"/>
  <c r="A736" i="9"/>
  <c r="M735" i="9"/>
  <c r="L735" i="9"/>
  <c r="K735" i="9"/>
  <c r="J735" i="9"/>
  <c r="I735" i="9"/>
  <c r="H735" i="9"/>
  <c r="G735" i="9"/>
  <c r="F735" i="9"/>
  <c r="E735" i="9"/>
  <c r="D735" i="9"/>
  <c r="C735" i="9"/>
  <c r="B735" i="9"/>
  <c r="A735" i="9"/>
  <c r="M734" i="9"/>
  <c r="L734" i="9"/>
  <c r="K734" i="9"/>
  <c r="J734" i="9"/>
  <c r="I734" i="9"/>
  <c r="H734" i="9"/>
  <c r="G734" i="9"/>
  <c r="F734" i="9"/>
  <c r="E734" i="9"/>
  <c r="D734" i="9"/>
  <c r="C734" i="9"/>
  <c r="B734" i="9"/>
  <c r="A734" i="9"/>
  <c r="M733" i="9"/>
  <c r="L733" i="9"/>
  <c r="K733" i="9"/>
  <c r="J733" i="9"/>
  <c r="I733" i="9"/>
  <c r="H733" i="9"/>
  <c r="G733" i="9"/>
  <c r="F733" i="9"/>
  <c r="E733" i="9"/>
  <c r="D733" i="9"/>
  <c r="C733" i="9"/>
  <c r="B733" i="9"/>
  <c r="A733" i="9"/>
  <c r="M732" i="9"/>
  <c r="L732" i="9"/>
  <c r="K732" i="9"/>
  <c r="J732" i="9"/>
  <c r="I732" i="9"/>
  <c r="H732" i="9"/>
  <c r="G732" i="9"/>
  <c r="F732" i="9"/>
  <c r="E732" i="9"/>
  <c r="D732" i="9"/>
  <c r="C732" i="9"/>
  <c r="B732" i="9"/>
  <c r="A732" i="9"/>
  <c r="M731" i="9"/>
  <c r="L731" i="9"/>
  <c r="K731" i="9"/>
  <c r="J731" i="9"/>
  <c r="I731" i="9"/>
  <c r="H731" i="9"/>
  <c r="G731" i="9"/>
  <c r="F731" i="9"/>
  <c r="E731" i="9"/>
  <c r="D731" i="9"/>
  <c r="C731" i="9"/>
  <c r="B731" i="9"/>
  <c r="A731" i="9"/>
  <c r="M730" i="9"/>
  <c r="L730" i="9"/>
  <c r="K730" i="9"/>
  <c r="J730" i="9"/>
  <c r="I730" i="9"/>
  <c r="H730" i="9"/>
  <c r="G730" i="9"/>
  <c r="F730" i="9"/>
  <c r="E730" i="9"/>
  <c r="D730" i="9"/>
  <c r="C730" i="9"/>
  <c r="B730" i="9"/>
  <c r="A730" i="9"/>
  <c r="M729" i="9"/>
  <c r="L729" i="9"/>
  <c r="K729" i="9"/>
  <c r="J729" i="9"/>
  <c r="I729" i="9"/>
  <c r="H729" i="9"/>
  <c r="G729" i="9"/>
  <c r="F729" i="9"/>
  <c r="E729" i="9"/>
  <c r="D729" i="9"/>
  <c r="C729" i="9"/>
  <c r="B729" i="9"/>
  <c r="A729" i="9"/>
  <c r="M728" i="9"/>
  <c r="L728" i="9"/>
  <c r="K728" i="9"/>
  <c r="J728" i="9"/>
  <c r="I728" i="9"/>
  <c r="H728" i="9"/>
  <c r="G728" i="9"/>
  <c r="F728" i="9"/>
  <c r="E728" i="9"/>
  <c r="D728" i="9"/>
  <c r="C728" i="9"/>
  <c r="B728" i="9"/>
  <c r="A728" i="9"/>
  <c r="M727" i="9"/>
  <c r="L727" i="9"/>
  <c r="K727" i="9"/>
  <c r="J727" i="9"/>
  <c r="I727" i="9"/>
  <c r="H727" i="9"/>
  <c r="G727" i="9"/>
  <c r="F727" i="9"/>
  <c r="E727" i="9"/>
  <c r="D727" i="9"/>
  <c r="C727" i="9"/>
  <c r="B727" i="9"/>
  <c r="A727" i="9"/>
  <c r="M726" i="9"/>
  <c r="L726" i="9"/>
  <c r="K726" i="9"/>
  <c r="J726" i="9"/>
  <c r="I726" i="9"/>
  <c r="H726" i="9"/>
  <c r="G726" i="9"/>
  <c r="F726" i="9"/>
  <c r="E726" i="9"/>
  <c r="D726" i="9"/>
  <c r="C726" i="9"/>
  <c r="B726" i="9"/>
  <c r="A726" i="9"/>
  <c r="M725" i="9"/>
  <c r="L725" i="9"/>
  <c r="K725" i="9"/>
  <c r="J725" i="9"/>
  <c r="I725" i="9"/>
  <c r="H725" i="9"/>
  <c r="G725" i="9"/>
  <c r="F725" i="9"/>
  <c r="E725" i="9"/>
  <c r="D725" i="9"/>
  <c r="C725" i="9"/>
  <c r="B725" i="9"/>
  <c r="A725" i="9"/>
  <c r="M724" i="9"/>
  <c r="L724" i="9"/>
  <c r="K724" i="9"/>
  <c r="J724" i="9"/>
  <c r="I724" i="9"/>
  <c r="H724" i="9"/>
  <c r="G724" i="9"/>
  <c r="F724" i="9"/>
  <c r="E724" i="9"/>
  <c r="D724" i="9"/>
  <c r="C724" i="9"/>
  <c r="B724" i="9"/>
  <c r="A724" i="9"/>
  <c r="M723" i="9"/>
  <c r="L723" i="9"/>
  <c r="K723" i="9"/>
  <c r="J723" i="9"/>
  <c r="I723" i="9"/>
  <c r="H723" i="9"/>
  <c r="G723" i="9"/>
  <c r="F723" i="9"/>
  <c r="E723" i="9"/>
  <c r="D723" i="9"/>
  <c r="C723" i="9"/>
  <c r="B723" i="9"/>
  <c r="A723" i="9"/>
  <c r="M722" i="9"/>
  <c r="L722" i="9"/>
  <c r="K722" i="9"/>
  <c r="J722" i="9"/>
  <c r="I722" i="9"/>
  <c r="H722" i="9"/>
  <c r="G722" i="9"/>
  <c r="F722" i="9"/>
  <c r="E722" i="9"/>
  <c r="D722" i="9"/>
  <c r="C722" i="9"/>
  <c r="B722" i="9"/>
  <c r="A722" i="9"/>
  <c r="M721" i="9"/>
  <c r="L721" i="9"/>
  <c r="K721" i="9"/>
  <c r="J721" i="9"/>
  <c r="I721" i="9"/>
  <c r="H721" i="9"/>
  <c r="G721" i="9"/>
  <c r="F721" i="9"/>
  <c r="E721" i="9"/>
  <c r="D721" i="9"/>
  <c r="C721" i="9"/>
  <c r="B721" i="9"/>
  <c r="A721" i="9"/>
  <c r="M720" i="9"/>
  <c r="L720" i="9"/>
  <c r="K720" i="9"/>
  <c r="J720" i="9"/>
  <c r="I720" i="9"/>
  <c r="H720" i="9"/>
  <c r="G720" i="9"/>
  <c r="F720" i="9"/>
  <c r="E720" i="9"/>
  <c r="D720" i="9"/>
  <c r="C720" i="9"/>
  <c r="B720" i="9"/>
  <c r="A720" i="9"/>
  <c r="M719" i="9"/>
  <c r="L719" i="9"/>
  <c r="K719" i="9"/>
  <c r="J719" i="9"/>
  <c r="I719" i="9"/>
  <c r="H719" i="9"/>
  <c r="G719" i="9"/>
  <c r="F719" i="9"/>
  <c r="E719" i="9"/>
  <c r="D719" i="9"/>
  <c r="C719" i="9"/>
  <c r="B719" i="9"/>
  <c r="A719" i="9"/>
  <c r="M718" i="9"/>
  <c r="L718" i="9"/>
  <c r="K718" i="9"/>
  <c r="J718" i="9"/>
  <c r="I718" i="9"/>
  <c r="H718" i="9"/>
  <c r="G718" i="9"/>
  <c r="F718" i="9"/>
  <c r="E718" i="9"/>
  <c r="D718" i="9"/>
  <c r="C718" i="9"/>
  <c r="B718" i="9"/>
  <c r="A718" i="9"/>
  <c r="M717" i="9"/>
  <c r="L717" i="9"/>
  <c r="K717" i="9"/>
  <c r="J717" i="9"/>
  <c r="I717" i="9"/>
  <c r="H717" i="9"/>
  <c r="G717" i="9"/>
  <c r="F717" i="9"/>
  <c r="E717" i="9"/>
  <c r="D717" i="9"/>
  <c r="C717" i="9"/>
  <c r="B717" i="9"/>
  <c r="A717" i="9"/>
  <c r="M716" i="9"/>
  <c r="L716" i="9"/>
  <c r="K716" i="9"/>
  <c r="J716" i="9"/>
  <c r="I716" i="9"/>
  <c r="H716" i="9"/>
  <c r="G716" i="9"/>
  <c r="F716" i="9"/>
  <c r="E716" i="9"/>
  <c r="D716" i="9"/>
  <c r="C716" i="9"/>
  <c r="B716" i="9"/>
  <c r="A716" i="9"/>
  <c r="M715" i="9"/>
  <c r="L715" i="9"/>
  <c r="K715" i="9"/>
  <c r="J715" i="9"/>
  <c r="I715" i="9"/>
  <c r="H715" i="9"/>
  <c r="G715" i="9"/>
  <c r="F715" i="9"/>
  <c r="E715" i="9"/>
  <c r="D715" i="9"/>
  <c r="C715" i="9"/>
  <c r="B715" i="9"/>
  <c r="A715" i="9"/>
  <c r="M714" i="9"/>
  <c r="L714" i="9"/>
  <c r="K714" i="9"/>
  <c r="J714" i="9"/>
  <c r="I714" i="9"/>
  <c r="H714" i="9"/>
  <c r="G714" i="9"/>
  <c r="F714" i="9"/>
  <c r="E714" i="9"/>
  <c r="D714" i="9"/>
  <c r="C714" i="9"/>
  <c r="B714" i="9"/>
  <c r="A714" i="9"/>
  <c r="M713" i="9"/>
  <c r="L713" i="9"/>
  <c r="K713" i="9"/>
  <c r="J713" i="9"/>
  <c r="I713" i="9"/>
  <c r="H713" i="9"/>
  <c r="G713" i="9"/>
  <c r="F713" i="9"/>
  <c r="E713" i="9"/>
  <c r="D713" i="9"/>
  <c r="C713" i="9"/>
  <c r="B713" i="9"/>
  <c r="A713" i="9"/>
  <c r="M712" i="9"/>
  <c r="L712" i="9"/>
  <c r="K712" i="9"/>
  <c r="J712" i="9"/>
  <c r="I712" i="9"/>
  <c r="H712" i="9"/>
  <c r="G712" i="9"/>
  <c r="F712" i="9"/>
  <c r="E712" i="9"/>
  <c r="D712" i="9"/>
  <c r="C712" i="9"/>
  <c r="B712" i="9"/>
  <c r="A712" i="9"/>
  <c r="M711" i="9"/>
  <c r="L711" i="9"/>
  <c r="K711" i="9"/>
  <c r="J711" i="9"/>
  <c r="I711" i="9"/>
  <c r="H711" i="9"/>
  <c r="G711" i="9"/>
  <c r="F711" i="9"/>
  <c r="E711" i="9"/>
  <c r="D711" i="9"/>
  <c r="C711" i="9"/>
  <c r="B711" i="9"/>
  <c r="A711" i="9"/>
  <c r="M710" i="9"/>
  <c r="L710" i="9"/>
  <c r="K710" i="9"/>
  <c r="J710" i="9"/>
  <c r="I710" i="9"/>
  <c r="H710" i="9"/>
  <c r="G710" i="9"/>
  <c r="F710" i="9"/>
  <c r="E710" i="9"/>
  <c r="D710" i="9"/>
  <c r="C710" i="9"/>
  <c r="B710" i="9"/>
  <c r="A710" i="9"/>
  <c r="M709" i="9"/>
  <c r="L709" i="9"/>
  <c r="K709" i="9"/>
  <c r="J709" i="9"/>
  <c r="I709" i="9"/>
  <c r="H709" i="9"/>
  <c r="G709" i="9"/>
  <c r="F709" i="9"/>
  <c r="E709" i="9"/>
  <c r="D709" i="9"/>
  <c r="C709" i="9"/>
  <c r="B709" i="9"/>
  <c r="A709" i="9"/>
  <c r="M708" i="9"/>
  <c r="L708" i="9"/>
  <c r="K708" i="9"/>
  <c r="J708" i="9"/>
  <c r="I708" i="9"/>
  <c r="H708" i="9"/>
  <c r="G708" i="9"/>
  <c r="F708" i="9"/>
  <c r="E708" i="9"/>
  <c r="D708" i="9"/>
  <c r="C708" i="9"/>
  <c r="B708" i="9"/>
  <c r="A708" i="9"/>
  <c r="M707" i="9"/>
  <c r="L707" i="9"/>
  <c r="K707" i="9"/>
  <c r="J707" i="9"/>
  <c r="I707" i="9"/>
  <c r="H707" i="9"/>
  <c r="G707" i="9"/>
  <c r="F707" i="9"/>
  <c r="E707" i="9"/>
  <c r="D707" i="9"/>
  <c r="C707" i="9"/>
  <c r="B707" i="9"/>
  <c r="A707" i="9"/>
  <c r="M706" i="9"/>
  <c r="L706" i="9"/>
  <c r="K706" i="9"/>
  <c r="J706" i="9"/>
  <c r="I706" i="9"/>
  <c r="H706" i="9"/>
  <c r="G706" i="9"/>
  <c r="F706" i="9"/>
  <c r="E706" i="9"/>
  <c r="D706" i="9"/>
  <c r="C706" i="9"/>
  <c r="B706" i="9"/>
  <c r="A706" i="9"/>
  <c r="M705" i="9"/>
  <c r="L705" i="9"/>
  <c r="K705" i="9"/>
  <c r="J705" i="9"/>
  <c r="I705" i="9"/>
  <c r="H705" i="9"/>
  <c r="G705" i="9"/>
  <c r="F705" i="9"/>
  <c r="E705" i="9"/>
  <c r="D705" i="9"/>
  <c r="C705" i="9"/>
  <c r="B705" i="9"/>
  <c r="A705" i="9"/>
  <c r="M704" i="9"/>
  <c r="L704" i="9"/>
  <c r="K704" i="9"/>
  <c r="J704" i="9"/>
  <c r="I704" i="9"/>
  <c r="H704" i="9"/>
  <c r="G704" i="9"/>
  <c r="F704" i="9"/>
  <c r="E704" i="9"/>
  <c r="D704" i="9"/>
  <c r="C704" i="9"/>
  <c r="B704" i="9"/>
  <c r="A704" i="9"/>
  <c r="M703" i="9"/>
  <c r="L703" i="9"/>
  <c r="K703" i="9"/>
  <c r="J703" i="9"/>
  <c r="I703" i="9"/>
  <c r="H703" i="9"/>
  <c r="G703" i="9"/>
  <c r="F703" i="9"/>
  <c r="E703" i="9"/>
  <c r="D703" i="9"/>
  <c r="C703" i="9"/>
  <c r="B703" i="9"/>
  <c r="A703" i="9"/>
  <c r="M702" i="9"/>
  <c r="L702" i="9"/>
  <c r="K702" i="9"/>
  <c r="J702" i="9"/>
  <c r="I702" i="9"/>
  <c r="H702" i="9"/>
  <c r="G702" i="9"/>
  <c r="F702" i="9"/>
  <c r="E702" i="9"/>
  <c r="D702" i="9"/>
  <c r="C702" i="9"/>
  <c r="B702" i="9"/>
  <c r="A702" i="9"/>
  <c r="M701" i="9"/>
  <c r="L701" i="9"/>
  <c r="K701" i="9"/>
  <c r="J701" i="9"/>
  <c r="I701" i="9"/>
  <c r="H701" i="9"/>
  <c r="G701" i="9"/>
  <c r="F701" i="9"/>
  <c r="E701" i="9"/>
  <c r="D701" i="9"/>
  <c r="C701" i="9"/>
  <c r="B701" i="9"/>
  <c r="A701" i="9"/>
  <c r="M700" i="9"/>
  <c r="L700" i="9"/>
  <c r="K700" i="9"/>
  <c r="J700" i="9"/>
  <c r="I700" i="9"/>
  <c r="H700" i="9"/>
  <c r="G700" i="9"/>
  <c r="F700" i="9"/>
  <c r="E700" i="9"/>
  <c r="D700" i="9"/>
  <c r="C700" i="9"/>
  <c r="B700" i="9"/>
  <c r="A700" i="9"/>
  <c r="M699" i="9"/>
  <c r="L699" i="9"/>
  <c r="K699" i="9"/>
  <c r="J699" i="9"/>
  <c r="I699" i="9"/>
  <c r="H699" i="9"/>
  <c r="G699" i="9"/>
  <c r="F699" i="9"/>
  <c r="E699" i="9"/>
  <c r="D699" i="9"/>
  <c r="C699" i="9"/>
  <c r="B699" i="9"/>
  <c r="A699" i="9"/>
  <c r="M698" i="9"/>
  <c r="L698" i="9"/>
  <c r="K698" i="9"/>
  <c r="J698" i="9"/>
  <c r="I698" i="9"/>
  <c r="H698" i="9"/>
  <c r="G698" i="9"/>
  <c r="F698" i="9"/>
  <c r="E698" i="9"/>
  <c r="D698" i="9"/>
  <c r="C698" i="9"/>
  <c r="B698" i="9"/>
  <c r="A698" i="9"/>
  <c r="M697" i="9"/>
  <c r="L697" i="9"/>
  <c r="K697" i="9"/>
  <c r="J697" i="9"/>
  <c r="I697" i="9"/>
  <c r="H697" i="9"/>
  <c r="G697" i="9"/>
  <c r="F697" i="9"/>
  <c r="E697" i="9"/>
  <c r="D697" i="9"/>
  <c r="C697" i="9"/>
  <c r="B697" i="9"/>
  <c r="A697" i="9"/>
  <c r="M696" i="9"/>
  <c r="L696" i="9"/>
  <c r="K696" i="9"/>
  <c r="J696" i="9"/>
  <c r="I696" i="9"/>
  <c r="H696" i="9"/>
  <c r="G696" i="9"/>
  <c r="F696" i="9"/>
  <c r="E696" i="9"/>
  <c r="D696" i="9"/>
  <c r="C696" i="9"/>
  <c r="B696" i="9"/>
  <c r="A696" i="9"/>
  <c r="M695" i="9"/>
  <c r="L695" i="9"/>
  <c r="K695" i="9"/>
  <c r="J695" i="9"/>
  <c r="I695" i="9"/>
  <c r="H695" i="9"/>
  <c r="G695" i="9"/>
  <c r="F695" i="9"/>
  <c r="E695" i="9"/>
  <c r="D695" i="9"/>
  <c r="C695" i="9"/>
  <c r="B695" i="9"/>
  <c r="A695" i="9"/>
  <c r="M694" i="9"/>
  <c r="L694" i="9"/>
  <c r="K694" i="9"/>
  <c r="J694" i="9"/>
  <c r="I694" i="9"/>
  <c r="H694" i="9"/>
  <c r="G694" i="9"/>
  <c r="F694" i="9"/>
  <c r="E694" i="9"/>
  <c r="D694" i="9"/>
  <c r="C694" i="9"/>
  <c r="B694" i="9"/>
  <c r="A694" i="9"/>
  <c r="M693" i="9"/>
  <c r="L693" i="9"/>
  <c r="K693" i="9"/>
  <c r="J693" i="9"/>
  <c r="I693" i="9"/>
  <c r="H693" i="9"/>
  <c r="G693" i="9"/>
  <c r="F693" i="9"/>
  <c r="E693" i="9"/>
  <c r="D693" i="9"/>
  <c r="C693" i="9"/>
  <c r="B693" i="9"/>
  <c r="A693" i="9"/>
  <c r="M692" i="9"/>
  <c r="L692" i="9"/>
  <c r="K692" i="9"/>
  <c r="J692" i="9"/>
  <c r="I692" i="9"/>
  <c r="H692" i="9"/>
  <c r="G692" i="9"/>
  <c r="F692" i="9"/>
  <c r="E692" i="9"/>
  <c r="D692" i="9"/>
  <c r="C692" i="9"/>
  <c r="B692" i="9"/>
  <c r="A692" i="9"/>
  <c r="M691" i="9"/>
  <c r="L691" i="9"/>
  <c r="K691" i="9"/>
  <c r="J691" i="9"/>
  <c r="I691" i="9"/>
  <c r="H691" i="9"/>
  <c r="G691" i="9"/>
  <c r="F691" i="9"/>
  <c r="E691" i="9"/>
  <c r="D691" i="9"/>
  <c r="C691" i="9"/>
  <c r="B691" i="9"/>
  <c r="A691" i="9"/>
  <c r="M690" i="9"/>
  <c r="L690" i="9"/>
  <c r="K690" i="9"/>
  <c r="J690" i="9"/>
  <c r="I690" i="9"/>
  <c r="H690" i="9"/>
  <c r="G690" i="9"/>
  <c r="F690" i="9"/>
  <c r="E690" i="9"/>
  <c r="D690" i="9"/>
  <c r="C690" i="9"/>
  <c r="B690" i="9"/>
  <c r="A690" i="9"/>
  <c r="M689" i="9"/>
  <c r="L689" i="9"/>
  <c r="K689" i="9"/>
  <c r="J689" i="9"/>
  <c r="I689" i="9"/>
  <c r="H689" i="9"/>
  <c r="G689" i="9"/>
  <c r="F689" i="9"/>
  <c r="E689" i="9"/>
  <c r="D689" i="9"/>
  <c r="C689" i="9"/>
  <c r="B689" i="9"/>
  <c r="A689" i="9"/>
  <c r="M688" i="9"/>
  <c r="L688" i="9"/>
  <c r="K688" i="9"/>
  <c r="J688" i="9"/>
  <c r="I688" i="9"/>
  <c r="H688" i="9"/>
  <c r="G688" i="9"/>
  <c r="F688" i="9"/>
  <c r="E688" i="9"/>
  <c r="D688" i="9"/>
  <c r="C688" i="9"/>
  <c r="B688" i="9"/>
  <c r="A688" i="9"/>
  <c r="M687" i="9"/>
  <c r="L687" i="9"/>
  <c r="K687" i="9"/>
  <c r="J687" i="9"/>
  <c r="I687" i="9"/>
  <c r="H687" i="9"/>
  <c r="G687" i="9"/>
  <c r="F687" i="9"/>
  <c r="E687" i="9"/>
  <c r="D687" i="9"/>
  <c r="C687" i="9"/>
  <c r="B687" i="9"/>
  <c r="A687" i="9"/>
  <c r="M686" i="9"/>
  <c r="L686" i="9"/>
  <c r="K686" i="9"/>
  <c r="J686" i="9"/>
  <c r="I686" i="9"/>
  <c r="H686" i="9"/>
  <c r="G686" i="9"/>
  <c r="F686" i="9"/>
  <c r="E686" i="9"/>
  <c r="D686" i="9"/>
  <c r="C686" i="9"/>
  <c r="B686" i="9"/>
  <c r="A686" i="9"/>
  <c r="M685" i="9"/>
  <c r="L685" i="9"/>
  <c r="K685" i="9"/>
  <c r="J685" i="9"/>
  <c r="I685" i="9"/>
  <c r="H685" i="9"/>
  <c r="G685" i="9"/>
  <c r="F685" i="9"/>
  <c r="E685" i="9"/>
  <c r="D685" i="9"/>
  <c r="C685" i="9"/>
  <c r="B685" i="9"/>
  <c r="A685" i="9"/>
  <c r="M684" i="9"/>
  <c r="L684" i="9"/>
  <c r="K684" i="9"/>
  <c r="J684" i="9"/>
  <c r="I684" i="9"/>
  <c r="H684" i="9"/>
  <c r="G684" i="9"/>
  <c r="F684" i="9"/>
  <c r="E684" i="9"/>
  <c r="D684" i="9"/>
  <c r="C684" i="9"/>
  <c r="B684" i="9"/>
  <c r="A684" i="9"/>
  <c r="M683" i="9"/>
  <c r="L683" i="9"/>
  <c r="K683" i="9"/>
  <c r="J683" i="9"/>
  <c r="I683" i="9"/>
  <c r="H683" i="9"/>
  <c r="G683" i="9"/>
  <c r="F683" i="9"/>
  <c r="E683" i="9"/>
  <c r="D683" i="9"/>
  <c r="C683" i="9"/>
  <c r="B683" i="9"/>
  <c r="A683" i="9"/>
  <c r="M682" i="9"/>
  <c r="L682" i="9"/>
  <c r="K682" i="9"/>
  <c r="J682" i="9"/>
  <c r="I682" i="9"/>
  <c r="H682" i="9"/>
  <c r="G682" i="9"/>
  <c r="F682" i="9"/>
  <c r="E682" i="9"/>
  <c r="D682" i="9"/>
  <c r="C682" i="9"/>
  <c r="B682" i="9"/>
  <c r="A682" i="9"/>
  <c r="M681" i="9"/>
  <c r="L681" i="9"/>
  <c r="K681" i="9"/>
  <c r="J681" i="9"/>
  <c r="I681" i="9"/>
  <c r="H681" i="9"/>
  <c r="G681" i="9"/>
  <c r="F681" i="9"/>
  <c r="E681" i="9"/>
  <c r="D681" i="9"/>
  <c r="C681" i="9"/>
  <c r="B681" i="9"/>
  <c r="A681" i="9"/>
  <c r="M680" i="9"/>
  <c r="L680" i="9"/>
  <c r="K680" i="9"/>
  <c r="J680" i="9"/>
  <c r="I680" i="9"/>
  <c r="H680" i="9"/>
  <c r="G680" i="9"/>
  <c r="F680" i="9"/>
  <c r="E680" i="9"/>
  <c r="D680" i="9"/>
  <c r="C680" i="9"/>
  <c r="B680" i="9"/>
  <c r="A680" i="9"/>
  <c r="M679" i="9"/>
  <c r="L679" i="9"/>
  <c r="K679" i="9"/>
  <c r="J679" i="9"/>
  <c r="I679" i="9"/>
  <c r="H679" i="9"/>
  <c r="G679" i="9"/>
  <c r="F679" i="9"/>
  <c r="E679" i="9"/>
  <c r="D679" i="9"/>
  <c r="C679" i="9"/>
  <c r="B679" i="9"/>
  <c r="A679" i="9"/>
  <c r="M678" i="9"/>
  <c r="L678" i="9"/>
  <c r="K678" i="9"/>
  <c r="J678" i="9"/>
  <c r="I678" i="9"/>
  <c r="H678" i="9"/>
  <c r="G678" i="9"/>
  <c r="F678" i="9"/>
  <c r="E678" i="9"/>
  <c r="D678" i="9"/>
  <c r="C678" i="9"/>
  <c r="B678" i="9"/>
  <c r="A678" i="9"/>
  <c r="M677" i="9"/>
  <c r="L677" i="9"/>
  <c r="K677" i="9"/>
  <c r="J677" i="9"/>
  <c r="I677" i="9"/>
  <c r="H677" i="9"/>
  <c r="G677" i="9"/>
  <c r="F677" i="9"/>
  <c r="E677" i="9"/>
  <c r="D677" i="9"/>
  <c r="C677" i="9"/>
  <c r="B677" i="9"/>
  <c r="A677" i="9"/>
  <c r="M676" i="9"/>
  <c r="L676" i="9"/>
  <c r="K676" i="9"/>
  <c r="J676" i="9"/>
  <c r="I676" i="9"/>
  <c r="H676" i="9"/>
  <c r="G676" i="9"/>
  <c r="F676" i="9"/>
  <c r="E676" i="9"/>
  <c r="D676" i="9"/>
  <c r="C676" i="9"/>
  <c r="B676" i="9"/>
  <c r="A676" i="9"/>
  <c r="M675" i="9"/>
  <c r="L675" i="9"/>
  <c r="K675" i="9"/>
  <c r="J675" i="9"/>
  <c r="I675" i="9"/>
  <c r="H675" i="9"/>
  <c r="G675" i="9"/>
  <c r="F675" i="9"/>
  <c r="E675" i="9"/>
  <c r="D675" i="9"/>
  <c r="C675" i="9"/>
  <c r="B675" i="9"/>
  <c r="A675" i="9"/>
  <c r="M674" i="9"/>
  <c r="L674" i="9"/>
  <c r="K674" i="9"/>
  <c r="J674" i="9"/>
  <c r="I674" i="9"/>
  <c r="H674" i="9"/>
  <c r="G674" i="9"/>
  <c r="F674" i="9"/>
  <c r="E674" i="9"/>
  <c r="D674" i="9"/>
  <c r="C674" i="9"/>
  <c r="B674" i="9"/>
  <c r="A674" i="9"/>
  <c r="M673" i="9"/>
  <c r="L673" i="9"/>
  <c r="K673" i="9"/>
  <c r="J673" i="9"/>
  <c r="I673" i="9"/>
  <c r="H673" i="9"/>
  <c r="G673" i="9"/>
  <c r="F673" i="9"/>
  <c r="E673" i="9"/>
  <c r="D673" i="9"/>
  <c r="C673" i="9"/>
  <c r="B673" i="9"/>
  <c r="A673" i="9"/>
  <c r="M672" i="9"/>
  <c r="L672" i="9"/>
  <c r="K672" i="9"/>
  <c r="J672" i="9"/>
  <c r="I672" i="9"/>
  <c r="H672" i="9"/>
  <c r="G672" i="9"/>
  <c r="F672" i="9"/>
  <c r="E672" i="9"/>
  <c r="D672" i="9"/>
  <c r="C672" i="9"/>
  <c r="B672" i="9"/>
  <c r="A672" i="9"/>
  <c r="M671" i="9"/>
  <c r="L671" i="9"/>
  <c r="K671" i="9"/>
  <c r="J671" i="9"/>
  <c r="I671" i="9"/>
  <c r="H671" i="9"/>
  <c r="G671" i="9"/>
  <c r="F671" i="9"/>
  <c r="E671" i="9"/>
  <c r="D671" i="9"/>
  <c r="C671" i="9"/>
  <c r="B671" i="9"/>
  <c r="A671" i="9"/>
  <c r="M670" i="9"/>
  <c r="L670" i="9"/>
  <c r="K670" i="9"/>
  <c r="J670" i="9"/>
  <c r="I670" i="9"/>
  <c r="H670" i="9"/>
  <c r="G670" i="9"/>
  <c r="F670" i="9"/>
  <c r="E670" i="9"/>
  <c r="D670" i="9"/>
  <c r="C670" i="9"/>
  <c r="B670" i="9"/>
  <c r="A670" i="9"/>
  <c r="M669" i="9"/>
  <c r="L669" i="9"/>
  <c r="K669" i="9"/>
  <c r="J669" i="9"/>
  <c r="I669" i="9"/>
  <c r="H669" i="9"/>
  <c r="G669" i="9"/>
  <c r="F669" i="9"/>
  <c r="E669" i="9"/>
  <c r="D669" i="9"/>
  <c r="C669" i="9"/>
  <c r="B669" i="9"/>
  <c r="A669" i="9"/>
  <c r="M668" i="9"/>
  <c r="L668" i="9"/>
  <c r="K668" i="9"/>
  <c r="J668" i="9"/>
  <c r="I668" i="9"/>
  <c r="H668" i="9"/>
  <c r="G668" i="9"/>
  <c r="F668" i="9"/>
  <c r="E668" i="9"/>
  <c r="D668" i="9"/>
  <c r="C668" i="9"/>
  <c r="B668" i="9"/>
  <c r="A668" i="9"/>
  <c r="M667" i="9"/>
  <c r="L667" i="9"/>
  <c r="K667" i="9"/>
  <c r="J667" i="9"/>
  <c r="I667" i="9"/>
  <c r="H667" i="9"/>
  <c r="G667" i="9"/>
  <c r="F667" i="9"/>
  <c r="E667" i="9"/>
  <c r="D667" i="9"/>
  <c r="C667" i="9"/>
  <c r="B667" i="9"/>
  <c r="A667" i="9"/>
  <c r="M666" i="9"/>
  <c r="L666" i="9"/>
  <c r="K666" i="9"/>
  <c r="J666" i="9"/>
  <c r="I666" i="9"/>
  <c r="H666" i="9"/>
  <c r="G666" i="9"/>
  <c r="F666" i="9"/>
  <c r="E666" i="9"/>
  <c r="D666" i="9"/>
  <c r="C666" i="9"/>
  <c r="B666" i="9"/>
  <c r="A666" i="9"/>
  <c r="M665" i="9"/>
  <c r="L665" i="9"/>
  <c r="K665" i="9"/>
  <c r="J665" i="9"/>
  <c r="I665" i="9"/>
  <c r="H665" i="9"/>
  <c r="G665" i="9"/>
  <c r="F665" i="9"/>
  <c r="E665" i="9"/>
  <c r="D665" i="9"/>
  <c r="C665" i="9"/>
  <c r="B665" i="9"/>
  <c r="A665" i="9"/>
  <c r="M664" i="9"/>
  <c r="L664" i="9"/>
  <c r="K664" i="9"/>
  <c r="J664" i="9"/>
  <c r="I664" i="9"/>
  <c r="H664" i="9"/>
  <c r="G664" i="9"/>
  <c r="F664" i="9"/>
  <c r="E664" i="9"/>
  <c r="D664" i="9"/>
  <c r="C664" i="9"/>
  <c r="B664" i="9"/>
  <c r="A664" i="9"/>
  <c r="M663" i="9"/>
  <c r="L663" i="9"/>
  <c r="K663" i="9"/>
  <c r="J663" i="9"/>
  <c r="I663" i="9"/>
  <c r="H663" i="9"/>
  <c r="G663" i="9"/>
  <c r="F663" i="9"/>
  <c r="E663" i="9"/>
  <c r="D663" i="9"/>
  <c r="C663" i="9"/>
  <c r="B663" i="9"/>
  <c r="A663" i="9"/>
  <c r="M662" i="9"/>
  <c r="L662" i="9"/>
  <c r="K662" i="9"/>
  <c r="J662" i="9"/>
  <c r="I662" i="9"/>
  <c r="H662" i="9"/>
  <c r="G662" i="9"/>
  <c r="F662" i="9"/>
  <c r="E662" i="9"/>
  <c r="D662" i="9"/>
  <c r="C662" i="9"/>
  <c r="B662" i="9"/>
  <c r="A662" i="9"/>
  <c r="M661" i="9"/>
  <c r="L661" i="9"/>
  <c r="K661" i="9"/>
  <c r="J661" i="9"/>
  <c r="I661" i="9"/>
  <c r="H661" i="9"/>
  <c r="G661" i="9"/>
  <c r="F661" i="9"/>
  <c r="E661" i="9"/>
  <c r="D661" i="9"/>
  <c r="C661" i="9"/>
  <c r="B661" i="9"/>
  <c r="A661" i="9"/>
  <c r="M660" i="9"/>
  <c r="L660" i="9"/>
  <c r="K660" i="9"/>
  <c r="J660" i="9"/>
  <c r="I660" i="9"/>
  <c r="H660" i="9"/>
  <c r="G660" i="9"/>
  <c r="F660" i="9"/>
  <c r="E660" i="9"/>
  <c r="D660" i="9"/>
  <c r="C660" i="9"/>
  <c r="B660" i="9"/>
  <c r="A660" i="9"/>
  <c r="M659" i="9"/>
  <c r="L659" i="9"/>
  <c r="K659" i="9"/>
  <c r="J659" i="9"/>
  <c r="I659" i="9"/>
  <c r="H659" i="9"/>
  <c r="G659" i="9"/>
  <c r="F659" i="9"/>
  <c r="E659" i="9"/>
  <c r="D659" i="9"/>
  <c r="C659" i="9"/>
  <c r="B659" i="9"/>
  <c r="A659" i="9"/>
  <c r="M658" i="9"/>
  <c r="L658" i="9"/>
  <c r="K658" i="9"/>
  <c r="J658" i="9"/>
  <c r="I658" i="9"/>
  <c r="H658" i="9"/>
  <c r="G658" i="9"/>
  <c r="F658" i="9"/>
  <c r="E658" i="9"/>
  <c r="D658" i="9"/>
  <c r="C658" i="9"/>
  <c r="B658" i="9"/>
  <c r="A658" i="9"/>
  <c r="M657" i="9"/>
  <c r="L657" i="9"/>
  <c r="K657" i="9"/>
  <c r="J657" i="9"/>
  <c r="I657" i="9"/>
  <c r="H657" i="9"/>
  <c r="G657" i="9"/>
  <c r="F657" i="9"/>
  <c r="E657" i="9"/>
  <c r="D657" i="9"/>
  <c r="C657" i="9"/>
  <c r="B657" i="9"/>
  <c r="A657" i="9"/>
  <c r="M656" i="9"/>
  <c r="L656" i="9"/>
  <c r="K656" i="9"/>
  <c r="J656" i="9"/>
  <c r="I656" i="9"/>
  <c r="H656" i="9"/>
  <c r="G656" i="9"/>
  <c r="F656" i="9"/>
  <c r="E656" i="9"/>
  <c r="D656" i="9"/>
  <c r="C656" i="9"/>
  <c r="B656" i="9"/>
  <c r="A656" i="9"/>
  <c r="M655" i="9"/>
  <c r="L655" i="9"/>
  <c r="K655" i="9"/>
  <c r="J655" i="9"/>
  <c r="I655" i="9"/>
  <c r="H655" i="9"/>
  <c r="G655" i="9"/>
  <c r="F655" i="9"/>
  <c r="E655" i="9"/>
  <c r="D655" i="9"/>
  <c r="C655" i="9"/>
  <c r="B655" i="9"/>
  <c r="A655" i="9"/>
  <c r="M654" i="9"/>
  <c r="L654" i="9"/>
  <c r="K654" i="9"/>
  <c r="J654" i="9"/>
  <c r="I654" i="9"/>
  <c r="H654" i="9"/>
  <c r="G654" i="9"/>
  <c r="F654" i="9"/>
  <c r="E654" i="9"/>
  <c r="D654" i="9"/>
  <c r="C654" i="9"/>
  <c r="B654" i="9"/>
  <c r="A654" i="9"/>
  <c r="M653" i="9"/>
  <c r="L653" i="9"/>
  <c r="K653" i="9"/>
  <c r="J653" i="9"/>
  <c r="I653" i="9"/>
  <c r="H653" i="9"/>
  <c r="G653" i="9"/>
  <c r="F653" i="9"/>
  <c r="E653" i="9"/>
  <c r="D653" i="9"/>
  <c r="C653" i="9"/>
  <c r="B653" i="9"/>
  <c r="A653" i="9"/>
  <c r="M652" i="9"/>
  <c r="L652" i="9"/>
  <c r="K652" i="9"/>
  <c r="J652" i="9"/>
  <c r="I652" i="9"/>
  <c r="H652" i="9"/>
  <c r="G652" i="9"/>
  <c r="F652" i="9"/>
  <c r="E652" i="9"/>
  <c r="D652" i="9"/>
  <c r="C652" i="9"/>
  <c r="B652" i="9"/>
  <c r="A652" i="9"/>
  <c r="M651" i="9"/>
  <c r="L651" i="9"/>
  <c r="K651" i="9"/>
  <c r="J651" i="9"/>
  <c r="I651" i="9"/>
  <c r="H651" i="9"/>
  <c r="G651" i="9"/>
  <c r="F651" i="9"/>
  <c r="E651" i="9"/>
  <c r="D651" i="9"/>
  <c r="C651" i="9"/>
  <c r="B651" i="9"/>
  <c r="A651" i="9"/>
  <c r="M650" i="9"/>
  <c r="L650" i="9"/>
  <c r="K650" i="9"/>
  <c r="J650" i="9"/>
  <c r="I650" i="9"/>
  <c r="H650" i="9"/>
  <c r="G650" i="9"/>
  <c r="F650" i="9"/>
  <c r="E650" i="9"/>
  <c r="D650" i="9"/>
  <c r="C650" i="9"/>
  <c r="B650" i="9"/>
  <c r="A650" i="9"/>
  <c r="M649" i="9"/>
  <c r="L649" i="9"/>
  <c r="K649" i="9"/>
  <c r="J649" i="9"/>
  <c r="I649" i="9"/>
  <c r="H649" i="9"/>
  <c r="G649" i="9"/>
  <c r="F649" i="9"/>
  <c r="E649" i="9"/>
  <c r="D649" i="9"/>
  <c r="C649" i="9"/>
  <c r="B649" i="9"/>
  <c r="A649" i="9"/>
  <c r="M648" i="9"/>
  <c r="L648" i="9"/>
  <c r="K648" i="9"/>
  <c r="J648" i="9"/>
  <c r="I648" i="9"/>
  <c r="H648" i="9"/>
  <c r="G648" i="9"/>
  <c r="F648" i="9"/>
  <c r="E648" i="9"/>
  <c r="D648" i="9"/>
  <c r="C648" i="9"/>
  <c r="B648" i="9"/>
  <c r="A648" i="9"/>
  <c r="M647" i="9"/>
  <c r="L647" i="9"/>
  <c r="K647" i="9"/>
  <c r="J647" i="9"/>
  <c r="I647" i="9"/>
  <c r="H647" i="9"/>
  <c r="G647" i="9"/>
  <c r="F647" i="9"/>
  <c r="E647" i="9"/>
  <c r="D647" i="9"/>
  <c r="C647" i="9"/>
  <c r="B647" i="9"/>
  <c r="A647" i="9"/>
  <c r="M646" i="9"/>
  <c r="L646" i="9"/>
  <c r="K646" i="9"/>
  <c r="J646" i="9"/>
  <c r="I646" i="9"/>
  <c r="H646" i="9"/>
  <c r="G646" i="9"/>
  <c r="F646" i="9"/>
  <c r="E646" i="9"/>
  <c r="D646" i="9"/>
  <c r="C646" i="9"/>
  <c r="B646" i="9"/>
  <c r="A646" i="9"/>
  <c r="M645" i="9"/>
  <c r="L645" i="9"/>
  <c r="K645" i="9"/>
  <c r="J645" i="9"/>
  <c r="I645" i="9"/>
  <c r="H645" i="9"/>
  <c r="G645" i="9"/>
  <c r="F645" i="9"/>
  <c r="E645" i="9"/>
  <c r="D645" i="9"/>
  <c r="C645" i="9"/>
  <c r="B645" i="9"/>
  <c r="A645" i="9"/>
  <c r="M644" i="9"/>
  <c r="L644" i="9"/>
  <c r="K644" i="9"/>
  <c r="J644" i="9"/>
  <c r="I644" i="9"/>
  <c r="H644" i="9"/>
  <c r="G644" i="9"/>
  <c r="F644" i="9"/>
  <c r="E644" i="9"/>
  <c r="D644" i="9"/>
  <c r="C644" i="9"/>
  <c r="B644" i="9"/>
  <c r="A644" i="9"/>
  <c r="M643" i="9"/>
  <c r="L643" i="9"/>
  <c r="K643" i="9"/>
  <c r="J643" i="9"/>
  <c r="I643" i="9"/>
  <c r="H643" i="9"/>
  <c r="G643" i="9"/>
  <c r="F643" i="9"/>
  <c r="E643" i="9"/>
  <c r="D643" i="9"/>
  <c r="C643" i="9"/>
  <c r="B643" i="9"/>
  <c r="A643" i="9"/>
  <c r="M642" i="9"/>
  <c r="L642" i="9"/>
  <c r="K642" i="9"/>
  <c r="J642" i="9"/>
  <c r="I642" i="9"/>
  <c r="H642" i="9"/>
  <c r="G642" i="9"/>
  <c r="F642" i="9"/>
  <c r="E642" i="9"/>
  <c r="D642" i="9"/>
  <c r="C642" i="9"/>
  <c r="B642" i="9"/>
  <c r="A642" i="9"/>
  <c r="M641" i="9"/>
  <c r="L641" i="9"/>
  <c r="K641" i="9"/>
  <c r="J641" i="9"/>
  <c r="I641" i="9"/>
  <c r="H641" i="9"/>
  <c r="G641" i="9"/>
  <c r="F641" i="9"/>
  <c r="E641" i="9"/>
  <c r="D641" i="9"/>
  <c r="C641" i="9"/>
  <c r="B641" i="9"/>
  <c r="A641" i="9"/>
  <c r="M640" i="9"/>
  <c r="L640" i="9"/>
  <c r="K640" i="9"/>
  <c r="J640" i="9"/>
  <c r="I640" i="9"/>
  <c r="H640" i="9"/>
  <c r="G640" i="9"/>
  <c r="F640" i="9"/>
  <c r="E640" i="9"/>
  <c r="D640" i="9"/>
  <c r="C640" i="9"/>
  <c r="B640" i="9"/>
  <c r="A640" i="9"/>
  <c r="M639" i="9"/>
  <c r="L639" i="9"/>
  <c r="K639" i="9"/>
  <c r="J639" i="9"/>
  <c r="I639" i="9"/>
  <c r="H639" i="9"/>
  <c r="G639" i="9"/>
  <c r="F639" i="9"/>
  <c r="E639" i="9"/>
  <c r="D639" i="9"/>
  <c r="C639" i="9"/>
  <c r="B639" i="9"/>
  <c r="A639" i="9"/>
  <c r="M638" i="9"/>
  <c r="L638" i="9"/>
  <c r="K638" i="9"/>
  <c r="J638" i="9"/>
  <c r="I638" i="9"/>
  <c r="H638" i="9"/>
  <c r="G638" i="9"/>
  <c r="F638" i="9"/>
  <c r="E638" i="9"/>
  <c r="D638" i="9"/>
  <c r="C638" i="9"/>
  <c r="B638" i="9"/>
  <c r="A638" i="9"/>
  <c r="M637" i="9"/>
  <c r="L637" i="9"/>
  <c r="K637" i="9"/>
  <c r="J637" i="9"/>
  <c r="I637" i="9"/>
  <c r="H637" i="9"/>
  <c r="G637" i="9"/>
  <c r="F637" i="9"/>
  <c r="E637" i="9"/>
  <c r="D637" i="9"/>
  <c r="C637" i="9"/>
  <c r="B637" i="9"/>
  <c r="A637" i="9"/>
  <c r="M636" i="9"/>
  <c r="L636" i="9"/>
  <c r="K636" i="9"/>
  <c r="J636" i="9"/>
  <c r="I636" i="9"/>
  <c r="H636" i="9"/>
  <c r="G636" i="9"/>
  <c r="F636" i="9"/>
  <c r="E636" i="9"/>
  <c r="D636" i="9"/>
  <c r="C636" i="9"/>
  <c r="B636" i="9"/>
  <c r="A636" i="9"/>
  <c r="M635" i="9"/>
  <c r="L635" i="9"/>
  <c r="K635" i="9"/>
  <c r="J635" i="9"/>
  <c r="I635" i="9"/>
  <c r="H635" i="9"/>
  <c r="G635" i="9"/>
  <c r="F635" i="9"/>
  <c r="E635" i="9"/>
  <c r="D635" i="9"/>
  <c r="C635" i="9"/>
  <c r="B635" i="9"/>
  <c r="A635" i="9"/>
  <c r="M634" i="9"/>
  <c r="L634" i="9"/>
  <c r="K634" i="9"/>
  <c r="J634" i="9"/>
  <c r="I634" i="9"/>
  <c r="H634" i="9"/>
  <c r="G634" i="9"/>
  <c r="F634" i="9"/>
  <c r="E634" i="9"/>
  <c r="D634" i="9"/>
  <c r="C634" i="9"/>
  <c r="B634" i="9"/>
  <c r="A634" i="9"/>
  <c r="M633" i="9"/>
  <c r="L633" i="9"/>
  <c r="K633" i="9"/>
  <c r="J633" i="9"/>
  <c r="I633" i="9"/>
  <c r="H633" i="9"/>
  <c r="G633" i="9"/>
  <c r="F633" i="9"/>
  <c r="E633" i="9"/>
  <c r="D633" i="9"/>
  <c r="C633" i="9"/>
  <c r="B633" i="9"/>
  <c r="A633" i="9"/>
  <c r="M632" i="9"/>
  <c r="L632" i="9"/>
  <c r="K632" i="9"/>
  <c r="J632" i="9"/>
  <c r="I632" i="9"/>
  <c r="H632" i="9"/>
  <c r="G632" i="9"/>
  <c r="F632" i="9"/>
  <c r="E632" i="9"/>
  <c r="D632" i="9"/>
  <c r="C632" i="9"/>
  <c r="B632" i="9"/>
  <c r="A632" i="9"/>
  <c r="M631" i="9"/>
  <c r="L631" i="9"/>
  <c r="K631" i="9"/>
  <c r="J631" i="9"/>
  <c r="I631" i="9"/>
  <c r="H631" i="9"/>
  <c r="G631" i="9"/>
  <c r="F631" i="9"/>
  <c r="E631" i="9"/>
  <c r="D631" i="9"/>
  <c r="C631" i="9"/>
  <c r="B631" i="9"/>
  <c r="A631" i="9"/>
  <c r="M630" i="9"/>
  <c r="L630" i="9"/>
  <c r="K630" i="9"/>
  <c r="J630" i="9"/>
  <c r="I630" i="9"/>
  <c r="H630" i="9"/>
  <c r="G630" i="9"/>
  <c r="F630" i="9"/>
  <c r="E630" i="9"/>
  <c r="D630" i="9"/>
  <c r="C630" i="9"/>
  <c r="B630" i="9"/>
  <c r="A630" i="9"/>
  <c r="M629" i="9"/>
  <c r="L629" i="9"/>
  <c r="K629" i="9"/>
  <c r="J629" i="9"/>
  <c r="I629" i="9"/>
  <c r="H629" i="9"/>
  <c r="G629" i="9"/>
  <c r="F629" i="9"/>
  <c r="E629" i="9"/>
  <c r="D629" i="9"/>
  <c r="C629" i="9"/>
  <c r="B629" i="9"/>
  <c r="A629" i="9"/>
  <c r="M628" i="9"/>
  <c r="L628" i="9"/>
  <c r="K628" i="9"/>
  <c r="J628" i="9"/>
  <c r="I628" i="9"/>
  <c r="H628" i="9"/>
  <c r="G628" i="9"/>
  <c r="F628" i="9"/>
  <c r="E628" i="9"/>
  <c r="D628" i="9"/>
  <c r="C628" i="9"/>
  <c r="B628" i="9"/>
  <c r="A628" i="9"/>
  <c r="M627" i="9"/>
  <c r="L627" i="9"/>
  <c r="K627" i="9"/>
  <c r="J627" i="9"/>
  <c r="I627" i="9"/>
  <c r="H627" i="9"/>
  <c r="G627" i="9"/>
  <c r="F627" i="9"/>
  <c r="E627" i="9"/>
  <c r="D627" i="9"/>
  <c r="C627" i="9"/>
  <c r="B627" i="9"/>
  <c r="A627" i="9"/>
  <c r="M626" i="9"/>
  <c r="L626" i="9"/>
  <c r="K626" i="9"/>
  <c r="J626" i="9"/>
  <c r="I626" i="9"/>
  <c r="H626" i="9"/>
  <c r="G626" i="9"/>
  <c r="F626" i="9"/>
  <c r="E626" i="9"/>
  <c r="D626" i="9"/>
  <c r="C626" i="9"/>
  <c r="B626" i="9"/>
  <c r="A626" i="9"/>
  <c r="M625" i="9"/>
  <c r="L625" i="9"/>
  <c r="K625" i="9"/>
  <c r="J625" i="9"/>
  <c r="I625" i="9"/>
  <c r="H625" i="9"/>
  <c r="G625" i="9"/>
  <c r="F625" i="9"/>
  <c r="E625" i="9"/>
  <c r="D625" i="9"/>
  <c r="C625" i="9"/>
  <c r="B625" i="9"/>
  <c r="A625" i="9"/>
  <c r="M624" i="9"/>
  <c r="L624" i="9"/>
  <c r="K624" i="9"/>
  <c r="J624" i="9"/>
  <c r="I624" i="9"/>
  <c r="H624" i="9"/>
  <c r="G624" i="9"/>
  <c r="F624" i="9"/>
  <c r="E624" i="9"/>
  <c r="D624" i="9"/>
  <c r="C624" i="9"/>
  <c r="B624" i="9"/>
  <c r="A624" i="9"/>
  <c r="M623" i="9"/>
  <c r="L623" i="9"/>
  <c r="K623" i="9"/>
  <c r="J623" i="9"/>
  <c r="I623" i="9"/>
  <c r="H623" i="9"/>
  <c r="G623" i="9"/>
  <c r="F623" i="9"/>
  <c r="E623" i="9"/>
  <c r="D623" i="9"/>
  <c r="C623" i="9"/>
  <c r="B623" i="9"/>
  <c r="A623" i="9"/>
  <c r="M622" i="9"/>
  <c r="L622" i="9"/>
  <c r="K622" i="9"/>
  <c r="J622" i="9"/>
  <c r="I622" i="9"/>
  <c r="H622" i="9"/>
  <c r="G622" i="9"/>
  <c r="F622" i="9"/>
  <c r="E622" i="9"/>
  <c r="D622" i="9"/>
  <c r="C622" i="9"/>
  <c r="B622" i="9"/>
  <c r="A622" i="9"/>
  <c r="M621" i="9"/>
  <c r="L621" i="9"/>
  <c r="K621" i="9"/>
  <c r="J621" i="9"/>
  <c r="I621" i="9"/>
  <c r="H621" i="9"/>
  <c r="G621" i="9"/>
  <c r="F621" i="9"/>
  <c r="E621" i="9"/>
  <c r="D621" i="9"/>
  <c r="C621" i="9"/>
  <c r="B621" i="9"/>
  <c r="A621" i="9"/>
  <c r="M620" i="9"/>
  <c r="L620" i="9"/>
  <c r="K620" i="9"/>
  <c r="J620" i="9"/>
  <c r="I620" i="9"/>
  <c r="H620" i="9"/>
  <c r="G620" i="9"/>
  <c r="F620" i="9"/>
  <c r="E620" i="9"/>
  <c r="D620" i="9"/>
  <c r="C620" i="9"/>
  <c r="B620" i="9"/>
  <c r="A620" i="9"/>
  <c r="M619" i="9"/>
  <c r="L619" i="9"/>
  <c r="K619" i="9"/>
  <c r="J619" i="9"/>
  <c r="I619" i="9"/>
  <c r="H619" i="9"/>
  <c r="G619" i="9"/>
  <c r="F619" i="9"/>
  <c r="E619" i="9"/>
  <c r="D619" i="9"/>
  <c r="C619" i="9"/>
  <c r="B619" i="9"/>
  <c r="A619" i="9"/>
  <c r="M618" i="9"/>
  <c r="L618" i="9"/>
  <c r="K618" i="9"/>
  <c r="J618" i="9"/>
  <c r="I618" i="9"/>
  <c r="H618" i="9"/>
  <c r="G618" i="9"/>
  <c r="F618" i="9"/>
  <c r="E618" i="9"/>
  <c r="D618" i="9"/>
  <c r="C618" i="9"/>
  <c r="B618" i="9"/>
  <c r="A618" i="9"/>
  <c r="M617" i="9"/>
  <c r="L617" i="9"/>
  <c r="K617" i="9"/>
  <c r="J617" i="9"/>
  <c r="I617" i="9"/>
  <c r="H617" i="9"/>
  <c r="G617" i="9"/>
  <c r="F617" i="9"/>
  <c r="E617" i="9"/>
  <c r="D617" i="9"/>
  <c r="C617" i="9"/>
  <c r="B617" i="9"/>
  <c r="A617" i="9"/>
  <c r="M616" i="9"/>
  <c r="L616" i="9"/>
  <c r="K616" i="9"/>
  <c r="J616" i="9"/>
  <c r="I616" i="9"/>
  <c r="H616" i="9"/>
  <c r="G616" i="9"/>
  <c r="F616" i="9"/>
  <c r="E616" i="9"/>
  <c r="D616" i="9"/>
  <c r="C616" i="9"/>
  <c r="B616" i="9"/>
  <c r="A616" i="9"/>
  <c r="M615" i="9"/>
  <c r="L615" i="9"/>
  <c r="K615" i="9"/>
  <c r="J615" i="9"/>
  <c r="I615" i="9"/>
  <c r="H615" i="9"/>
  <c r="G615" i="9"/>
  <c r="F615" i="9"/>
  <c r="E615" i="9"/>
  <c r="D615" i="9"/>
  <c r="C615" i="9"/>
  <c r="B615" i="9"/>
  <c r="A615" i="9"/>
  <c r="M614" i="9"/>
  <c r="L614" i="9"/>
  <c r="K614" i="9"/>
  <c r="J614" i="9"/>
  <c r="I614" i="9"/>
  <c r="H614" i="9"/>
  <c r="G614" i="9"/>
  <c r="F614" i="9"/>
  <c r="E614" i="9"/>
  <c r="D614" i="9"/>
  <c r="C614" i="9"/>
  <c r="B614" i="9"/>
  <c r="A614" i="9"/>
  <c r="M613" i="9"/>
  <c r="L613" i="9"/>
  <c r="K613" i="9"/>
  <c r="J613" i="9"/>
  <c r="I613" i="9"/>
  <c r="H613" i="9"/>
  <c r="G613" i="9"/>
  <c r="F613" i="9"/>
  <c r="E613" i="9"/>
  <c r="D613" i="9"/>
  <c r="C613" i="9"/>
  <c r="B613" i="9"/>
  <c r="A613" i="9"/>
  <c r="M612" i="9"/>
  <c r="L612" i="9"/>
  <c r="K612" i="9"/>
  <c r="J612" i="9"/>
  <c r="I612" i="9"/>
  <c r="H612" i="9"/>
  <c r="G612" i="9"/>
  <c r="F612" i="9"/>
  <c r="E612" i="9"/>
  <c r="D612" i="9"/>
  <c r="C612" i="9"/>
  <c r="B612" i="9"/>
  <c r="A612" i="9"/>
  <c r="M611" i="9"/>
  <c r="L611" i="9"/>
  <c r="K611" i="9"/>
  <c r="J611" i="9"/>
  <c r="I611" i="9"/>
  <c r="H611" i="9"/>
  <c r="G611" i="9"/>
  <c r="F611" i="9"/>
  <c r="E611" i="9"/>
  <c r="D611" i="9"/>
  <c r="C611" i="9"/>
  <c r="B611" i="9"/>
  <c r="A611" i="9"/>
  <c r="M610" i="9"/>
  <c r="L610" i="9"/>
  <c r="K610" i="9"/>
  <c r="J610" i="9"/>
  <c r="I610" i="9"/>
  <c r="H610" i="9"/>
  <c r="G610" i="9"/>
  <c r="F610" i="9"/>
  <c r="E610" i="9"/>
  <c r="D610" i="9"/>
  <c r="C610" i="9"/>
  <c r="B610" i="9"/>
  <c r="A610" i="9"/>
  <c r="M609" i="9"/>
  <c r="L609" i="9"/>
  <c r="K609" i="9"/>
  <c r="J609" i="9"/>
  <c r="I609" i="9"/>
  <c r="H609" i="9"/>
  <c r="G609" i="9"/>
  <c r="F609" i="9"/>
  <c r="E609" i="9"/>
  <c r="D609" i="9"/>
  <c r="C609" i="9"/>
  <c r="B609" i="9"/>
  <c r="A609" i="9"/>
  <c r="M608" i="9"/>
  <c r="L608" i="9"/>
  <c r="K608" i="9"/>
  <c r="J608" i="9"/>
  <c r="I608" i="9"/>
  <c r="H608" i="9"/>
  <c r="G608" i="9"/>
  <c r="F608" i="9"/>
  <c r="E608" i="9"/>
  <c r="D608" i="9"/>
  <c r="C608" i="9"/>
  <c r="B608" i="9"/>
  <c r="A608" i="9"/>
  <c r="M607" i="9"/>
  <c r="L607" i="9"/>
  <c r="K607" i="9"/>
  <c r="J607" i="9"/>
  <c r="I607" i="9"/>
  <c r="H607" i="9"/>
  <c r="G607" i="9"/>
  <c r="F607" i="9"/>
  <c r="E607" i="9"/>
  <c r="D607" i="9"/>
  <c r="C607" i="9"/>
  <c r="B607" i="9"/>
  <c r="A607" i="9"/>
  <c r="M606" i="9"/>
  <c r="L606" i="9"/>
  <c r="K606" i="9"/>
  <c r="J606" i="9"/>
  <c r="I606" i="9"/>
  <c r="H606" i="9"/>
  <c r="G606" i="9"/>
  <c r="F606" i="9"/>
  <c r="E606" i="9"/>
  <c r="D606" i="9"/>
  <c r="C606" i="9"/>
  <c r="B606" i="9"/>
  <c r="A606" i="9"/>
  <c r="M605" i="9"/>
  <c r="L605" i="9"/>
  <c r="K605" i="9"/>
  <c r="J605" i="9"/>
  <c r="I605" i="9"/>
  <c r="H605" i="9"/>
  <c r="G605" i="9"/>
  <c r="F605" i="9"/>
  <c r="E605" i="9"/>
  <c r="D605" i="9"/>
  <c r="C605" i="9"/>
  <c r="B605" i="9"/>
  <c r="A605" i="9"/>
  <c r="M604" i="9"/>
  <c r="L604" i="9"/>
  <c r="K604" i="9"/>
  <c r="J604" i="9"/>
  <c r="I604" i="9"/>
  <c r="H604" i="9"/>
  <c r="G604" i="9"/>
  <c r="F604" i="9"/>
  <c r="E604" i="9"/>
  <c r="D604" i="9"/>
  <c r="C604" i="9"/>
  <c r="B604" i="9"/>
  <c r="A604" i="9"/>
  <c r="M603" i="9"/>
  <c r="L603" i="9"/>
  <c r="K603" i="9"/>
  <c r="J603" i="9"/>
  <c r="I603" i="9"/>
  <c r="H603" i="9"/>
  <c r="G603" i="9"/>
  <c r="F603" i="9"/>
  <c r="E603" i="9"/>
  <c r="D603" i="9"/>
  <c r="C603" i="9"/>
  <c r="B603" i="9"/>
  <c r="A603" i="9"/>
  <c r="M602" i="9"/>
  <c r="L602" i="9"/>
  <c r="K602" i="9"/>
  <c r="J602" i="9"/>
  <c r="I602" i="9"/>
  <c r="H602" i="9"/>
  <c r="G602" i="9"/>
  <c r="F602" i="9"/>
  <c r="E602" i="9"/>
  <c r="D602" i="9"/>
  <c r="C602" i="9"/>
  <c r="B602" i="9"/>
  <c r="A602" i="9"/>
  <c r="M601" i="9"/>
  <c r="L601" i="9"/>
  <c r="K601" i="9"/>
  <c r="J601" i="9"/>
  <c r="I601" i="9"/>
  <c r="H601" i="9"/>
  <c r="G601" i="9"/>
  <c r="F601" i="9"/>
  <c r="E601" i="9"/>
  <c r="D601" i="9"/>
  <c r="C601" i="9"/>
  <c r="B601" i="9"/>
  <c r="A601" i="9"/>
  <c r="M600" i="9"/>
  <c r="L600" i="9"/>
  <c r="K600" i="9"/>
  <c r="J600" i="9"/>
  <c r="I600" i="9"/>
  <c r="H600" i="9"/>
  <c r="G600" i="9"/>
  <c r="F600" i="9"/>
  <c r="E600" i="9"/>
  <c r="D600" i="9"/>
  <c r="C600" i="9"/>
  <c r="B600" i="9"/>
  <c r="A600" i="9"/>
  <c r="M599" i="9"/>
  <c r="L599" i="9"/>
  <c r="K599" i="9"/>
  <c r="J599" i="9"/>
  <c r="I599" i="9"/>
  <c r="H599" i="9"/>
  <c r="G599" i="9"/>
  <c r="F599" i="9"/>
  <c r="E599" i="9"/>
  <c r="D599" i="9"/>
  <c r="C599" i="9"/>
  <c r="B599" i="9"/>
  <c r="A599" i="9"/>
  <c r="M598" i="9"/>
  <c r="L598" i="9"/>
  <c r="K598" i="9"/>
  <c r="J598" i="9"/>
  <c r="I598" i="9"/>
  <c r="H598" i="9"/>
  <c r="G598" i="9"/>
  <c r="F598" i="9"/>
  <c r="E598" i="9"/>
  <c r="D598" i="9"/>
  <c r="C598" i="9"/>
  <c r="B598" i="9"/>
  <c r="A598" i="9"/>
  <c r="M597" i="9"/>
  <c r="L597" i="9"/>
  <c r="K597" i="9"/>
  <c r="J597" i="9"/>
  <c r="I597" i="9"/>
  <c r="H597" i="9"/>
  <c r="G597" i="9"/>
  <c r="F597" i="9"/>
  <c r="E597" i="9"/>
  <c r="D597" i="9"/>
  <c r="C597" i="9"/>
  <c r="B597" i="9"/>
  <c r="A597" i="9"/>
  <c r="M596" i="9"/>
  <c r="L596" i="9"/>
  <c r="K596" i="9"/>
  <c r="J596" i="9"/>
  <c r="I596" i="9"/>
  <c r="H596" i="9"/>
  <c r="G596" i="9"/>
  <c r="F596" i="9"/>
  <c r="E596" i="9"/>
  <c r="D596" i="9"/>
  <c r="C596" i="9"/>
  <c r="B596" i="9"/>
  <c r="A596" i="9"/>
  <c r="M595" i="9"/>
  <c r="L595" i="9"/>
  <c r="K595" i="9"/>
  <c r="J595" i="9"/>
  <c r="I595" i="9"/>
  <c r="H595" i="9"/>
  <c r="G595" i="9"/>
  <c r="F595" i="9"/>
  <c r="E595" i="9"/>
  <c r="D595" i="9"/>
  <c r="C595" i="9"/>
  <c r="B595" i="9"/>
  <c r="A595" i="9"/>
  <c r="M594" i="9"/>
  <c r="L594" i="9"/>
  <c r="K594" i="9"/>
  <c r="J594" i="9"/>
  <c r="I594" i="9"/>
  <c r="H594" i="9"/>
  <c r="G594" i="9"/>
  <c r="F594" i="9"/>
  <c r="E594" i="9"/>
  <c r="D594" i="9"/>
  <c r="C594" i="9"/>
  <c r="B594" i="9"/>
  <c r="A594" i="9"/>
  <c r="M593" i="9"/>
  <c r="L593" i="9"/>
  <c r="K593" i="9"/>
  <c r="J593" i="9"/>
  <c r="I593" i="9"/>
  <c r="H593" i="9"/>
  <c r="G593" i="9"/>
  <c r="F593" i="9"/>
  <c r="E593" i="9"/>
  <c r="D593" i="9"/>
  <c r="C593" i="9"/>
  <c r="B593" i="9"/>
  <c r="A593" i="9"/>
  <c r="M592" i="9"/>
  <c r="L592" i="9"/>
  <c r="K592" i="9"/>
  <c r="J592" i="9"/>
  <c r="I592" i="9"/>
  <c r="H592" i="9"/>
  <c r="G592" i="9"/>
  <c r="F592" i="9"/>
  <c r="E592" i="9"/>
  <c r="D592" i="9"/>
  <c r="C592" i="9"/>
  <c r="B592" i="9"/>
  <c r="A592" i="9"/>
  <c r="M591" i="9"/>
  <c r="L591" i="9"/>
  <c r="K591" i="9"/>
  <c r="J591" i="9"/>
  <c r="I591" i="9"/>
  <c r="H591" i="9"/>
  <c r="G591" i="9"/>
  <c r="F591" i="9"/>
  <c r="E591" i="9"/>
  <c r="D591" i="9"/>
  <c r="C591" i="9"/>
  <c r="B591" i="9"/>
  <c r="A591" i="9"/>
  <c r="M590" i="9"/>
  <c r="L590" i="9"/>
  <c r="K590" i="9"/>
  <c r="J590" i="9"/>
  <c r="I590" i="9"/>
  <c r="H590" i="9"/>
  <c r="G590" i="9"/>
  <c r="F590" i="9"/>
  <c r="E590" i="9"/>
  <c r="D590" i="9"/>
  <c r="C590" i="9"/>
  <c r="B590" i="9"/>
  <c r="A590" i="9"/>
  <c r="M589" i="9"/>
  <c r="L589" i="9"/>
  <c r="K589" i="9"/>
  <c r="J589" i="9"/>
  <c r="I589" i="9"/>
  <c r="H589" i="9"/>
  <c r="G589" i="9"/>
  <c r="F589" i="9"/>
  <c r="E589" i="9"/>
  <c r="D589" i="9"/>
  <c r="C589" i="9"/>
  <c r="B589" i="9"/>
  <c r="A589" i="9"/>
  <c r="M588" i="9"/>
  <c r="L588" i="9"/>
  <c r="K588" i="9"/>
  <c r="J588" i="9"/>
  <c r="I588" i="9"/>
  <c r="H588" i="9"/>
  <c r="G588" i="9"/>
  <c r="F588" i="9"/>
  <c r="E588" i="9"/>
  <c r="D588" i="9"/>
  <c r="C588" i="9"/>
  <c r="B588" i="9"/>
  <c r="A588" i="9"/>
  <c r="M587" i="9"/>
  <c r="L587" i="9"/>
  <c r="K587" i="9"/>
  <c r="J587" i="9"/>
  <c r="I587" i="9"/>
  <c r="H587" i="9"/>
  <c r="G587" i="9"/>
  <c r="F587" i="9"/>
  <c r="E587" i="9"/>
  <c r="D587" i="9"/>
  <c r="C587" i="9"/>
  <c r="B587" i="9"/>
  <c r="A587" i="9"/>
  <c r="M586" i="9"/>
  <c r="L586" i="9"/>
  <c r="K586" i="9"/>
  <c r="J586" i="9"/>
  <c r="I586" i="9"/>
  <c r="H586" i="9"/>
  <c r="G586" i="9"/>
  <c r="F586" i="9"/>
  <c r="E586" i="9"/>
  <c r="D586" i="9"/>
  <c r="C586" i="9"/>
  <c r="B586" i="9"/>
  <c r="A586" i="9"/>
  <c r="M585" i="9"/>
  <c r="L585" i="9"/>
  <c r="K585" i="9"/>
  <c r="J585" i="9"/>
  <c r="I585" i="9"/>
  <c r="H585" i="9"/>
  <c r="G585" i="9"/>
  <c r="F585" i="9"/>
  <c r="E585" i="9"/>
  <c r="D585" i="9"/>
  <c r="C585" i="9"/>
  <c r="B585" i="9"/>
  <c r="A585" i="9"/>
  <c r="M584" i="9"/>
  <c r="L584" i="9"/>
  <c r="K584" i="9"/>
  <c r="J584" i="9"/>
  <c r="I584" i="9"/>
  <c r="H584" i="9"/>
  <c r="G584" i="9"/>
  <c r="F584" i="9"/>
  <c r="E584" i="9"/>
  <c r="D584" i="9"/>
  <c r="C584" i="9"/>
  <c r="B584" i="9"/>
  <c r="A584" i="9"/>
  <c r="M583" i="9"/>
  <c r="L583" i="9"/>
  <c r="K583" i="9"/>
  <c r="J583" i="9"/>
  <c r="I583" i="9"/>
  <c r="H583" i="9"/>
  <c r="G583" i="9"/>
  <c r="F583" i="9"/>
  <c r="E583" i="9"/>
  <c r="D583" i="9"/>
  <c r="C583" i="9"/>
  <c r="B583" i="9"/>
  <c r="A583" i="9"/>
  <c r="M582" i="9"/>
  <c r="L582" i="9"/>
  <c r="K582" i="9"/>
  <c r="J582" i="9"/>
  <c r="I582" i="9"/>
  <c r="H582" i="9"/>
  <c r="G582" i="9"/>
  <c r="F582" i="9"/>
  <c r="E582" i="9"/>
  <c r="D582" i="9"/>
  <c r="C582" i="9"/>
  <c r="B582" i="9"/>
  <c r="A582" i="9"/>
  <c r="M581" i="9"/>
  <c r="L581" i="9"/>
  <c r="K581" i="9"/>
  <c r="J581" i="9"/>
  <c r="I581" i="9"/>
  <c r="H581" i="9"/>
  <c r="G581" i="9"/>
  <c r="F581" i="9"/>
  <c r="E581" i="9"/>
  <c r="D581" i="9"/>
  <c r="C581" i="9"/>
  <c r="B581" i="9"/>
  <c r="A581" i="9"/>
  <c r="M580" i="9"/>
  <c r="L580" i="9"/>
  <c r="K580" i="9"/>
  <c r="J580" i="9"/>
  <c r="I580" i="9"/>
  <c r="H580" i="9"/>
  <c r="G580" i="9"/>
  <c r="F580" i="9"/>
  <c r="E580" i="9"/>
  <c r="D580" i="9"/>
  <c r="C580" i="9"/>
  <c r="B580" i="9"/>
  <c r="A580" i="9"/>
  <c r="M579" i="9"/>
  <c r="L579" i="9"/>
  <c r="K579" i="9"/>
  <c r="J579" i="9"/>
  <c r="I579" i="9"/>
  <c r="H579" i="9"/>
  <c r="G579" i="9"/>
  <c r="F579" i="9"/>
  <c r="E579" i="9"/>
  <c r="D579" i="9"/>
  <c r="C579" i="9"/>
  <c r="B579" i="9"/>
  <c r="A579" i="9"/>
  <c r="M578" i="9"/>
  <c r="L578" i="9"/>
  <c r="K578" i="9"/>
  <c r="J578" i="9"/>
  <c r="I578" i="9"/>
  <c r="H578" i="9"/>
  <c r="G578" i="9"/>
  <c r="F578" i="9"/>
  <c r="E578" i="9"/>
  <c r="D578" i="9"/>
  <c r="C578" i="9"/>
  <c r="B578" i="9"/>
  <c r="A578" i="9"/>
  <c r="M577" i="9"/>
  <c r="L577" i="9"/>
  <c r="K577" i="9"/>
  <c r="J577" i="9"/>
  <c r="I577" i="9"/>
  <c r="H577" i="9"/>
  <c r="G577" i="9"/>
  <c r="F577" i="9"/>
  <c r="E577" i="9"/>
  <c r="D577" i="9"/>
  <c r="C577" i="9"/>
  <c r="B577" i="9"/>
  <c r="A577" i="9"/>
  <c r="M576" i="9"/>
  <c r="L576" i="9"/>
  <c r="K576" i="9"/>
  <c r="J576" i="9"/>
  <c r="I576" i="9"/>
  <c r="H576" i="9"/>
  <c r="G576" i="9"/>
  <c r="F576" i="9"/>
  <c r="E576" i="9"/>
  <c r="D576" i="9"/>
  <c r="C576" i="9"/>
  <c r="B576" i="9"/>
  <c r="A576" i="9"/>
  <c r="M575" i="9"/>
  <c r="L575" i="9"/>
  <c r="K575" i="9"/>
  <c r="J575" i="9"/>
  <c r="I575" i="9"/>
  <c r="H575" i="9"/>
  <c r="G575" i="9"/>
  <c r="F575" i="9"/>
  <c r="E575" i="9"/>
  <c r="D575" i="9"/>
  <c r="C575" i="9"/>
  <c r="B575" i="9"/>
  <c r="A575" i="9"/>
  <c r="M574" i="9"/>
  <c r="L574" i="9"/>
  <c r="K574" i="9"/>
  <c r="J574" i="9"/>
  <c r="I574" i="9"/>
  <c r="H574" i="9"/>
  <c r="G574" i="9"/>
  <c r="F574" i="9"/>
  <c r="E574" i="9"/>
  <c r="D574" i="9"/>
  <c r="C574" i="9"/>
  <c r="B574" i="9"/>
  <c r="A574" i="9"/>
  <c r="M573" i="9"/>
  <c r="L573" i="9"/>
  <c r="K573" i="9"/>
  <c r="J573" i="9"/>
  <c r="I573" i="9"/>
  <c r="H573" i="9"/>
  <c r="G573" i="9"/>
  <c r="F573" i="9"/>
  <c r="E573" i="9"/>
  <c r="D573" i="9"/>
  <c r="C573" i="9"/>
  <c r="B573" i="9"/>
  <c r="A573" i="9"/>
  <c r="M572" i="9"/>
  <c r="L572" i="9"/>
  <c r="K572" i="9"/>
  <c r="J572" i="9"/>
  <c r="I572" i="9"/>
  <c r="H572" i="9"/>
  <c r="G572" i="9"/>
  <c r="F572" i="9"/>
  <c r="E572" i="9"/>
  <c r="D572" i="9"/>
  <c r="C572" i="9"/>
  <c r="B572" i="9"/>
  <c r="A572" i="9"/>
  <c r="M571" i="9"/>
  <c r="L571" i="9"/>
  <c r="K571" i="9"/>
  <c r="J571" i="9"/>
  <c r="I571" i="9"/>
  <c r="H571" i="9"/>
  <c r="G571" i="9"/>
  <c r="F571" i="9"/>
  <c r="E571" i="9"/>
  <c r="D571" i="9"/>
  <c r="C571" i="9"/>
  <c r="B571" i="9"/>
  <c r="A571" i="9"/>
  <c r="M570" i="9"/>
  <c r="L570" i="9"/>
  <c r="K570" i="9"/>
  <c r="J570" i="9"/>
  <c r="I570" i="9"/>
  <c r="H570" i="9"/>
  <c r="G570" i="9"/>
  <c r="F570" i="9"/>
  <c r="E570" i="9"/>
  <c r="D570" i="9"/>
  <c r="C570" i="9"/>
  <c r="B570" i="9"/>
  <c r="A570" i="9"/>
  <c r="M569" i="9"/>
  <c r="L569" i="9"/>
  <c r="K569" i="9"/>
  <c r="J569" i="9"/>
  <c r="I569" i="9"/>
  <c r="H569" i="9"/>
  <c r="G569" i="9"/>
  <c r="F569" i="9"/>
  <c r="E569" i="9"/>
  <c r="D569" i="9"/>
  <c r="C569" i="9"/>
  <c r="B569" i="9"/>
  <c r="A569" i="9"/>
  <c r="M568" i="9"/>
  <c r="L568" i="9"/>
  <c r="K568" i="9"/>
  <c r="J568" i="9"/>
  <c r="I568" i="9"/>
  <c r="H568" i="9"/>
  <c r="G568" i="9"/>
  <c r="F568" i="9"/>
  <c r="E568" i="9"/>
  <c r="D568" i="9"/>
  <c r="C568" i="9"/>
  <c r="B568" i="9"/>
  <c r="A568" i="9"/>
  <c r="M567" i="9"/>
  <c r="L567" i="9"/>
  <c r="K567" i="9"/>
  <c r="J567" i="9"/>
  <c r="I567" i="9"/>
  <c r="H567" i="9"/>
  <c r="G567" i="9"/>
  <c r="F567" i="9"/>
  <c r="E567" i="9"/>
  <c r="D567" i="9"/>
  <c r="C567" i="9"/>
  <c r="B567" i="9"/>
  <c r="A567" i="9"/>
  <c r="M566" i="9"/>
  <c r="L566" i="9"/>
  <c r="K566" i="9"/>
  <c r="J566" i="9"/>
  <c r="I566" i="9"/>
  <c r="H566" i="9"/>
  <c r="G566" i="9"/>
  <c r="F566" i="9"/>
  <c r="E566" i="9"/>
  <c r="D566" i="9"/>
  <c r="C566" i="9"/>
  <c r="B566" i="9"/>
  <c r="A566" i="9"/>
  <c r="M565" i="9"/>
  <c r="L565" i="9"/>
  <c r="K565" i="9"/>
  <c r="J565" i="9"/>
  <c r="I565" i="9"/>
  <c r="H565" i="9"/>
  <c r="G565" i="9"/>
  <c r="F565" i="9"/>
  <c r="E565" i="9"/>
  <c r="D565" i="9"/>
  <c r="C565" i="9"/>
  <c r="B565" i="9"/>
  <c r="A565" i="9"/>
  <c r="M564" i="9"/>
  <c r="L564" i="9"/>
  <c r="K564" i="9"/>
  <c r="J564" i="9"/>
  <c r="I564" i="9"/>
  <c r="H564" i="9"/>
  <c r="G564" i="9"/>
  <c r="F564" i="9"/>
  <c r="E564" i="9"/>
  <c r="D564" i="9"/>
  <c r="C564" i="9"/>
  <c r="B564" i="9"/>
  <c r="A564" i="9"/>
  <c r="M563" i="9"/>
  <c r="L563" i="9"/>
  <c r="K563" i="9"/>
  <c r="J563" i="9"/>
  <c r="I563" i="9"/>
  <c r="H563" i="9"/>
  <c r="G563" i="9"/>
  <c r="F563" i="9"/>
  <c r="E563" i="9"/>
  <c r="D563" i="9"/>
  <c r="C563" i="9"/>
  <c r="B563" i="9"/>
  <c r="A563" i="9"/>
  <c r="M562" i="9"/>
  <c r="L562" i="9"/>
  <c r="K562" i="9"/>
  <c r="J562" i="9"/>
  <c r="I562" i="9"/>
  <c r="H562" i="9"/>
  <c r="G562" i="9"/>
  <c r="F562" i="9"/>
  <c r="E562" i="9"/>
  <c r="D562" i="9"/>
  <c r="C562" i="9"/>
  <c r="B562" i="9"/>
  <c r="A562" i="9"/>
  <c r="M561" i="9"/>
  <c r="L561" i="9"/>
  <c r="K561" i="9"/>
  <c r="J561" i="9"/>
  <c r="I561" i="9"/>
  <c r="H561" i="9"/>
  <c r="G561" i="9"/>
  <c r="F561" i="9"/>
  <c r="E561" i="9"/>
  <c r="D561" i="9"/>
  <c r="C561" i="9"/>
  <c r="B561" i="9"/>
  <c r="A561" i="9"/>
  <c r="M560" i="9"/>
  <c r="L560" i="9"/>
  <c r="K560" i="9"/>
  <c r="J560" i="9"/>
  <c r="I560" i="9"/>
  <c r="H560" i="9"/>
  <c r="G560" i="9"/>
  <c r="F560" i="9"/>
  <c r="E560" i="9"/>
  <c r="D560" i="9"/>
  <c r="C560" i="9"/>
  <c r="B560" i="9"/>
  <c r="A560" i="9"/>
  <c r="M559" i="9"/>
  <c r="L559" i="9"/>
  <c r="K559" i="9"/>
  <c r="J559" i="9"/>
  <c r="I559" i="9"/>
  <c r="H559" i="9"/>
  <c r="G559" i="9"/>
  <c r="F559" i="9"/>
  <c r="E559" i="9"/>
  <c r="D559" i="9"/>
  <c r="C559" i="9"/>
  <c r="B559" i="9"/>
  <c r="A559" i="9"/>
  <c r="M558" i="9"/>
  <c r="L558" i="9"/>
  <c r="K558" i="9"/>
  <c r="J558" i="9"/>
  <c r="I558" i="9"/>
  <c r="H558" i="9"/>
  <c r="G558" i="9"/>
  <c r="F558" i="9"/>
  <c r="E558" i="9"/>
  <c r="D558" i="9"/>
  <c r="C558" i="9"/>
  <c r="B558" i="9"/>
  <c r="A558" i="9"/>
  <c r="M557" i="9"/>
  <c r="L557" i="9"/>
  <c r="K557" i="9"/>
  <c r="J557" i="9"/>
  <c r="I557" i="9"/>
  <c r="H557" i="9"/>
  <c r="G557" i="9"/>
  <c r="F557" i="9"/>
  <c r="E557" i="9"/>
  <c r="D557" i="9"/>
  <c r="C557" i="9"/>
  <c r="B557" i="9"/>
  <c r="A557" i="9"/>
  <c r="M556" i="9"/>
  <c r="L556" i="9"/>
  <c r="K556" i="9"/>
  <c r="J556" i="9"/>
  <c r="I556" i="9"/>
  <c r="H556" i="9"/>
  <c r="G556" i="9"/>
  <c r="F556" i="9"/>
  <c r="E556" i="9"/>
  <c r="D556" i="9"/>
  <c r="C556" i="9"/>
  <c r="B556" i="9"/>
  <c r="A556" i="9"/>
  <c r="M555" i="9"/>
  <c r="L555" i="9"/>
  <c r="K555" i="9"/>
  <c r="J555" i="9"/>
  <c r="I555" i="9"/>
  <c r="H555" i="9"/>
  <c r="G555" i="9"/>
  <c r="F555" i="9"/>
  <c r="E555" i="9"/>
  <c r="D555" i="9"/>
  <c r="C555" i="9"/>
  <c r="B555" i="9"/>
  <c r="A555" i="9"/>
  <c r="M554" i="9"/>
  <c r="L554" i="9"/>
  <c r="K554" i="9"/>
  <c r="J554" i="9"/>
  <c r="I554" i="9"/>
  <c r="H554" i="9"/>
  <c r="G554" i="9"/>
  <c r="F554" i="9"/>
  <c r="E554" i="9"/>
  <c r="D554" i="9"/>
  <c r="C554" i="9"/>
  <c r="B554" i="9"/>
  <c r="A554" i="9"/>
  <c r="M553" i="9"/>
  <c r="L553" i="9"/>
  <c r="K553" i="9"/>
  <c r="J553" i="9"/>
  <c r="I553" i="9"/>
  <c r="H553" i="9"/>
  <c r="G553" i="9"/>
  <c r="F553" i="9"/>
  <c r="E553" i="9"/>
  <c r="D553" i="9"/>
  <c r="C553" i="9"/>
  <c r="B553" i="9"/>
  <c r="A553" i="9"/>
  <c r="M552" i="9"/>
  <c r="L552" i="9"/>
  <c r="K552" i="9"/>
  <c r="J552" i="9"/>
  <c r="I552" i="9"/>
  <c r="H552" i="9"/>
  <c r="G552" i="9"/>
  <c r="F552" i="9"/>
  <c r="E552" i="9"/>
  <c r="D552" i="9"/>
  <c r="C552" i="9"/>
  <c r="B552" i="9"/>
  <c r="A552" i="9"/>
  <c r="M551" i="9"/>
  <c r="L551" i="9"/>
  <c r="K551" i="9"/>
  <c r="J551" i="9"/>
  <c r="I551" i="9"/>
  <c r="H551" i="9"/>
  <c r="G551" i="9"/>
  <c r="F551" i="9"/>
  <c r="E551" i="9"/>
  <c r="D551" i="9"/>
  <c r="C551" i="9"/>
  <c r="B551" i="9"/>
  <c r="A551" i="9"/>
  <c r="M550" i="9"/>
  <c r="L550" i="9"/>
  <c r="K550" i="9"/>
  <c r="J550" i="9"/>
  <c r="I550" i="9"/>
  <c r="H550" i="9"/>
  <c r="G550" i="9"/>
  <c r="F550" i="9"/>
  <c r="E550" i="9"/>
  <c r="D550" i="9"/>
  <c r="C550" i="9"/>
  <c r="B550" i="9"/>
  <c r="A550" i="9"/>
  <c r="M549" i="9"/>
  <c r="L549" i="9"/>
  <c r="K549" i="9"/>
  <c r="J549" i="9"/>
  <c r="I549" i="9"/>
  <c r="H549" i="9"/>
  <c r="G549" i="9"/>
  <c r="F549" i="9"/>
  <c r="E549" i="9"/>
  <c r="D549" i="9"/>
  <c r="C549" i="9"/>
  <c r="B549" i="9"/>
  <c r="A549" i="9"/>
  <c r="M548" i="9"/>
  <c r="L548" i="9"/>
  <c r="K548" i="9"/>
  <c r="J548" i="9"/>
  <c r="I548" i="9"/>
  <c r="H548" i="9"/>
  <c r="G548" i="9"/>
  <c r="F548" i="9"/>
  <c r="E548" i="9"/>
  <c r="D548" i="9"/>
  <c r="C548" i="9"/>
  <c r="B548" i="9"/>
  <c r="A548" i="9"/>
  <c r="M547" i="9"/>
  <c r="L547" i="9"/>
  <c r="K547" i="9"/>
  <c r="J547" i="9"/>
  <c r="I547" i="9"/>
  <c r="H547" i="9"/>
  <c r="G547" i="9"/>
  <c r="F547" i="9"/>
  <c r="E547" i="9"/>
  <c r="D547" i="9"/>
  <c r="C547" i="9"/>
  <c r="B547" i="9"/>
  <c r="A547" i="9"/>
  <c r="M546" i="9"/>
  <c r="L546" i="9"/>
  <c r="K546" i="9"/>
  <c r="J546" i="9"/>
  <c r="I546" i="9"/>
  <c r="H546" i="9"/>
  <c r="G546" i="9"/>
  <c r="F546" i="9"/>
  <c r="E546" i="9"/>
  <c r="D546" i="9"/>
  <c r="C546" i="9"/>
  <c r="B546" i="9"/>
  <c r="A546" i="9"/>
  <c r="M545" i="9"/>
  <c r="L545" i="9"/>
  <c r="K545" i="9"/>
  <c r="J545" i="9"/>
  <c r="I545" i="9"/>
  <c r="H545" i="9"/>
  <c r="G545" i="9"/>
  <c r="F545" i="9"/>
  <c r="E545" i="9"/>
  <c r="D545" i="9"/>
  <c r="C545" i="9"/>
  <c r="B545" i="9"/>
  <c r="A545" i="9"/>
  <c r="M544" i="9"/>
  <c r="L544" i="9"/>
  <c r="K544" i="9"/>
  <c r="J544" i="9"/>
  <c r="I544" i="9"/>
  <c r="H544" i="9"/>
  <c r="G544" i="9"/>
  <c r="F544" i="9"/>
  <c r="E544" i="9"/>
  <c r="D544" i="9"/>
  <c r="C544" i="9"/>
  <c r="B544" i="9"/>
  <c r="A544" i="9"/>
  <c r="M543" i="9"/>
  <c r="L543" i="9"/>
  <c r="K543" i="9"/>
  <c r="J543" i="9"/>
  <c r="I543" i="9"/>
  <c r="H543" i="9"/>
  <c r="G543" i="9"/>
  <c r="F543" i="9"/>
  <c r="E543" i="9"/>
  <c r="D543" i="9"/>
  <c r="C543" i="9"/>
  <c r="B543" i="9"/>
  <c r="A543" i="9"/>
  <c r="M542" i="9"/>
  <c r="L542" i="9"/>
  <c r="K542" i="9"/>
  <c r="J542" i="9"/>
  <c r="I542" i="9"/>
  <c r="H542" i="9"/>
  <c r="G542" i="9"/>
  <c r="F542" i="9"/>
  <c r="E542" i="9"/>
  <c r="D542" i="9"/>
  <c r="C542" i="9"/>
  <c r="B542" i="9"/>
  <c r="A542" i="9"/>
  <c r="M541" i="9"/>
  <c r="L541" i="9"/>
  <c r="K541" i="9"/>
  <c r="J541" i="9"/>
  <c r="I541" i="9"/>
  <c r="H541" i="9"/>
  <c r="G541" i="9"/>
  <c r="F541" i="9"/>
  <c r="E541" i="9"/>
  <c r="D541" i="9"/>
  <c r="C541" i="9"/>
  <c r="B541" i="9"/>
  <c r="A541" i="9"/>
  <c r="M540" i="9"/>
  <c r="L540" i="9"/>
  <c r="K540" i="9"/>
  <c r="J540" i="9"/>
  <c r="I540" i="9"/>
  <c r="H540" i="9"/>
  <c r="G540" i="9"/>
  <c r="F540" i="9"/>
  <c r="E540" i="9"/>
  <c r="D540" i="9"/>
  <c r="C540" i="9"/>
  <c r="B540" i="9"/>
  <c r="A540" i="9"/>
  <c r="M539" i="9"/>
  <c r="L539" i="9"/>
  <c r="K539" i="9"/>
  <c r="J539" i="9"/>
  <c r="I539" i="9"/>
  <c r="H539" i="9"/>
  <c r="G539" i="9"/>
  <c r="F539" i="9"/>
  <c r="E539" i="9"/>
  <c r="D539" i="9"/>
  <c r="C539" i="9"/>
  <c r="B539" i="9"/>
  <c r="A539" i="9"/>
  <c r="M538" i="9"/>
  <c r="L538" i="9"/>
  <c r="K538" i="9"/>
  <c r="J538" i="9"/>
  <c r="I538" i="9"/>
  <c r="H538" i="9"/>
  <c r="G538" i="9"/>
  <c r="F538" i="9"/>
  <c r="E538" i="9"/>
  <c r="D538" i="9"/>
  <c r="C538" i="9"/>
  <c r="B538" i="9"/>
  <c r="A538" i="9"/>
  <c r="M537" i="9"/>
  <c r="L537" i="9"/>
  <c r="K537" i="9"/>
  <c r="J537" i="9"/>
  <c r="I537" i="9"/>
  <c r="H537" i="9"/>
  <c r="G537" i="9"/>
  <c r="F537" i="9"/>
  <c r="E537" i="9"/>
  <c r="D537" i="9"/>
  <c r="C537" i="9"/>
  <c r="B537" i="9"/>
  <c r="A537" i="9"/>
  <c r="M536" i="9"/>
  <c r="L536" i="9"/>
  <c r="K536" i="9"/>
  <c r="J536" i="9"/>
  <c r="I536" i="9"/>
  <c r="H536" i="9"/>
  <c r="G536" i="9"/>
  <c r="F536" i="9"/>
  <c r="E536" i="9"/>
  <c r="D536" i="9"/>
  <c r="C536" i="9"/>
  <c r="B536" i="9"/>
  <c r="A536" i="9"/>
  <c r="M535" i="9"/>
  <c r="L535" i="9"/>
  <c r="K535" i="9"/>
  <c r="J535" i="9"/>
  <c r="I535" i="9"/>
  <c r="H535" i="9"/>
  <c r="G535" i="9"/>
  <c r="F535" i="9"/>
  <c r="E535" i="9"/>
  <c r="D535" i="9"/>
  <c r="C535" i="9"/>
  <c r="B535" i="9"/>
  <c r="A535" i="9"/>
  <c r="M534" i="9"/>
  <c r="L534" i="9"/>
  <c r="K534" i="9"/>
  <c r="J534" i="9"/>
  <c r="I534" i="9"/>
  <c r="H534" i="9"/>
  <c r="G534" i="9"/>
  <c r="F534" i="9"/>
  <c r="E534" i="9"/>
  <c r="D534" i="9"/>
  <c r="C534" i="9"/>
  <c r="B534" i="9"/>
  <c r="A534" i="9"/>
  <c r="M533" i="9"/>
  <c r="L533" i="9"/>
  <c r="K533" i="9"/>
  <c r="J533" i="9"/>
  <c r="I533" i="9"/>
  <c r="H533" i="9"/>
  <c r="G533" i="9"/>
  <c r="F533" i="9"/>
  <c r="E533" i="9"/>
  <c r="D533" i="9"/>
  <c r="C533" i="9"/>
  <c r="B533" i="9"/>
  <c r="A533" i="9"/>
  <c r="M532" i="9"/>
  <c r="L532" i="9"/>
  <c r="K532" i="9"/>
  <c r="J532" i="9"/>
  <c r="I532" i="9"/>
  <c r="H532" i="9"/>
  <c r="G532" i="9"/>
  <c r="F532" i="9"/>
  <c r="E532" i="9"/>
  <c r="D532" i="9"/>
  <c r="C532" i="9"/>
  <c r="B532" i="9"/>
  <c r="A532" i="9"/>
  <c r="M531" i="9"/>
  <c r="L531" i="9"/>
  <c r="K531" i="9"/>
  <c r="J531" i="9"/>
  <c r="I531" i="9"/>
  <c r="H531" i="9"/>
  <c r="G531" i="9"/>
  <c r="F531" i="9"/>
  <c r="E531" i="9"/>
  <c r="D531" i="9"/>
  <c r="C531" i="9"/>
  <c r="B531" i="9"/>
  <c r="A531" i="9"/>
  <c r="M530" i="9"/>
  <c r="L530" i="9"/>
  <c r="K530" i="9"/>
  <c r="J530" i="9"/>
  <c r="I530" i="9"/>
  <c r="H530" i="9"/>
  <c r="G530" i="9"/>
  <c r="F530" i="9"/>
  <c r="E530" i="9"/>
  <c r="D530" i="9"/>
  <c r="C530" i="9"/>
  <c r="B530" i="9"/>
  <c r="A530" i="9"/>
  <c r="M529" i="9"/>
  <c r="L529" i="9"/>
  <c r="K529" i="9"/>
  <c r="J529" i="9"/>
  <c r="I529" i="9"/>
  <c r="H529" i="9"/>
  <c r="G529" i="9"/>
  <c r="F529" i="9"/>
  <c r="E529" i="9"/>
  <c r="D529" i="9"/>
  <c r="C529" i="9"/>
  <c r="B529" i="9"/>
  <c r="A529" i="9"/>
  <c r="M528" i="9"/>
  <c r="L528" i="9"/>
  <c r="K528" i="9"/>
  <c r="J528" i="9"/>
  <c r="I528" i="9"/>
  <c r="H528" i="9"/>
  <c r="G528" i="9"/>
  <c r="F528" i="9"/>
  <c r="E528" i="9"/>
  <c r="D528" i="9"/>
  <c r="C528" i="9"/>
  <c r="B528" i="9"/>
  <c r="A528" i="9"/>
  <c r="M527" i="9"/>
  <c r="L527" i="9"/>
  <c r="K527" i="9"/>
  <c r="J527" i="9"/>
  <c r="I527" i="9"/>
  <c r="H527" i="9"/>
  <c r="G527" i="9"/>
  <c r="F527" i="9"/>
  <c r="E527" i="9"/>
  <c r="D527" i="9"/>
  <c r="C527" i="9"/>
  <c r="B527" i="9"/>
  <c r="A527" i="9"/>
  <c r="M526" i="9"/>
  <c r="L526" i="9"/>
  <c r="K526" i="9"/>
  <c r="J526" i="9"/>
  <c r="I526" i="9"/>
  <c r="H526" i="9"/>
  <c r="G526" i="9"/>
  <c r="F526" i="9"/>
  <c r="E526" i="9"/>
  <c r="D526" i="9"/>
  <c r="C526" i="9"/>
  <c r="B526" i="9"/>
  <c r="A526" i="9"/>
  <c r="M525" i="9"/>
  <c r="L525" i="9"/>
  <c r="K525" i="9"/>
  <c r="J525" i="9"/>
  <c r="I525" i="9"/>
  <c r="H525" i="9"/>
  <c r="G525" i="9"/>
  <c r="F525" i="9"/>
  <c r="E525" i="9"/>
  <c r="D525" i="9"/>
  <c r="C525" i="9"/>
  <c r="B525" i="9"/>
  <c r="A525" i="9"/>
  <c r="M524" i="9"/>
  <c r="L524" i="9"/>
  <c r="K524" i="9"/>
  <c r="J524" i="9"/>
  <c r="I524" i="9"/>
  <c r="H524" i="9"/>
  <c r="G524" i="9"/>
  <c r="F524" i="9"/>
  <c r="E524" i="9"/>
  <c r="D524" i="9"/>
  <c r="C524" i="9"/>
  <c r="B524" i="9"/>
  <c r="A524" i="9"/>
  <c r="M523" i="9"/>
  <c r="L523" i="9"/>
  <c r="K523" i="9"/>
  <c r="J523" i="9"/>
  <c r="I523" i="9"/>
  <c r="H523" i="9"/>
  <c r="G523" i="9"/>
  <c r="F523" i="9"/>
  <c r="E523" i="9"/>
  <c r="D523" i="9"/>
  <c r="C523" i="9"/>
  <c r="B523" i="9"/>
  <c r="A523" i="9"/>
  <c r="M522" i="9"/>
  <c r="L522" i="9"/>
  <c r="K522" i="9"/>
  <c r="J522" i="9"/>
  <c r="I522" i="9"/>
  <c r="H522" i="9"/>
  <c r="G522" i="9"/>
  <c r="F522" i="9"/>
  <c r="E522" i="9"/>
  <c r="D522" i="9"/>
  <c r="C522" i="9"/>
  <c r="B522" i="9"/>
  <c r="A522" i="9"/>
  <c r="M521" i="9"/>
  <c r="L521" i="9"/>
  <c r="K521" i="9"/>
  <c r="J521" i="9"/>
  <c r="I521" i="9"/>
  <c r="H521" i="9"/>
  <c r="G521" i="9"/>
  <c r="F521" i="9"/>
  <c r="E521" i="9"/>
  <c r="D521" i="9"/>
  <c r="C521" i="9"/>
  <c r="B521" i="9"/>
  <c r="A521" i="9"/>
  <c r="M520" i="9"/>
  <c r="L520" i="9"/>
  <c r="K520" i="9"/>
  <c r="J520" i="9"/>
  <c r="I520" i="9"/>
  <c r="H520" i="9"/>
  <c r="G520" i="9"/>
  <c r="F520" i="9"/>
  <c r="E520" i="9"/>
  <c r="D520" i="9"/>
  <c r="C520" i="9"/>
  <c r="B520" i="9"/>
  <c r="A520" i="9"/>
  <c r="M519" i="9"/>
  <c r="L519" i="9"/>
  <c r="K519" i="9"/>
  <c r="J519" i="9"/>
  <c r="I519" i="9"/>
  <c r="H519" i="9"/>
  <c r="G519" i="9"/>
  <c r="F519" i="9"/>
  <c r="E519" i="9"/>
  <c r="D519" i="9"/>
  <c r="C519" i="9"/>
  <c r="B519" i="9"/>
  <c r="A519" i="9"/>
  <c r="M518" i="9"/>
  <c r="L518" i="9"/>
  <c r="K518" i="9"/>
  <c r="J518" i="9"/>
  <c r="I518" i="9"/>
  <c r="H518" i="9"/>
  <c r="G518" i="9"/>
  <c r="F518" i="9"/>
  <c r="E518" i="9"/>
  <c r="D518" i="9"/>
  <c r="C518" i="9"/>
  <c r="B518" i="9"/>
  <c r="A518" i="9"/>
  <c r="M517" i="9"/>
  <c r="L517" i="9"/>
  <c r="K517" i="9"/>
  <c r="J517" i="9"/>
  <c r="I517" i="9"/>
  <c r="H517" i="9"/>
  <c r="G517" i="9"/>
  <c r="F517" i="9"/>
  <c r="E517" i="9"/>
  <c r="D517" i="9"/>
  <c r="C517" i="9"/>
  <c r="B517" i="9"/>
  <c r="A517" i="9"/>
  <c r="M516" i="9"/>
  <c r="L516" i="9"/>
  <c r="K516" i="9"/>
  <c r="J516" i="9"/>
  <c r="I516" i="9"/>
  <c r="H516" i="9"/>
  <c r="G516" i="9"/>
  <c r="F516" i="9"/>
  <c r="E516" i="9"/>
  <c r="D516" i="9"/>
  <c r="C516" i="9"/>
  <c r="B516" i="9"/>
  <c r="A516" i="9"/>
  <c r="M515" i="9"/>
  <c r="L515" i="9"/>
  <c r="K515" i="9"/>
  <c r="J515" i="9"/>
  <c r="I515" i="9"/>
  <c r="H515" i="9"/>
  <c r="G515" i="9"/>
  <c r="F515" i="9"/>
  <c r="E515" i="9"/>
  <c r="D515" i="9"/>
  <c r="C515" i="9"/>
  <c r="B515" i="9"/>
  <c r="A515" i="9"/>
  <c r="M514" i="9"/>
  <c r="L514" i="9"/>
  <c r="K514" i="9"/>
  <c r="J514" i="9"/>
  <c r="I514" i="9"/>
  <c r="H514" i="9"/>
  <c r="G514" i="9"/>
  <c r="F514" i="9"/>
  <c r="E514" i="9"/>
  <c r="D514" i="9"/>
  <c r="C514" i="9"/>
  <c r="B514" i="9"/>
  <c r="A514" i="9"/>
  <c r="M513" i="9"/>
  <c r="L513" i="9"/>
  <c r="K513" i="9"/>
  <c r="J513" i="9"/>
  <c r="I513" i="9"/>
  <c r="H513" i="9"/>
  <c r="G513" i="9"/>
  <c r="F513" i="9"/>
  <c r="E513" i="9"/>
  <c r="D513" i="9"/>
  <c r="C513" i="9"/>
  <c r="B513" i="9"/>
  <c r="A513" i="9"/>
  <c r="M512" i="9"/>
  <c r="L512" i="9"/>
  <c r="K512" i="9"/>
  <c r="J512" i="9"/>
  <c r="I512" i="9"/>
  <c r="H512" i="9"/>
  <c r="G512" i="9"/>
  <c r="F512" i="9"/>
  <c r="E512" i="9"/>
  <c r="D512" i="9"/>
  <c r="C512" i="9"/>
  <c r="B512" i="9"/>
  <c r="A512" i="9"/>
  <c r="M511" i="9"/>
  <c r="L511" i="9"/>
  <c r="K511" i="9"/>
  <c r="J511" i="9"/>
  <c r="I511" i="9"/>
  <c r="H511" i="9"/>
  <c r="G511" i="9"/>
  <c r="F511" i="9"/>
  <c r="E511" i="9"/>
  <c r="D511" i="9"/>
  <c r="C511" i="9"/>
  <c r="B511" i="9"/>
  <c r="A511" i="9"/>
  <c r="M510" i="9"/>
  <c r="L510" i="9"/>
  <c r="K510" i="9"/>
  <c r="J510" i="9"/>
  <c r="I510" i="9"/>
  <c r="H510" i="9"/>
  <c r="G510" i="9"/>
  <c r="F510" i="9"/>
  <c r="E510" i="9"/>
  <c r="D510" i="9"/>
  <c r="C510" i="9"/>
  <c r="B510" i="9"/>
  <c r="A510" i="9"/>
  <c r="M509" i="9"/>
  <c r="L509" i="9"/>
  <c r="K509" i="9"/>
  <c r="J509" i="9"/>
  <c r="I509" i="9"/>
  <c r="H509" i="9"/>
  <c r="G509" i="9"/>
  <c r="F509" i="9"/>
  <c r="E509" i="9"/>
  <c r="D509" i="9"/>
  <c r="C509" i="9"/>
  <c r="B509" i="9"/>
  <c r="A509" i="9"/>
  <c r="M508" i="9"/>
  <c r="L508" i="9"/>
  <c r="K508" i="9"/>
  <c r="J508" i="9"/>
  <c r="I508" i="9"/>
  <c r="H508" i="9"/>
  <c r="G508" i="9"/>
  <c r="F508" i="9"/>
  <c r="E508" i="9"/>
  <c r="D508" i="9"/>
  <c r="C508" i="9"/>
  <c r="B508" i="9"/>
  <c r="A508" i="9"/>
  <c r="M507" i="9"/>
  <c r="L507" i="9"/>
  <c r="K507" i="9"/>
  <c r="J507" i="9"/>
  <c r="I507" i="9"/>
  <c r="H507" i="9"/>
  <c r="G507" i="9"/>
  <c r="F507" i="9"/>
  <c r="E507" i="9"/>
  <c r="D507" i="9"/>
  <c r="C507" i="9"/>
  <c r="B507" i="9"/>
  <c r="A507" i="9"/>
  <c r="M506" i="9"/>
  <c r="L506" i="9"/>
  <c r="K506" i="9"/>
  <c r="J506" i="9"/>
  <c r="I506" i="9"/>
  <c r="H506" i="9"/>
  <c r="G506" i="9"/>
  <c r="F506" i="9"/>
  <c r="E506" i="9"/>
  <c r="D506" i="9"/>
  <c r="C506" i="9"/>
  <c r="B506" i="9"/>
  <c r="A506" i="9"/>
  <c r="M505" i="9"/>
  <c r="L505" i="9"/>
  <c r="K505" i="9"/>
  <c r="J505" i="9"/>
  <c r="I505" i="9"/>
  <c r="H505" i="9"/>
  <c r="G505" i="9"/>
  <c r="F505" i="9"/>
  <c r="E505" i="9"/>
  <c r="D505" i="9"/>
  <c r="C505" i="9"/>
  <c r="B505" i="9"/>
  <c r="A505" i="9"/>
  <c r="M504" i="9"/>
  <c r="L504" i="9"/>
  <c r="K504" i="9"/>
  <c r="J504" i="9"/>
  <c r="I504" i="9"/>
  <c r="H504" i="9"/>
  <c r="G504" i="9"/>
  <c r="F504" i="9"/>
  <c r="E504" i="9"/>
  <c r="D504" i="9"/>
  <c r="C504" i="9"/>
  <c r="B504" i="9"/>
  <c r="A504" i="9"/>
  <c r="M503" i="9"/>
  <c r="L503" i="9"/>
  <c r="K503" i="9"/>
  <c r="J503" i="9"/>
  <c r="I503" i="9"/>
  <c r="H503" i="9"/>
  <c r="G503" i="9"/>
  <c r="F503" i="9"/>
  <c r="E503" i="9"/>
  <c r="D503" i="9"/>
  <c r="C503" i="9"/>
  <c r="B503" i="9"/>
  <c r="A503" i="9"/>
  <c r="M502" i="9"/>
  <c r="L502" i="9"/>
  <c r="K502" i="9"/>
  <c r="J502" i="9"/>
  <c r="I502" i="9"/>
  <c r="H502" i="9"/>
  <c r="G502" i="9"/>
  <c r="F502" i="9"/>
  <c r="E502" i="9"/>
  <c r="D502" i="9"/>
  <c r="C502" i="9"/>
  <c r="B502" i="9"/>
  <c r="A502" i="9"/>
  <c r="M501" i="9"/>
  <c r="L501" i="9"/>
  <c r="K501" i="9"/>
  <c r="J501" i="9"/>
  <c r="I501" i="9"/>
  <c r="H501" i="9"/>
  <c r="G501" i="9"/>
  <c r="F501" i="9"/>
  <c r="E501" i="9"/>
  <c r="D501" i="9"/>
  <c r="C501" i="9"/>
  <c r="B501" i="9"/>
  <c r="A501" i="9"/>
  <c r="M500" i="9"/>
  <c r="L500" i="9"/>
  <c r="K500" i="9"/>
  <c r="J500" i="9"/>
  <c r="I500" i="9"/>
  <c r="H500" i="9"/>
  <c r="G500" i="9"/>
  <c r="F500" i="9"/>
  <c r="E500" i="9"/>
  <c r="D500" i="9"/>
  <c r="C500" i="9"/>
  <c r="B500" i="9"/>
  <c r="A500" i="9"/>
  <c r="M499" i="9"/>
  <c r="L499" i="9"/>
  <c r="K499" i="9"/>
  <c r="J499" i="9"/>
  <c r="I499" i="9"/>
  <c r="H499" i="9"/>
  <c r="G499" i="9"/>
  <c r="F499" i="9"/>
  <c r="E499" i="9"/>
  <c r="D499" i="9"/>
  <c r="C499" i="9"/>
  <c r="B499" i="9"/>
  <c r="A499" i="9"/>
  <c r="M498" i="9"/>
  <c r="L498" i="9"/>
  <c r="K498" i="9"/>
  <c r="J498" i="9"/>
  <c r="I498" i="9"/>
  <c r="H498" i="9"/>
  <c r="G498" i="9"/>
  <c r="F498" i="9"/>
  <c r="E498" i="9"/>
  <c r="D498" i="9"/>
  <c r="C498" i="9"/>
  <c r="B498" i="9"/>
  <c r="A498" i="9"/>
  <c r="M497" i="9"/>
  <c r="L497" i="9"/>
  <c r="K497" i="9"/>
  <c r="J497" i="9"/>
  <c r="I497" i="9"/>
  <c r="H497" i="9"/>
  <c r="G497" i="9"/>
  <c r="F497" i="9"/>
  <c r="E497" i="9"/>
  <c r="D497" i="9"/>
  <c r="C497" i="9"/>
  <c r="B497" i="9"/>
  <c r="A497" i="9"/>
  <c r="M496" i="9"/>
  <c r="L496" i="9"/>
  <c r="K496" i="9"/>
  <c r="J496" i="9"/>
  <c r="I496" i="9"/>
  <c r="H496" i="9"/>
  <c r="G496" i="9"/>
  <c r="F496" i="9"/>
  <c r="E496" i="9"/>
  <c r="D496" i="9"/>
  <c r="C496" i="9"/>
  <c r="B496" i="9"/>
  <c r="A496" i="9"/>
  <c r="M495" i="9"/>
  <c r="L495" i="9"/>
  <c r="K495" i="9"/>
  <c r="J495" i="9"/>
  <c r="I495" i="9"/>
  <c r="H495" i="9"/>
  <c r="G495" i="9"/>
  <c r="F495" i="9"/>
  <c r="E495" i="9"/>
  <c r="D495" i="9"/>
  <c r="C495" i="9"/>
  <c r="B495" i="9"/>
  <c r="A495" i="9"/>
  <c r="M494" i="9"/>
  <c r="L494" i="9"/>
  <c r="K494" i="9"/>
  <c r="J494" i="9"/>
  <c r="I494" i="9"/>
  <c r="H494" i="9"/>
  <c r="G494" i="9"/>
  <c r="F494" i="9"/>
  <c r="E494" i="9"/>
  <c r="D494" i="9"/>
  <c r="C494" i="9"/>
  <c r="B494" i="9"/>
  <c r="A494" i="9"/>
  <c r="M493" i="9"/>
  <c r="L493" i="9"/>
  <c r="K493" i="9"/>
  <c r="J493" i="9"/>
  <c r="I493" i="9"/>
  <c r="H493" i="9"/>
  <c r="G493" i="9"/>
  <c r="F493" i="9"/>
  <c r="E493" i="9"/>
  <c r="D493" i="9"/>
  <c r="C493" i="9"/>
  <c r="B493" i="9"/>
  <c r="A493" i="9"/>
  <c r="M492" i="9"/>
  <c r="L492" i="9"/>
  <c r="K492" i="9"/>
  <c r="J492" i="9"/>
  <c r="I492" i="9"/>
  <c r="H492" i="9"/>
  <c r="G492" i="9"/>
  <c r="F492" i="9"/>
  <c r="E492" i="9"/>
  <c r="D492" i="9"/>
  <c r="C492" i="9"/>
  <c r="B492" i="9"/>
  <c r="A492" i="9"/>
  <c r="M491" i="9"/>
  <c r="L491" i="9"/>
  <c r="K491" i="9"/>
  <c r="J491" i="9"/>
  <c r="I491" i="9"/>
  <c r="H491" i="9"/>
  <c r="G491" i="9"/>
  <c r="F491" i="9"/>
  <c r="E491" i="9"/>
  <c r="D491" i="9"/>
  <c r="C491" i="9"/>
  <c r="B491" i="9"/>
  <c r="A491" i="9"/>
  <c r="M490" i="9"/>
  <c r="L490" i="9"/>
  <c r="K490" i="9"/>
  <c r="J490" i="9"/>
  <c r="I490" i="9"/>
  <c r="H490" i="9"/>
  <c r="G490" i="9"/>
  <c r="F490" i="9"/>
  <c r="E490" i="9"/>
  <c r="D490" i="9"/>
  <c r="C490" i="9"/>
  <c r="B490" i="9"/>
  <c r="A490" i="9"/>
  <c r="M489" i="9"/>
  <c r="L489" i="9"/>
  <c r="K489" i="9"/>
  <c r="J489" i="9"/>
  <c r="I489" i="9"/>
  <c r="H489" i="9"/>
  <c r="G489" i="9"/>
  <c r="F489" i="9"/>
  <c r="E489" i="9"/>
  <c r="D489" i="9"/>
  <c r="C489" i="9"/>
  <c r="B489" i="9"/>
  <c r="A489" i="9"/>
  <c r="M488" i="9"/>
  <c r="L488" i="9"/>
  <c r="K488" i="9"/>
  <c r="J488" i="9"/>
  <c r="I488" i="9"/>
  <c r="H488" i="9"/>
  <c r="G488" i="9"/>
  <c r="F488" i="9"/>
  <c r="E488" i="9"/>
  <c r="D488" i="9"/>
  <c r="C488" i="9"/>
  <c r="B488" i="9"/>
  <c r="A488" i="9"/>
  <c r="M487" i="9"/>
  <c r="L487" i="9"/>
  <c r="K487" i="9"/>
  <c r="J487" i="9"/>
  <c r="I487" i="9"/>
  <c r="H487" i="9"/>
  <c r="G487" i="9"/>
  <c r="F487" i="9"/>
  <c r="E487" i="9"/>
  <c r="D487" i="9"/>
  <c r="C487" i="9"/>
  <c r="B487" i="9"/>
  <c r="A487" i="9"/>
  <c r="M486" i="9"/>
  <c r="L486" i="9"/>
  <c r="K486" i="9"/>
  <c r="J486" i="9"/>
  <c r="I486" i="9"/>
  <c r="H486" i="9"/>
  <c r="G486" i="9"/>
  <c r="F486" i="9"/>
  <c r="E486" i="9"/>
  <c r="D486" i="9"/>
  <c r="C486" i="9"/>
  <c r="B486" i="9"/>
  <c r="A486" i="9"/>
  <c r="M485" i="9"/>
  <c r="L485" i="9"/>
  <c r="K485" i="9"/>
  <c r="J485" i="9"/>
  <c r="I485" i="9"/>
  <c r="H485" i="9"/>
  <c r="G485" i="9"/>
  <c r="F485" i="9"/>
  <c r="E485" i="9"/>
  <c r="D485" i="9"/>
  <c r="C485" i="9"/>
  <c r="B485" i="9"/>
  <c r="A485" i="9"/>
  <c r="M484" i="9"/>
  <c r="L484" i="9"/>
  <c r="K484" i="9"/>
  <c r="J484" i="9"/>
  <c r="I484" i="9"/>
  <c r="H484" i="9"/>
  <c r="G484" i="9"/>
  <c r="F484" i="9"/>
  <c r="E484" i="9"/>
  <c r="D484" i="9"/>
  <c r="C484" i="9"/>
  <c r="B484" i="9"/>
  <c r="A484" i="9"/>
  <c r="M483" i="9"/>
  <c r="L483" i="9"/>
  <c r="K483" i="9"/>
  <c r="J483" i="9"/>
  <c r="I483" i="9"/>
  <c r="H483" i="9"/>
  <c r="G483" i="9"/>
  <c r="F483" i="9"/>
  <c r="E483" i="9"/>
  <c r="D483" i="9"/>
  <c r="C483" i="9"/>
  <c r="B483" i="9"/>
  <c r="A483" i="9"/>
  <c r="M482" i="9"/>
  <c r="L482" i="9"/>
  <c r="K482" i="9"/>
  <c r="J482" i="9"/>
  <c r="I482" i="9"/>
  <c r="H482" i="9"/>
  <c r="G482" i="9"/>
  <c r="F482" i="9"/>
  <c r="E482" i="9"/>
  <c r="D482" i="9"/>
  <c r="C482" i="9"/>
  <c r="B482" i="9"/>
  <c r="A482" i="9"/>
  <c r="M481" i="9"/>
  <c r="L481" i="9"/>
  <c r="K481" i="9"/>
  <c r="J481" i="9"/>
  <c r="I481" i="9"/>
  <c r="H481" i="9"/>
  <c r="G481" i="9"/>
  <c r="F481" i="9"/>
  <c r="E481" i="9"/>
  <c r="D481" i="9"/>
  <c r="C481" i="9"/>
  <c r="B481" i="9"/>
  <c r="A481" i="9"/>
  <c r="M480" i="9"/>
  <c r="L480" i="9"/>
  <c r="K480" i="9"/>
  <c r="J480" i="9"/>
  <c r="I480" i="9"/>
  <c r="H480" i="9"/>
  <c r="G480" i="9"/>
  <c r="F480" i="9"/>
  <c r="E480" i="9"/>
  <c r="D480" i="9"/>
  <c r="C480" i="9"/>
  <c r="B480" i="9"/>
  <c r="A480" i="9"/>
  <c r="M479" i="9"/>
  <c r="L479" i="9"/>
  <c r="K479" i="9"/>
  <c r="J479" i="9"/>
  <c r="I479" i="9"/>
  <c r="H479" i="9"/>
  <c r="G479" i="9"/>
  <c r="F479" i="9"/>
  <c r="E479" i="9"/>
  <c r="D479" i="9"/>
  <c r="C479" i="9"/>
  <c r="B479" i="9"/>
  <c r="A479" i="9"/>
  <c r="M478" i="9"/>
  <c r="L478" i="9"/>
  <c r="K478" i="9"/>
  <c r="J478" i="9"/>
  <c r="I478" i="9"/>
  <c r="H478" i="9"/>
  <c r="G478" i="9"/>
  <c r="F478" i="9"/>
  <c r="E478" i="9"/>
  <c r="D478" i="9"/>
  <c r="C478" i="9"/>
  <c r="B478" i="9"/>
  <c r="A478" i="9"/>
  <c r="M477" i="9"/>
  <c r="L477" i="9"/>
  <c r="K477" i="9"/>
  <c r="J477" i="9"/>
  <c r="I477" i="9"/>
  <c r="H477" i="9"/>
  <c r="G477" i="9"/>
  <c r="F477" i="9"/>
  <c r="E477" i="9"/>
  <c r="D477" i="9"/>
  <c r="C477" i="9"/>
  <c r="B477" i="9"/>
  <c r="A477" i="9"/>
  <c r="M476" i="9"/>
  <c r="L476" i="9"/>
  <c r="K476" i="9"/>
  <c r="J476" i="9"/>
  <c r="I476" i="9"/>
  <c r="H476" i="9"/>
  <c r="G476" i="9"/>
  <c r="F476" i="9"/>
  <c r="E476" i="9"/>
  <c r="D476" i="9"/>
  <c r="C476" i="9"/>
  <c r="B476" i="9"/>
  <c r="A476" i="9"/>
  <c r="M475" i="9"/>
  <c r="L475" i="9"/>
  <c r="K475" i="9"/>
  <c r="J475" i="9"/>
  <c r="I475" i="9"/>
  <c r="H475" i="9"/>
  <c r="G475" i="9"/>
  <c r="F475" i="9"/>
  <c r="E475" i="9"/>
  <c r="D475" i="9"/>
  <c r="C475" i="9"/>
  <c r="B475" i="9"/>
  <c r="A475" i="9"/>
  <c r="M474" i="9"/>
  <c r="L474" i="9"/>
  <c r="K474" i="9"/>
  <c r="J474" i="9"/>
  <c r="I474" i="9"/>
  <c r="H474" i="9"/>
  <c r="G474" i="9"/>
  <c r="F474" i="9"/>
  <c r="E474" i="9"/>
  <c r="D474" i="9"/>
  <c r="C474" i="9"/>
  <c r="B474" i="9"/>
  <c r="A474" i="9"/>
  <c r="M473" i="9"/>
  <c r="L473" i="9"/>
  <c r="K473" i="9"/>
  <c r="J473" i="9"/>
  <c r="I473" i="9"/>
  <c r="H473" i="9"/>
  <c r="G473" i="9"/>
  <c r="F473" i="9"/>
  <c r="E473" i="9"/>
  <c r="D473" i="9"/>
  <c r="C473" i="9"/>
  <c r="B473" i="9"/>
  <c r="A473" i="9"/>
  <c r="M472" i="9"/>
  <c r="L472" i="9"/>
  <c r="K472" i="9"/>
  <c r="J472" i="9"/>
  <c r="I472" i="9"/>
  <c r="H472" i="9"/>
  <c r="G472" i="9"/>
  <c r="F472" i="9"/>
  <c r="E472" i="9"/>
  <c r="D472" i="9"/>
  <c r="C472" i="9"/>
  <c r="B472" i="9"/>
  <c r="A472" i="9"/>
  <c r="M471" i="9"/>
  <c r="L471" i="9"/>
  <c r="K471" i="9"/>
  <c r="J471" i="9"/>
  <c r="I471" i="9"/>
  <c r="H471" i="9"/>
  <c r="G471" i="9"/>
  <c r="F471" i="9"/>
  <c r="E471" i="9"/>
  <c r="D471" i="9"/>
  <c r="C471" i="9"/>
  <c r="B471" i="9"/>
  <c r="A471" i="9"/>
  <c r="M470" i="9"/>
  <c r="L470" i="9"/>
  <c r="K470" i="9"/>
  <c r="J470" i="9"/>
  <c r="I470" i="9"/>
  <c r="H470" i="9"/>
  <c r="G470" i="9"/>
  <c r="F470" i="9"/>
  <c r="E470" i="9"/>
  <c r="D470" i="9"/>
  <c r="C470" i="9"/>
  <c r="B470" i="9"/>
  <c r="A470" i="9"/>
  <c r="M469" i="9"/>
  <c r="L469" i="9"/>
  <c r="K469" i="9"/>
  <c r="J469" i="9"/>
  <c r="I469" i="9"/>
  <c r="H469" i="9"/>
  <c r="G469" i="9"/>
  <c r="F469" i="9"/>
  <c r="E469" i="9"/>
  <c r="D469" i="9"/>
  <c r="C469" i="9"/>
  <c r="B469" i="9"/>
  <c r="A469" i="9"/>
  <c r="M468" i="9"/>
  <c r="L468" i="9"/>
  <c r="K468" i="9"/>
  <c r="J468" i="9"/>
  <c r="I468" i="9"/>
  <c r="H468" i="9"/>
  <c r="G468" i="9"/>
  <c r="F468" i="9"/>
  <c r="E468" i="9"/>
  <c r="D468" i="9"/>
  <c r="C468" i="9"/>
  <c r="B468" i="9"/>
  <c r="A468" i="9"/>
  <c r="M467" i="9"/>
  <c r="L467" i="9"/>
  <c r="K467" i="9"/>
  <c r="J467" i="9"/>
  <c r="I467" i="9"/>
  <c r="H467" i="9"/>
  <c r="G467" i="9"/>
  <c r="F467" i="9"/>
  <c r="E467" i="9"/>
  <c r="D467" i="9"/>
  <c r="C467" i="9"/>
  <c r="B467" i="9"/>
  <c r="A467" i="9"/>
  <c r="M466" i="9"/>
  <c r="L466" i="9"/>
  <c r="K466" i="9"/>
  <c r="J466" i="9"/>
  <c r="I466" i="9"/>
  <c r="H466" i="9"/>
  <c r="G466" i="9"/>
  <c r="F466" i="9"/>
  <c r="E466" i="9"/>
  <c r="D466" i="9"/>
  <c r="C466" i="9"/>
  <c r="B466" i="9"/>
  <c r="A466" i="9"/>
  <c r="M465" i="9"/>
  <c r="L465" i="9"/>
  <c r="K465" i="9"/>
  <c r="J465" i="9"/>
  <c r="I465" i="9"/>
  <c r="H465" i="9"/>
  <c r="G465" i="9"/>
  <c r="F465" i="9"/>
  <c r="E465" i="9"/>
  <c r="D465" i="9"/>
  <c r="C465" i="9"/>
  <c r="B465" i="9"/>
  <c r="A465" i="9"/>
  <c r="M464" i="9"/>
  <c r="L464" i="9"/>
  <c r="K464" i="9"/>
  <c r="J464" i="9"/>
  <c r="I464" i="9"/>
  <c r="H464" i="9"/>
  <c r="G464" i="9"/>
  <c r="F464" i="9"/>
  <c r="E464" i="9"/>
  <c r="D464" i="9"/>
  <c r="C464" i="9"/>
  <c r="B464" i="9"/>
  <c r="A464" i="9"/>
  <c r="M463" i="9"/>
  <c r="L463" i="9"/>
  <c r="K463" i="9"/>
  <c r="J463" i="9"/>
  <c r="I463" i="9"/>
  <c r="H463" i="9"/>
  <c r="G463" i="9"/>
  <c r="F463" i="9"/>
  <c r="E463" i="9"/>
  <c r="D463" i="9"/>
  <c r="C463" i="9"/>
  <c r="B463" i="9"/>
  <c r="A463" i="9"/>
  <c r="M462" i="9"/>
  <c r="L462" i="9"/>
  <c r="K462" i="9"/>
  <c r="J462" i="9"/>
  <c r="I462" i="9"/>
  <c r="H462" i="9"/>
  <c r="G462" i="9"/>
  <c r="F462" i="9"/>
  <c r="E462" i="9"/>
  <c r="D462" i="9"/>
  <c r="C462" i="9"/>
  <c r="B462" i="9"/>
  <c r="A462" i="9"/>
  <c r="M461" i="9"/>
  <c r="L461" i="9"/>
  <c r="K461" i="9"/>
  <c r="J461" i="9"/>
  <c r="I461" i="9"/>
  <c r="H461" i="9"/>
  <c r="G461" i="9"/>
  <c r="F461" i="9"/>
  <c r="E461" i="9"/>
  <c r="D461" i="9"/>
  <c r="C461" i="9"/>
  <c r="B461" i="9"/>
  <c r="A461" i="9"/>
  <c r="M460" i="9"/>
  <c r="L460" i="9"/>
  <c r="K460" i="9"/>
  <c r="J460" i="9"/>
  <c r="I460" i="9"/>
  <c r="H460" i="9"/>
  <c r="G460" i="9"/>
  <c r="F460" i="9"/>
  <c r="E460" i="9"/>
  <c r="D460" i="9"/>
  <c r="C460" i="9"/>
  <c r="B460" i="9"/>
  <c r="A460" i="9"/>
  <c r="M459" i="9"/>
  <c r="L459" i="9"/>
  <c r="K459" i="9"/>
  <c r="J459" i="9"/>
  <c r="I459" i="9"/>
  <c r="H459" i="9"/>
  <c r="G459" i="9"/>
  <c r="F459" i="9"/>
  <c r="E459" i="9"/>
  <c r="D459" i="9"/>
  <c r="C459" i="9"/>
  <c r="B459" i="9"/>
  <c r="A459" i="9"/>
  <c r="M458" i="9"/>
  <c r="L458" i="9"/>
  <c r="K458" i="9"/>
  <c r="J458" i="9"/>
  <c r="I458" i="9"/>
  <c r="H458" i="9"/>
  <c r="G458" i="9"/>
  <c r="F458" i="9"/>
  <c r="E458" i="9"/>
  <c r="D458" i="9"/>
  <c r="C458" i="9"/>
  <c r="B458" i="9"/>
  <c r="A458" i="9"/>
  <c r="M457" i="9"/>
  <c r="L457" i="9"/>
  <c r="K457" i="9"/>
  <c r="J457" i="9"/>
  <c r="I457" i="9"/>
  <c r="H457" i="9"/>
  <c r="G457" i="9"/>
  <c r="F457" i="9"/>
  <c r="E457" i="9"/>
  <c r="D457" i="9"/>
  <c r="C457" i="9"/>
  <c r="B457" i="9"/>
  <c r="A457" i="9"/>
  <c r="M456" i="9"/>
  <c r="L456" i="9"/>
  <c r="K456" i="9"/>
  <c r="J456" i="9"/>
  <c r="I456" i="9"/>
  <c r="H456" i="9"/>
  <c r="G456" i="9"/>
  <c r="F456" i="9"/>
  <c r="E456" i="9"/>
  <c r="D456" i="9"/>
  <c r="C456" i="9"/>
  <c r="B456" i="9"/>
  <c r="A456" i="9"/>
  <c r="M455" i="9"/>
  <c r="L455" i="9"/>
  <c r="K455" i="9"/>
  <c r="J455" i="9"/>
  <c r="I455" i="9"/>
  <c r="H455" i="9"/>
  <c r="G455" i="9"/>
  <c r="F455" i="9"/>
  <c r="E455" i="9"/>
  <c r="D455" i="9"/>
  <c r="C455" i="9"/>
  <c r="B455" i="9"/>
  <c r="A455" i="9"/>
  <c r="M454" i="9"/>
  <c r="L454" i="9"/>
  <c r="K454" i="9"/>
  <c r="J454" i="9"/>
  <c r="I454" i="9"/>
  <c r="H454" i="9"/>
  <c r="G454" i="9"/>
  <c r="F454" i="9"/>
  <c r="E454" i="9"/>
  <c r="D454" i="9"/>
  <c r="C454" i="9"/>
  <c r="B454" i="9"/>
  <c r="A454" i="9"/>
  <c r="M453" i="9"/>
  <c r="L453" i="9"/>
  <c r="K453" i="9"/>
  <c r="J453" i="9"/>
  <c r="I453" i="9"/>
  <c r="H453" i="9"/>
  <c r="G453" i="9"/>
  <c r="F453" i="9"/>
  <c r="E453" i="9"/>
  <c r="D453" i="9"/>
  <c r="C453" i="9"/>
  <c r="B453" i="9"/>
  <c r="A453" i="9"/>
  <c r="M452" i="9"/>
  <c r="L452" i="9"/>
  <c r="K452" i="9"/>
  <c r="J452" i="9"/>
  <c r="I452" i="9"/>
  <c r="H452" i="9"/>
  <c r="G452" i="9"/>
  <c r="F452" i="9"/>
  <c r="E452" i="9"/>
  <c r="D452" i="9"/>
  <c r="C452" i="9"/>
  <c r="B452" i="9"/>
  <c r="A452" i="9"/>
  <c r="M451" i="9"/>
  <c r="L451" i="9"/>
  <c r="K451" i="9"/>
  <c r="J451" i="9"/>
  <c r="I451" i="9"/>
  <c r="H451" i="9"/>
  <c r="G451" i="9"/>
  <c r="F451" i="9"/>
  <c r="E451" i="9"/>
  <c r="D451" i="9"/>
  <c r="C451" i="9"/>
  <c r="B451" i="9"/>
  <c r="A451" i="9"/>
  <c r="M450" i="9"/>
  <c r="L450" i="9"/>
  <c r="K450" i="9"/>
  <c r="J450" i="9"/>
  <c r="I450" i="9"/>
  <c r="H450" i="9"/>
  <c r="G450" i="9"/>
  <c r="F450" i="9"/>
  <c r="E450" i="9"/>
  <c r="D450" i="9"/>
  <c r="C450" i="9"/>
  <c r="B450" i="9"/>
  <c r="A450" i="9"/>
  <c r="M449" i="9"/>
  <c r="L449" i="9"/>
  <c r="K449" i="9"/>
  <c r="J449" i="9"/>
  <c r="I449" i="9"/>
  <c r="H449" i="9"/>
  <c r="G449" i="9"/>
  <c r="F449" i="9"/>
  <c r="E449" i="9"/>
  <c r="D449" i="9"/>
  <c r="C449" i="9"/>
  <c r="B449" i="9"/>
  <c r="A449" i="9"/>
  <c r="M448" i="9"/>
  <c r="L448" i="9"/>
  <c r="K448" i="9"/>
  <c r="J448" i="9"/>
  <c r="I448" i="9"/>
  <c r="H448" i="9"/>
  <c r="G448" i="9"/>
  <c r="F448" i="9"/>
  <c r="E448" i="9"/>
  <c r="D448" i="9"/>
  <c r="C448" i="9"/>
  <c r="B448" i="9"/>
  <c r="A448" i="9"/>
  <c r="M447" i="9"/>
  <c r="L447" i="9"/>
  <c r="K447" i="9"/>
  <c r="J447" i="9"/>
  <c r="I447" i="9"/>
  <c r="H447" i="9"/>
  <c r="G447" i="9"/>
  <c r="F447" i="9"/>
  <c r="E447" i="9"/>
  <c r="D447" i="9"/>
  <c r="C447" i="9"/>
  <c r="B447" i="9"/>
  <c r="A447" i="9"/>
  <c r="M446" i="9"/>
  <c r="L446" i="9"/>
  <c r="K446" i="9"/>
  <c r="J446" i="9"/>
  <c r="I446" i="9"/>
  <c r="H446" i="9"/>
  <c r="G446" i="9"/>
  <c r="F446" i="9"/>
  <c r="E446" i="9"/>
  <c r="D446" i="9"/>
  <c r="C446" i="9"/>
  <c r="B446" i="9"/>
  <c r="A446" i="9"/>
  <c r="M445" i="9"/>
  <c r="L445" i="9"/>
  <c r="K445" i="9"/>
  <c r="J445" i="9"/>
  <c r="I445" i="9"/>
  <c r="H445" i="9"/>
  <c r="G445" i="9"/>
  <c r="F445" i="9"/>
  <c r="E445" i="9"/>
  <c r="D445" i="9"/>
  <c r="C445" i="9"/>
  <c r="B445" i="9"/>
  <c r="A445" i="9"/>
  <c r="M444" i="9"/>
  <c r="L444" i="9"/>
  <c r="K444" i="9"/>
  <c r="J444" i="9"/>
  <c r="I444" i="9"/>
  <c r="H444" i="9"/>
  <c r="G444" i="9"/>
  <c r="F444" i="9"/>
  <c r="E444" i="9"/>
  <c r="D444" i="9"/>
  <c r="C444" i="9"/>
  <c r="B444" i="9"/>
  <c r="A444" i="9"/>
  <c r="M443" i="9"/>
  <c r="L443" i="9"/>
  <c r="K443" i="9"/>
  <c r="J443" i="9"/>
  <c r="I443" i="9"/>
  <c r="H443" i="9"/>
  <c r="G443" i="9"/>
  <c r="F443" i="9"/>
  <c r="E443" i="9"/>
  <c r="D443" i="9"/>
  <c r="C443" i="9"/>
  <c r="B443" i="9"/>
  <c r="A443" i="9"/>
  <c r="M442" i="9"/>
  <c r="L442" i="9"/>
  <c r="K442" i="9"/>
  <c r="J442" i="9"/>
  <c r="I442" i="9"/>
  <c r="H442" i="9"/>
  <c r="G442" i="9"/>
  <c r="F442" i="9"/>
  <c r="E442" i="9"/>
  <c r="D442" i="9"/>
  <c r="C442" i="9"/>
  <c r="B442" i="9"/>
  <c r="A442" i="9"/>
  <c r="M441" i="9"/>
  <c r="L441" i="9"/>
  <c r="K441" i="9"/>
  <c r="J441" i="9"/>
  <c r="I441" i="9"/>
  <c r="H441" i="9"/>
  <c r="G441" i="9"/>
  <c r="F441" i="9"/>
  <c r="E441" i="9"/>
  <c r="D441" i="9"/>
  <c r="C441" i="9"/>
  <c r="B441" i="9"/>
  <c r="A441" i="9"/>
  <c r="M440" i="9"/>
  <c r="L440" i="9"/>
  <c r="K440" i="9"/>
  <c r="J440" i="9"/>
  <c r="I440" i="9"/>
  <c r="H440" i="9"/>
  <c r="G440" i="9"/>
  <c r="F440" i="9"/>
  <c r="E440" i="9"/>
  <c r="D440" i="9"/>
  <c r="C440" i="9"/>
  <c r="B440" i="9"/>
  <c r="A440" i="9"/>
  <c r="M439" i="9"/>
  <c r="L439" i="9"/>
  <c r="K439" i="9"/>
  <c r="J439" i="9"/>
  <c r="I439" i="9"/>
  <c r="H439" i="9"/>
  <c r="G439" i="9"/>
  <c r="F439" i="9"/>
  <c r="E439" i="9"/>
  <c r="D439" i="9"/>
  <c r="C439" i="9"/>
  <c r="B439" i="9"/>
  <c r="A439" i="9"/>
  <c r="M438" i="9"/>
  <c r="L438" i="9"/>
  <c r="K438" i="9"/>
  <c r="J438" i="9"/>
  <c r="I438" i="9"/>
  <c r="H438" i="9"/>
  <c r="G438" i="9"/>
  <c r="F438" i="9"/>
  <c r="E438" i="9"/>
  <c r="D438" i="9"/>
  <c r="C438" i="9"/>
  <c r="B438" i="9"/>
  <c r="A438" i="9"/>
  <c r="M437" i="9"/>
  <c r="L437" i="9"/>
  <c r="K437" i="9"/>
  <c r="J437" i="9"/>
  <c r="I437" i="9"/>
  <c r="H437" i="9"/>
  <c r="G437" i="9"/>
  <c r="F437" i="9"/>
  <c r="E437" i="9"/>
  <c r="D437" i="9"/>
  <c r="C437" i="9"/>
  <c r="B437" i="9"/>
  <c r="A437" i="9"/>
  <c r="M436" i="9"/>
  <c r="L436" i="9"/>
  <c r="K436" i="9"/>
  <c r="J436" i="9"/>
  <c r="I436" i="9"/>
  <c r="H436" i="9"/>
  <c r="G436" i="9"/>
  <c r="F436" i="9"/>
  <c r="E436" i="9"/>
  <c r="D436" i="9"/>
  <c r="C436" i="9"/>
  <c r="B436" i="9"/>
  <c r="A436" i="9"/>
  <c r="M435" i="9"/>
  <c r="L435" i="9"/>
  <c r="K435" i="9"/>
  <c r="J435" i="9"/>
  <c r="I435" i="9"/>
  <c r="H435" i="9"/>
  <c r="G435" i="9"/>
  <c r="F435" i="9"/>
  <c r="E435" i="9"/>
  <c r="D435" i="9"/>
  <c r="C435" i="9"/>
  <c r="B435" i="9"/>
  <c r="A435" i="9"/>
  <c r="M434" i="9"/>
  <c r="L434" i="9"/>
  <c r="K434" i="9"/>
  <c r="J434" i="9"/>
  <c r="I434" i="9"/>
  <c r="H434" i="9"/>
  <c r="G434" i="9"/>
  <c r="F434" i="9"/>
  <c r="E434" i="9"/>
  <c r="D434" i="9"/>
  <c r="C434" i="9"/>
  <c r="B434" i="9"/>
  <c r="A434" i="9"/>
  <c r="M433" i="9"/>
  <c r="L433" i="9"/>
  <c r="K433" i="9"/>
  <c r="J433" i="9"/>
  <c r="I433" i="9"/>
  <c r="H433" i="9"/>
  <c r="G433" i="9"/>
  <c r="F433" i="9"/>
  <c r="E433" i="9"/>
  <c r="D433" i="9"/>
  <c r="C433" i="9"/>
  <c r="B433" i="9"/>
  <c r="A433" i="9"/>
  <c r="M432" i="9"/>
  <c r="L432" i="9"/>
  <c r="K432" i="9"/>
  <c r="J432" i="9"/>
  <c r="I432" i="9"/>
  <c r="H432" i="9"/>
  <c r="G432" i="9"/>
  <c r="F432" i="9"/>
  <c r="E432" i="9"/>
  <c r="D432" i="9"/>
  <c r="C432" i="9"/>
  <c r="B432" i="9"/>
  <c r="A432" i="9"/>
  <c r="M431" i="9"/>
  <c r="L431" i="9"/>
  <c r="K431" i="9"/>
  <c r="J431" i="9"/>
  <c r="I431" i="9"/>
  <c r="H431" i="9"/>
  <c r="G431" i="9"/>
  <c r="F431" i="9"/>
  <c r="E431" i="9"/>
  <c r="D431" i="9"/>
  <c r="C431" i="9"/>
  <c r="B431" i="9"/>
  <c r="A431" i="9"/>
  <c r="M430" i="9"/>
  <c r="L430" i="9"/>
  <c r="K430" i="9"/>
  <c r="J430" i="9"/>
  <c r="I430" i="9"/>
  <c r="H430" i="9"/>
  <c r="G430" i="9"/>
  <c r="F430" i="9"/>
  <c r="E430" i="9"/>
  <c r="D430" i="9"/>
  <c r="C430" i="9"/>
  <c r="B430" i="9"/>
  <c r="A430" i="9"/>
  <c r="M429" i="9"/>
  <c r="L429" i="9"/>
  <c r="K429" i="9"/>
  <c r="J429" i="9"/>
  <c r="I429" i="9"/>
  <c r="H429" i="9"/>
  <c r="G429" i="9"/>
  <c r="F429" i="9"/>
  <c r="E429" i="9"/>
  <c r="D429" i="9"/>
  <c r="C429" i="9"/>
  <c r="B429" i="9"/>
  <c r="A429" i="9"/>
  <c r="M428" i="9"/>
  <c r="L428" i="9"/>
  <c r="K428" i="9"/>
  <c r="J428" i="9"/>
  <c r="I428" i="9"/>
  <c r="H428" i="9"/>
  <c r="G428" i="9"/>
  <c r="F428" i="9"/>
  <c r="E428" i="9"/>
  <c r="D428" i="9"/>
  <c r="C428" i="9"/>
  <c r="B428" i="9"/>
  <c r="A428" i="9"/>
  <c r="M427" i="9"/>
  <c r="L427" i="9"/>
  <c r="K427" i="9"/>
  <c r="J427" i="9"/>
  <c r="I427" i="9"/>
  <c r="H427" i="9"/>
  <c r="G427" i="9"/>
  <c r="F427" i="9"/>
  <c r="E427" i="9"/>
  <c r="D427" i="9"/>
  <c r="C427" i="9"/>
  <c r="B427" i="9"/>
  <c r="A427" i="9"/>
  <c r="M426" i="9"/>
  <c r="L426" i="9"/>
  <c r="K426" i="9"/>
  <c r="J426" i="9"/>
  <c r="I426" i="9"/>
  <c r="H426" i="9"/>
  <c r="G426" i="9"/>
  <c r="F426" i="9"/>
  <c r="E426" i="9"/>
  <c r="D426" i="9"/>
  <c r="C426" i="9"/>
  <c r="B426" i="9"/>
  <c r="A426" i="9"/>
  <c r="M425" i="9"/>
  <c r="L425" i="9"/>
  <c r="K425" i="9"/>
  <c r="J425" i="9"/>
  <c r="I425" i="9"/>
  <c r="H425" i="9"/>
  <c r="G425" i="9"/>
  <c r="F425" i="9"/>
  <c r="E425" i="9"/>
  <c r="D425" i="9"/>
  <c r="C425" i="9"/>
  <c r="B425" i="9"/>
  <c r="A425" i="9"/>
  <c r="M424" i="9"/>
  <c r="L424" i="9"/>
  <c r="K424" i="9"/>
  <c r="J424" i="9"/>
  <c r="I424" i="9"/>
  <c r="H424" i="9"/>
  <c r="G424" i="9"/>
  <c r="F424" i="9"/>
  <c r="E424" i="9"/>
  <c r="D424" i="9"/>
  <c r="C424" i="9"/>
  <c r="B424" i="9"/>
  <c r="A424" i="9"/>
  <c r="M423" i="9"/>
  <c r="L423" i="9"/>
  <c r="K423" i="9"/>
  <c r="J423" i="9"/>
  <c r="I423" i="9"/>
  <c r="H423" i="9"/>
  <c r="G423" i="9"/>
  <c r="F423" i="9"/>
  <c r="E423" i="9"/>
  <c r="D423" i="9"/>
  <c r="C423" i="9"/>
  <c r="B423" i="9"/>
  <c r="A423" i="9"/>
  <c r="M422" i="9"/>
  <c r="L422" i="9"/>
  <c r="K422" i="9"/>
  <c r="J422" i="9"/>
  <c r="I422" i="9"/>
  <c r="H422" i="9"/>
  <c r="G422" i="9"/>
  <c r="F422" i="9"/>
  <c r="E422" i="9"/>
  <c r="D422" i="9"/>
  <c r="C422" i="9"/>
  <c r="B422" i="9"/>
  <c r="A422" i="9"/>
  <c r="M421" i="9"/>
  <c r="L421" i="9"/>
  <c r="K421" i="9"/>
  <c r="J421" i="9"/>
  <c r="I421" i="9"/>
  <c r="H421" i="9"/>
  <c r="G421" i="9"/>
  <c r="F421" i="9"/>
  <c r="E421" i="9"/>
  <c r="D421" i="9"/>
  <c r="C421" i="9"/>
  <c r="B421" i="9"/>
  <c r="A421" i="9"/>
  <c r="M420" i="9"/>
  <c r="L420" i="9"/>
  <c r="K420" i="9"/>
  <c r="J420" i="9"/>
  <c r="I420" i="9"/>
  <c r="H420" i="9"/>
  <c r="G420" i="9"/>
  <c r="F420" i="9"/>
  <c r="E420" i="9"/>
  <c r="D420" i="9"/>
  <c r="C420" i="9"/>
  <c r="B420" i="9"/>
  <c r="A420" i="9"/>
  <c r="M419" i="9"/>
  <c r="L419" i="9"/>
  <c r="K419" i="9"/>
  <c r="J419" i="9"/>
  <c r="I419" i="9"/>
  <c r="H419" i="9"/>
  <c r="G419" i="9"/>
  <c r="F419" i="9"/>
  <c r="E419" i="9"/>
  <c r="D419" i="9"/>
  <c r="C419" i="9"/>
  <c r="B419" i="9"/>
  <c r="A419" i="9"/>
  <c r="M418" i="9"/>
  <c r="L418" i="9"/>
  <c r="K418" i="9"/>
  <c r="J418" i="9"/>
  <c r="I418" i="9"/>
  <c r="H418" i="9"/>
  <c r="G418" i="9"/>
  <c r="F418" i="9"/>
  <c r="E418" i="9"/>
  <c r="D418" i="9"/>
  <c r="C418" i="9"/>
  <c r="B418" i="9"/>
  <c r="A418" i="9"/>
  <c r="M417" i="9"/>
  <c r="L417" i="9"/>
  <c r="K417" i="9"/>
  <c r="J417" i="9"/>
  <c r="I417" i="9"/>
  <c r="H417" i="9"/>
  <c r="G417" i="9"/>
  <c r="F417" i="9"/>
  <c r="E417" i="9"/>
  <c r="D417" i="9"/>
  <c r="C417" i="9"/>
  <c r="B417" i="9"/>
  <c r="A417" i="9"/>
  <c r="M416" i="9"/>
  <c r="L416" i="9"/>
  <c r="K416" i="9"/>
  <c r="J416" i="9"/>
  <c r="I416" i="9"/>
  <c r="H416" i="9"/>
  <c r="G416" i="9"/>
  <c r="F416" i="9"/>
  <c r="E416" i="9"/>
  <c r="D416" i="9"/>
  <c r="C416" i="9"/>
  <c r="B416" i="9"/>
  <c r="A416" i="9"/>
  <c r="M415" i="9"/>
  <c r="L415" i="9"/>
  <c r="K415" i="9"/>
  <c r="J415" i="9"/>
  <c r="I415" i="9"/>
  <c r="H415" i="9"/>
  <c r="G415" i="9"/>
  <c r="F415" i="9"/>
  <c r="E415" i="9"/>
  <c r="D415" i="9"/>
  <c r="C415" i="9"/>
  <c r="B415" i="9"/>
  <c r="A415" i="9"/>
  <c r="M414" i="9"/>
  <c r="L414" i="9"/>
  <c r="K414" i="9"/>
  <c r="J414" i="9"/>
  <c r="I414" i="9"/>
  <c r="H414" i="9"/>
  <c r="G414" i="9"/>
  <c r="F414" i="9"/>
  <c r="E414" i="9"/>
  <c r="D414" i="9"/>
  <c r="C414" i="9"/>
  <c r="B414" i="9"/>
  <c r="A414" i="9"/>
  <c r="M413" i="9"/>
  <c r="L413" i="9"/>
  <c r="K413" i="9"/>
  <c r="J413" i="9"/>
  <c r="I413" i="9"/>
  <c r="H413" i="9"/>
  <c r="G413" i="9"/>
  <c r="F413" i="9"/>
  <c r="E413" i="9"/>
  <c r="D413" i="9"/>
  <c r="C413" i="9"/>
  <c r="B413" i="9"/>
  <c r="A413" i="9"/>
  <c r="M412" i="9"/>
  <c r="L412" i="9"/>
  <c r="K412" i="9"/>
  <c r="J412" i="9"/>
  <c r="I412" i="9"/>
  <c r="H412" i="9"/>
  <c r="G412" i="9"/>
  <c r="F412" i="9"/>
  <c r="E412" i="9"/>
  <c r="D412" i="9"/>
  <c r="C412" i="9"/>
  <c r="B412" i="9"/>
  <c r="A412" i="9"/>
  <c r="M411" i="9"/>
  <c r="L411" i="9"/>
  <c r="K411" i="9"/>
  <c r="J411" i="9"/>
  <c r="I411" i="9"/>
  <c r="H411" i="9"/>
  <c r="G411" i="9"/>
  <c r="F411" i="9"/>
  <c r="E411" i="9"/>
  <c r="D411" i="9"/>
  <c r="C411" i="9"/>
  <c r="B411" i="9"/>
  <c r="A411" i="9"/>
  <c r="M410" i="9"/>
  <c r="L410" i="9"/>
  <c r="K410" i="9"/>
  <c r="J410" i="9"/>
  <c r="I410" i="9"/>
  <c r="H410" i="9"/>
  <c r="G410" i="9"/>
  <c r="F410" i="9"/>
  <c r="E410" i="9"/>
  <c r="D410" i="9"/>
  <c r="C410" i="9"/>
  <c r="B410" i="9"/>
  <c r="A410" i="9"/>
  <c r="M409" i="9"/>
  <c r="L409" i="9"/>
  <c r="K409" i="9"/>
  <c r="J409" i="9"/>
  <c r="I409" i="9"/>
  <c r="H409" i="9"/>
  <c r="G409" i="9"/>
  <c r="F409" i="9"/>
  <c r="E409" i="9"/>
  <c r="D409" i="9"/>
  <c r="C409" i="9"/>
  <c r="B409" i="9"/>
  <c r="A409" i="9"/>
  <c r="M408" i="9"/>
  <c r="L408" i="9"/>
  <c r="K408" i="9"/>
  <c r="J408" i="9"/>
  <c r="I408" i="9"/>
  <c r="H408" i="9"/>
  <c r="G408" i="9"/>
  <c r="F408" i="9"/>
  <c r="E408" i="9"/>
  <c r="D408" i="9"/>
  <c r="C408" i="9"/>
  <c r="B408" i="9"/>
  <c r="A408" i="9"/>
  <c r="M407" i="9"/>
  <c r="L407" i="9"/>
  <c r="K407" i="9"/>
  <c r="J407" i="9"/>
  <c r="I407" i="9"/>
  <c r="H407" i="9"/>
  <c r="G407" i="9"/>
  <c r="F407" i="9"/>
  <c r="E407" i="9"/>
  <c r="D407" i="9"/>
  <c r="C407" i="9"/>
  <c r="B407" i="9"/>
  <c r="A407" i="9"/>
  <c r="M406" i="9"/>
  <c r="L406" i="9"/>
  <c r="K406" i="9"/>
  <c r="J406" i="9"/>
  <c r="I406" i="9"/>
  <c r="H406" i="9"/>
  <c r="G406" i="9"/>
  <c r="F406" i="9"/>
  <c r="E406" i="9"/>
  <c r="D406" i="9"/>
  <c r="C406" i="9"/>
  <c r="B406" i="9"/>
  <c r="A406" i="9"/>
  <c r="M405" i="9"/>
  <c r="L405" i="9"/>
  <c r="K405" i="9"/>
  <c r="J405" i="9"/>
  <c r="I405" i="9"/>
  <c r="H405" i="9"/>
  <c r="G405" i="9"/>
  <c r="F405" i="9"/>
  <c r="E405" i="9"/>
  <c r="D405" i="9"/>
  <c r="C405" i="9"/>
  <c r="B405" i="9"/>
  <c r="A405" i="9"/>
  <c r="M404" i="9"/>
  <c r="L404" i="9"/>
  <c r="K404" i="9"/>
  <c r="J404" i="9"/>
  <c r="I404" i="9"/>
  <c r="H404" i="9"/>
  <c r="G404" i="9"/>
  <c r="F404" i="9"/>
  <c r="E404" i="9"/>
  <c r="D404" i="9"/>
  <c r="C404" i="9"/>
  <c r="B404" i="9"/>
  <c r="A404" i="9"/>
  <c r="M403" i="9"/>
  <c r="L403" i="9"/>
  <c r="K403" i="9"/>
  <c r="J403" i="9"/>
  <c r="I403" i="9"/>
  <c r="H403" i="9"/>
  <c r="G403" i="9"/>
  <c r="F403" i="9"/>
  <c r="E403" i="9"/>
  <c r="D403" i="9"/>
  <c r="C403" i="9"/>
  <c r="B403" i="9"/>
  <c r="A403" i="9"/>
  <c r="M402" i="9"/>
  <c r="L402" i="9"/>
  <c r="K402" i="9"/>
  <c r="J402" i="9"/>
  <c r="I402" i="9"/>
  <c r="H402" i="9"/>
  <c r="G402" i="9"/>
  <c r="F402" i="9"/>
  <c r="E402" i="9"/>
  <c r="D402" i="9"/>
  <c r="C402" i="9"/>
  <c r="B402" i="9"/>
  <c r="A402" i="9"/>
  <c r="M401" i="9"/>
  <c r="L401" i="9"/>
  <c r="K401" i="9"/>
  <c r="J401" i="9"/>
  <c r="I401" i="9"/>
  <c r="H401" i="9"/>
  <c r="G401" i="9"/>
  <c r="F401" i="9"/>
  <c r="E401" i="9"/>
  <c r="D401" i="9"/>
  <c r="C401" i="9"/>
  <c r="B401" i="9"/>
  <c r="A401" i="9"/>
  <c r="M400" i="9"/>
  <c r="L400" i="9"/>
  <c r="K400" i="9"/>
  <c r="J400" i="9"/>
  <c r="I400" i="9"/>
  <c r="H400" i="9"/>
  <c r="G400" i="9"/>
  <c r="F400" i="9"/>
  <c r="E400" i="9"/>
  <c r="D400" i="9"/>
  <c r="C400" i="9"/>
  <c r="B400" i="9"/>
  <c r="A400" i="9"/>
  <c r="M399" i="9"/>
  <c r="L399" i="9"/>
  <c r="K399" i="9"/>
  <c r="J399" i="9"/>
  <c r="I399" i="9"/>
  <c r="H399" i="9"/>
  <c r="G399" i="9"/>
  <c r="F399" i="9"/>
  <c r="E399" i="9"/>
  <c r="D399" i="9"/>
  <c r="C399" i="9"/>
  <c r="B399" i="9"/>
  <c r="A399" i="9"/>
  <c r="M398" i="9"/>
  <c r="L398" i="9"/>
  <c r="K398" i="9"/>
  <c r="J398" i="9"/>
  <c r="I398" i="9"/>
  <c r="H398" i="9"/>
  <c r="G398" i="9"/>
  <c r="F398" i="9"/>
  <c r="E398" i="9"/>
  <c r="D398" i="9"/>
  <c r="C398" i="9"/>
  <c r="B398" i="9"/>
  <c r="A398" i="9"/>
  <c r="M397" i="9"/>
  <c r="L397" i="9"/>
  <c r="K397" i="9"/>
  <c r="J397" i="9"/>
  <c r="I397" i="9"/>
  <c r="H397" i="9"/>
  <c r="G397" i="9"/>
  <c r="F397" i="9"/>
  <c r="E397" i="9"/>
  <c r="D397" i="9"/>
  <c r="C397" i="9"/>
  <c r="B397" i="9"/>
  <c r="A397" i="9"/>
  <c r="M396" i="9"/>
  <c r="L396" i="9"/>
  <c r="K396" i="9"/>
  <c r="J396" i="9"/>
  <c r="I396" i="9"/>
  <c r="H396" i="9"/>
  <c r="G396" i="9"/>
  <c r="F396" i="9"/>
  <c r="E396" i="9"/>
  <c r="D396" i="9"/>
  <c r="C396" i="9"/>
  <c r="B396" i="9"/>
  <c r="A396" i="9"/>
  <c r="M395" i="9"/>
  <c r="L395" i="9"/>
  <c r="K395" i="9"/>
  <c r="J395" i="9"/>
  <c r="I395" i="9"/>
  <c r="H395" i="9"/>
  <c r="G395" i="9"/>
  <c r="F395" i="9"/>
  <c r="E395" i="9"/>
  <c r="D395" i="9"/>
  <c r="C395" i="9"/>
  <c r="B395" i="9"/>
  <c r="A395" i="9"/>
  <c r="M394" i="9"/>
  <c r="L394" i="9"/>
  <c r="K394" i="9"/>
  <c r="J394" i="9"/>
  <c r="I394" i="9"/>
  <c r="H394" i="9"/>
  <c r="G394" i="9"/>
  <c r="F394" i="9"/>
  <c r="E394" i="9"/>
  <c r="D394" i="9"/>
  <c r="C394" i="9"/>
  <c r="B394" i="9"/>
  <c r="A394" i="9"/>
  <c r="M393" i="9"/>
  <c r="L393" i="9"/>
  <c r="K393" i="9"/>
  <c r="J393" i="9"/>
  <c r="I393" i="9"/>
  <c r="H393" i="9"/>
  <c r="G393" i="9"/>
  <c r="F393" i="9"/>
  <c r="E393" i="9"/>
  <c r="D393" i="9"/>
  <c r="C393" i="9"/>
  <c r="B393" i="9"/>
  <c r="A393" i="9"/>
  <c r="M392" i="9"/>
  <c r="L392" i="9"/>
  <c r="K392" i="9"/>
  <c r="J392" i="9"/>
  <c r="I392" i="9"/>
  <c r="H392" i="9"/>
  <c r="G392" i="9"/>
  <c r="F392" i="9"/>
  <c r="E392" i="9"/>
  <c r="D392" i="9"/>
  <c r="C392" i="9"/>
  <c r="B392" i="9"/>
  <c r="A392" i="9"/>
  <c r="M391" i="9"/>
  <c r="L391" i="9"/>
  <c r="K391" i="9"/>
  <c r="J391" i="9"/>
  <c r="I391" i="9"/>
  <c r="H391" i="9"/>
  <c r="G391" i="9"/>
  <c r="F391" i="9"/>
  <c r="E391" i="9"/>
  <c r="D391" i="9"/>
  <c r="C391" i="9"/>
  <c r="B391" i="9"/>
  <c r="A391" i="9"/>
  <c r="M390" i="9"/>
  <c r="L390" i="9"/>
  <c r="K390" i="9"/>
  <c r="J390" i="9"/>
  <c r="I390" i="9"/>
  <c r="H390" i="9"/>
  <c r="G390" i="9"/>
  <c r="F390" i="9"/>
  <c r="E390" i="9"/>
  <c r="D390" i="9"/>
  <c r="C390" i="9"/>
  <c r="B390" i="9"/>
  <c r="A390" i="9"/>
  <c r="M389" i="9"/>
  <c r="L389" i="9"/>
  <c r="K389" i="9"/>
  <c r="J389" i="9"/>
  <c r="I389" i="9"/>
  <c r="H389" i="9"/>
  <c r="G389" i="9"/>
  <c r="F389" i="9"/>
  <c r="E389" i="9"/>
  <c r="D389" i="9"/>
  <c r="C389" i="9"/>
  <c r="B389" i="9"/>
  <c r="A389" i="9"/>
  <c r="M388" i="9"/>
  <c r="L388" i="9"/>
  <c r="K388" i="9"/>
  <c r="J388" i="9"/>
  <c r="I388" i="9"/>
  <c r="H388" i="9"/>
  <c r="G388" i="9"/>
  <c r="F388" i="9"/>
  <c r="E388" i="9"/>
  <c r="D388" i="9"/>
  <c r="C388" i="9"/>
  <c r="B388" i="9"/>
  <c r="A388" i="9"/>
  <c r="M387" i="9"/>
  <c r="L387" i="9"/>
  <c r="K387" i="9"/>
  <c r="J387" i="9"/>
  <c r="I387" i="9"/>
  <c r="H387" i="9"/>
  <c r="G387" i="9"/>
  <c r="F387" i="9"/>
  <c r="E387" i="9"/>
  <c r="D387" i="9"/>
  <c r="C387" i="9"/>
  <c r="B387" i="9"/>
  <c r="A387" i="9"/>
  <c r="M386" i="9"/>
  <c r="L386" i="9"/>
  <c r="K386" i="9"/>
  <c r="J386" i="9"/>
  <c r="I386" i="9"/>
  <c r="H386" i="9"/>
  <c r="G386" i="9"/>
  <c r="F386" i="9"/>
  <c r="E386" i="9"/>
  <c r="D386" i="9"/>
  <c r="C386" i="9"/>
  <c r="B386" i="9"/>
  <c r="A386" i="9"/>
  <c r="M385" i="9"/>
  <c r="L385" i="9"/>
  <c r="K385" i="9"/>
  <c r="J385" i="9"/>
  <c r="I385" i="9"/>
  <c r="H385" i="9"/>
  <c r="G385" i="9"/>
  <c r="F385" i="9"/>
  <c r="E385" i="9"/>
  <c r="D385" i="9"/>
  <c r="C385" i="9"/>
  <c r="B385" i="9"/>
  <c r="A385" i="9"/>
  <c r="M384" i="9"/>
  <c r="L384" i="9"/>
  <c r="K384" i="9"/>
  <c r="J384" i="9"/>
  <c r="I384" i="9"/>
  <c r="H384" i="9"/>
  <c r="G384" i="9"/>
  <c r="F384" i="9"/>
  <c r="E384" i="9"/>
  <c r="D384" i="9"/>
  <c r="C384" i="9"/>
  <c r="B384" i="9"/>
  <c r="A384" i="9"/>
  <c r="M383" i="9"/>
  <c r="L383" i="9"/>
  <c r="K383" i="9"/>
  <c r="J383" i="9"/>
  <c r="I383" i="9"/>
  <c r="H383" i="9"/>
  <c r="G383" i="9"/>
  <c r="F383" i="9"/>
  <c r="E383" i="9"/>
  <c r="D383" i="9"/>
  <c r="C383" i="9"/>
  <c r="B383" i="9"/>
  <c r="A383" i="9"/>
  <c r="M382" i="9"/>
  <c r="L382" i="9"/>
  <c r="K382" i="9"/>
  <c r="J382" i="9"/>
  <c r="I382" i="9"/>
  <c r="H382" i="9"/>
  <c r="G382" i="9"/>
  <c r="F382" i="9"/>
  <c r="E382" i="9"/>
  <c r="D382" i="9"/>
  <c r="C382" i="9"/>
  <c r="B382" i="9"/>
  <c r="A382" i="9"/>
  <c r="M381" i="9"/>
  <c r="L381" i="9"/>
  <c r="K381" i="9"/>
  <c r="J381" i="9"/>
  <c r="I381" i="9"/>
  <c r="H381" i="9"/>
  <c r="G381" i="9"/>
  <c r="F381" i="9"/>
  <c r="E381" i="9"/>
  <c r="D381" i="9"/>
  <c r="C381" i="9"/>
  <c r="B381" i="9"/>
  <c r="A381" i="9"/>
  <c r="M380" i="9"/>
  <c r="L380" i="9"/>
  <c r="K380" i="9"/>
  <c r="J380" i="9"/>
  <c r="I380" i="9"/>
  <c r="H380" i="9"/>
  <c r="G380" i="9"/>
  <c r="F380" i="9"/>
  <c r="E380" i="9"/>
  <c r="D380" i="9"/>
  <c r="C380" i="9"/>
  <c r="B380" i="9"/>
  <c r="A380" i="9"/>
  <c r="M379" i="9"/>
  <c r="L379" i="9"/>
  <c r="K379" i="9"/>
  <c r="J379" i="9"/>
  <c r="I379" i="9"/>
  <c r="H379" i="9"/>
  <c r="G379" i="9"/>
  <c r="F379" i="9"/>
  <c r="E379" i="9"/>
  <c r="D379" i="9"/>
  <c r="C379" i="9"/>
  <c r="B379" i="9"/>
  <c r="A379" i="9"/>
  <c r="M378" i="9"/>
  <c r="L378" i="9"/>
  <c r="K378" i="9"/>
  <c r="J378" i="9"/>
  <c r="I378" i="9"/>
  <c r="H378" i="9"/>
  <c r="G378" i="9"/>
  <c r="F378" i="9"/>
  <c r="E378" i="9"/>
  <c r="D378" i="9"/>
  <c r="C378" i="9"/>
  <c r="B378" i="9"/>
  <c r="A378" i="9"/>
  <c r="M377" i="9"/>
  <c r="L377" i="9"/>
  <c r="K377" i="9"/>
  <c r="J377" i="9"/>
  <c r="I377" i="9"/>
  <c r="H377" i="9"/>
  <c r="G377" i="9"/>
  <c r="F377" i="9"/>
  <c r="E377" i="9"/>
  <c r="D377" i="9"/>
  <c r="C377" i="9"/>
  <c r="B377" i="9"/>
  <c r="A377" i="9"/>
  <c r="M376" i="9"/>
  <c r="L376" i="9"/>
  <c r="K376" i="9"/>
  <c r="J376" i="9"/>
  <c r="I376" i="9"/>
  <c r="H376" i="9"/>
  <c r="G376" i="9"/>
  <c r="F376" i="9"/>
  <c r="E376" i="9"/>
  <c r="D376" i="9"/>
  <c r="C376" i="9"/>
  <c r="B376" i="9"/>
  <c r="A376" i="9"/>
  <c r="M375" i="9"/>
  <c r="L375" i="9"/>
  <c r="K375" i="9"/>
  <c r="J375" i="9"/>
  <c r="I375" i="9"/>
  <c r="H375" i="9"/>
  <c r="G375" i="9"/>
  <c r="F375" i="9"/>
  <c r="E375" i="9"/>
  <c r="D375" i="9"/>
  <c r="C375" i="9"/>
  <c r="B375" i="9"/>
  <c r="A375" i="9"/>
  <c r="M374" i="9"/>
  <c r="L374" i="9"/>
  <c r="K374" i="9"/>
  <c r="J374" i="9"/>
  <c r="I374" i="9"/>
  <c r="H374" i="9"/>
  <c r="G374" i="9"/>
  <c r="F374" i="9"/>
  <c r="E374" i="9"/>
  <c r="D374" i="9"/>
  <c r="C374" i="9"/>
  <c r="B374" i="9"/>
  <c r="A374" i="9"/>
  <c r="M373" i="9"/>
  <c r="L373" i="9"/>
  <c r="K373" i="9"/>
  <c r="J373" i="9"/>
  <c r="I373" i="9"/>
  <c r="H373" i="9"/>
  <c r="G373" i="9"/>
  <c r="F373" i="9"/>
  <c r="E373" i="9"/>
  <c r="D373" i="9"/>
  <c r="C373" i="9"/>
  <c r="B373" i="9"/>
  <c r="A373" i="9"/>
  <c r="M372" i="9"/>
  <c r="L372" i="9"/>
  <c r="K372" i="9"/>
  <c r="J372" i="9"/>
  <c r="I372" i="9"/>
  <c r="H372" i="9"/>
  <c r="G372" i="9"/>
  <c r="F372" i="9"/>
  <c r="E372" i="9"/>
  <c r="D372" i="9"/>
  <c r="C372" i="9"/>
  <c r="B372" i="9"/>
  <c r="A372" i="9"/>
  <c r="M371" i="9"/>
  <c r="L371" i="9"/>
  <c r="K371" i="9"/>
  <c r="J371" i="9"/>
  <c r="I371" i="9"/>
  <c r="H371" i="9"/>
  <c r="G371" i="9"/>
  <c r="F371" i="9"/>
  <c r="E371" i="9"/>
  <c r="D371" i="9"/>
  <c r="C371" i="9"/>
  <c r="B371" i="9"/>
  <c r="A371" i="9"/>
  <c r="M370" i="9"/>
  <c r="L370" i="9"/>
  <c r="K370" i="9"/>
  <c r="J370" i="9"/>
  <c r="I370" i="9"/>
  <c r="H370" i="9"/>
  <c r="G370" i="9"/>
  <c r="F370" i="9"/>
  <c r="E370" i="9"/>
  <c r="D370" i="9"/>
  <c r="C370" i="9"/>
  <c r="B370" i="9"/>
  <c r="A370" i="9"/>
  <c r="M369" i="9"/>
  <c r="L369" i="9"/>
  <c r="K369" i="9"/>
  <c r="J369" i="9"/>
  <c r="I369" i="9"/>
  <c r="H369" i="9"/>
  <c r="G369" i="9"/>
  <c r="F369" i="9"/>
  <c r="E369" i="9"/>
  <c r="D369" i="9"/>
  <c r="C369" i="9"/>
  <c r="B369" i="9"/>
  <c r="A369" i="9"/>
  <c r="M368" i="9"/>
  <c r="L368" i="9"/>
  <c r="K368" i="9"/>
  <c r="J368" i="9"/>
  <c r="I368" i="9"/>
  <c r="H368" i="9"/>
  <c r="G368" i="9"/>
  <c r="F368" i="9"/>
  <c r="E368" i="9"/>
  <c r="D368" i="9"/>
  <c r="C368" i="9"/>
  <c r="B368" i="9"/>
  <c r="A368" i="9"/>
  <c r="M367" i="9"/>
  <c r="L367" i="9"/>
  <c r="K367" i="9"/>
  <c r="J367" i="9"/>
  <c r="I367" i="9"/>
  <c r="H367" i="9"/>
  <c r="G367" i="9"/>
  <c r="F367" i="9"/>
  <c r="E367" i="9"/>
  <c r="D367" i="9"/>
  <c r="C367" i="9"/>
  <c r="B367" i="9"/>
  <c r="A367" i="9"/>
  <c r="M366" i="9"/>
  <c r="L366" i="9"/>
  <c r="K366" i="9"/>
  <c r="J366" i="9"/>
  <c r="I366" i="9"/>
  <c r="H366" i="9"/>
  <c r="G366" i="9"/>
  <c r="F366" i="9"/>
  <c r="E366" i="9"/>
  <c r="D366" i="9"/>
  <c r="C366" i="9"/>
  <c r="B366" i="9"/>
  <c r="A366" i="9"/>
  <c r="M365" i="9"/>
  <c r="L365" i="9"/>
  <c r="K365" i="9"/>
  <c r="J365" i="9"/>
  <c r="I365" i="9"/>
  <c r="H365" i="9"/>
  <c r="G365" i="9"/>
  <c r="F365" i="9"/>
  <c r="E365" i="9"/>
  <c r="D365" i="9"/>
  <c r="C365" i="9"/>
  <c r="B365" i="9"/>
  <c r="A365" i="9"/>
  <c r="M364" i="9"/>
  <c r="L364" i="9"/>
  <c r="K364" i="9"/>
  <c r="J364" i="9"/>
  <c r="I364" i="9"/>
  <c r="H364" i="9"/>
  <c r="G364" i="9"/>
  <c r="F364" i="9"/>
  <c r="E364" i="9"/>
  <c r="D364" i="9"/>
  <c r="C364" i="9"/>
  <c r="B364" i="9"/>
  <c r="A364" i="9"/>
  <c r="M363" i="9"/>
  <c r="L363" i="9"/>
  <c r="K363" i="9"/>
  <c r="J363" i="9"/>
  <c r="I363" i="9"/>
  <c r="H363" i="9"/>
  <c r="G363" i="9"/>
  <c r="F363" i="9"/>
  <c r="E363" i="9"/>
  <c r="D363" i="9"/>
  <c r="C363" i="9"/>
  <c r="B363" i="9"/>
  <c r="A363" i="9"/>
  <c r="M362" i="9"/>
  <c r="L362" i="9"/>
  <c r="K362" i="9"/>
  <c r="J362" i="9"/>
  <c r="I362" i="9"/>
  <c r="H362" i="9"/>
  <c r="G362" i="9"/>
  <c r="F362" i="9"/>
  <c r="E362" i="9"/>
  <c r="D362" i="9"/>
  <c r="C362" i="9"/>
  <c r="B362" i="9"/>
  <c r="A362" i="9"/>
  <c r="M361" i="9"/>
  <c r="L361" i="9"/>
  <c r="K361" i="9"/>
  <c r="J361" i="9"/>
  <c r="I361" i="9"/>
  <c r="H361" i="9"/>
  <c r="G361" i="9"/>
  <c r="F361" i="9"/>
  <c r="E361" i="9"/>
  <c r="D361" i="9"/>
  <c r="C361" i="9"/>
  <c r="B361" i="9"/>
  <c r="A361" i="9"/>
  <c r="M360" i="9"/>
  <c r="L360" i="9"/>
  <c r="K360" i="9"/>
  <c r="J360" i="9"/>
  <c r="I360" i="9"/>
  <c r="H360" i="9"/>
  <c r="G360" i="9"/>
  <c r="F360" i="9"/>
  <c r="E360" i="9"/>
  <c r="D360" i="9"/>
  <c r="C360" i="9"/>
  <c r="B360" i="9"/>
  <c r="A360" i="9"/>
  <c r="M359" i="9"/>
  <c r="L359" i="9"/>
  <c r="K359" i="9"/>
  <c r="J359" i="9"/>
  <c r="I359" i="9"/>
  <c r="H359" i="9"/>
  <c r="G359" i="9"/>
  <c r="F359" i="9"/>
  <c r="E359" i="9"/>
  <c r="D359" i="9"/>
  <c r="C359" i="9"/>
  <c r="B359" i="9"/>
  <c r="A359" i="9"/>
  <c r="M358" i="9"/>
  <c r="L358" i="9"/>
  <c r="K358" i="9"/>
  <c r="J358" i="9"/>
  <c r="I358" i="9"/>
  <c r="H358" i="9"/>
  <c r="G358" i="9"/>
  <c r="F358" i="9"/>
  <c r="E358" i="9"/>
  <c r="D358" i="9"/>
  <c r="C358" i="9"/>
  <c r="B358" i="9"/>
  <c r="A358" i="9"/>
  <c r="M357" i="9"/>
  <c r="L357" i="9"/>
  <c r="K357" i="9"/>
  <c r="J357" i="9"/>
  <c r="I357" i="9"/>
  <c r="H357" i="9"/>
  <c r="G357" i="9"/>
  <c r="F357" i="9"/>
  <c r="E357" i="9"/>
  <c r="D357" i="9"/>
  <c r="C357" i="9"/>
  <c r="B357" i="9"/>
  <c r="A357" i="9"/>
  <c r="M356" i="9"/>
  <c r="L356" i="9"/>
  <c r="K356" i="9"/>
  <c r="J356" i="9"/>
  <c r="I356" i="9"/>
  <c r="H356" i="9"/>
  <c r="G356" i="9"/>
  <c r="F356" i="9"/>
  <c r="E356" i="9"/>
  <c r="D356" i="9"/>
  <c r="C356" i="9"/>
  <c r="B356" i="9"/>
  <c r="A356" i="9"/>
  <c r="M355" i="9"/>
  <c r="L355" i="9"/>
  <c r="K355" i="9"/>
  <c r="J355" i="9"/>
  <c r="I355" i="9"/>
  <c r="H355" i="9"/>
  <c r="G355" i="9"/>
  <c r="F355" i="9"/>
  <c r="E355" i="9"/>
  <c r="D355" i="9"/>
  <c r="C355" i="9"/>
  <c r="B355" i="9"/>
  <c r="A355" i="9"/>
  <c r="M354" i="9"/>
  <c r="L354" i="9"/>
  <c r="K354" i="9"/>
  <c r="J354" i="9"/>
  <c r="I354" i="9"/>
  <c r="H354" i="9"/>
  <c r="G354" i="9"/>
  <c r="F354" i="9"/>
  <c r="E354" i="9"/>
  <c r="D354" i="9"/>
  <c r="C354" i="9"/>
  <c r="B354" i="9"/>
  <c r="A354" i="9"/>
  <c r="M353" i="9"/>
  <c r="L353" i="9"/>
  <c r="K353" i="9"/>
  <c r="J353" i="9"/>
  <c r="I353" i="9"/>
  <c r="H353" i="9"/>
  <c r="G353" i="9"/>
  <c r="F353" i="9"/>
  <c r="E353" i="9"/>
  <c r="D353" i="9"/>
  <c r="C353" i="9"/>
  <c r="B353" i="9"/>
  <c r="A353" i="9"/>
  <c r="M352" i="9"/>
  <c r="L352" i="9"/>
  <c r="K352" i="9"/>
  <c r="J352" i="9"/>
  <c r="I352" i="9"/>
  <c r="H352" i="9"/>
  <c r="G352" i="9"/>
  <c r="F352" i="9"/>
  <c r="E352" i="9"/>
  <c r="D352" i="9"/>
  <c r="C352" i="9"/>
  <c r="B352" i="9"/>
  <c r="A352" i="9"/>
  <c r="M351" i="9"/>
  <c r="L351" i="9"/>
  <c r="K351" i="9"/>
  <c r="J351" i="9"/>
  <c r="I351" i="9"/>
  <c r="H351" i="9"/>
  <c r="G351" i="9"/>
  <c r="F351" i="9"/>
  <c r="E351" i="9"/>
  <c r="D351" i="9"/>
  <c r="C351" i="9"/>
  <c r="B351" i="9"/>
  <c r="A351" i="9"/>
  <c r="M350" i="9"/>
  <c r="L350" i="9"/>
  <c r="K350" i="9"/>
  <c r="J350" i="9"/>
  <c r="I350" i="9"/>
  <c r="H350" i="9"/>
  <c r="G350" i="9"/>
  <c r="F350" i="9"/>
  <c r="E350" i="9"/>
  <c r="D350" i="9"/>
  <c r="C350" i="9"/>
  <c r="B350" i="9"/>
  <c r="A350" i="9"/>
  <c r="M349" i="9"/>
  <c r="L349" i="9"/>
  <c r="K349" i="9"/>
  <c r="J349" i="9"/>
  <c r="I349" i="9"/>
  <c r="H349" i="9"/>
  <c r="G349" i="9"/>
  <c r="F349" i="9"/>
  <c r="E349" i="9"/>
  <c r="D349" i="9"/>
  <c r="C349" i="9"/>
  <c r="B349" i="9"/>
  <c r="A349" i="9"/>
  <c r="M348" i="9"/>
  <c r="L348" i="9"/>
  <c r="K348" i="9"/>
  <c r="J348" i="9"/>
  <c r="I348" i="9"/>
  <c r="H348" i="9"/>
  <c r="G348" i="9"/>
  <c r="F348" i="9"/>
  <c r="E348" i="9"/>
  <c r="D348" i="9"/>
  <c r="C348" i="9"/>
  <c r="B348" i="9"/>
  <c r="A348" i="9"/>
  <c r="M347" i="9"/>
  <c r="L347" i="9"/>
  <c r="K347" i="9"/>
  <c r="J347" i="9"/>
  <c r="I347" i="9"/>
  <c r="H347" i="9"/>
  <c r="G347" i="9"/>
  <c r="F347" i="9"/>
  <c r="E347" i="9"/>
  <c r="D347" i="9"/>
  <c r="C347" i="9"/>
  <c r="B347" i="9"/>
  <c r="A347" i="9"/>
  <c r="M346" i="9"/>
  <c r="L346" i="9"/>
  <c r="K346" i="9"/>
  <c r="J346" i="9"/>
  <c r="I346" i="9"/>
  <c r="H346" i="9"/>
  <c r="G346" i="9"/>
  <c r="F346" i="9"/>
  <c r="E346" i="9"/>
  <c r="D346" i="9"/>
  <c r="C346" i="9"/>
  <c r="B346" i="9"/>
  <c r="A346" i="9"/>
  <c r="M345" i="9"/>
  <c r="L345" i="9"/>
  <c r="K345" i="9"/>
  <c r="J345" i="9"/>
  <c r="I345" i="9"/>
  <c r="H345" i="9"/>
  <c r="G345" i="9"/>
  <c r="F345" i="9"/>
  <c r="E345" i="9"/>
  <c r="D345" i="9"/>
  <c r="C345" i="9"/>
  <c r="B345" i="9"/>
  <c r="A345" i="9"/>
  <c r="M344" i="9"/>
  <c r="L344" i="9"/>
  <c r="K344" i="9"/>
  <c r="J344" i="9"/>
  <c r="I344" i="9"/>
  <c r="H344" i="9"/>
  <c r="G344" i="9"/>
  <c r="F344" i="9"/>
  <c r="E344" i="9"/>
  <c r="D344" i="9"/>
  <c r="C344" i="9"/>
  <c r="B344" i="9"/>
  <c r="A344" i="9"/>
  <c r="M343" i="9"/>
  <c r="L343" i="9"/>
  <c r="K343" i="9"/>
  <c r="J343" i="9"/>
  <c r="I343" i="9"/>
  <c r="H343" i="9"/>
  <c r="G343" i="9"/>
  <c r="F343" i="9"/>
  <c r="E343" i="9"/>
  <c r="D343" i="9"/>
  <c r="C343" i="9"/>
  <c r="B343" i="9"/>
  <c r="A343" i="9"/>
  <c r="M342" i="9"/>
  <c r="L342" i="9"/>
  <c r="K342" i="9"/>
  <c r="J342" i="9"/>
  <c r="I342" i="9"/>
  <c r="H342" i="9"/>
  <c r="G342" i="9"/>
  <c r="F342" i="9"/>
  <c r="E342" i="9"/>
  <c r="D342" i="9"/>
  <c r="C342" i="9"/>
  <c r="B342" i="9"/>
  <c r="A342" i="9"/>
  <c r="M341" i="9"/>
  <c r="L341" i="9"/>
  <c r="K341" i="9"/>
  <c r="J341" i="9"/>
  <c r="I341" i="9"/>
  <c r="H341" i="9"/>
  <c r="G341" i="9"/>
  <c r="F341" i="9"/>
  <c r="E341" i="9"/>
  <c r="D341" i="9"/>
  <c r="C341" i="9"/>
  <c r="B341" i="9"/>
  <c r="A341" i="9"/>
  <c r="M340" i="9"/>
  <c r="L340" i="9"/>
  <c r="K340" i="9"/>
  <c r="J340" i="9"/>
  <c r="I340" i="9"/>
  <c r="H340" i="9"/>
  <c r="G340" i="9"/>
  <c r="F340" i="9"/>
  <c r="E340" i="9"/>
  <c r="D340" i="9"/>
  <c r="C340" i="9"/>
  <c r="B340" i="9"/>
  <c r="A340" i="9"/>
  <c r="M339" i="9"/>
  <c r="L339" i="9"/>
  <c r="K339" i="9"/>
  <c r="J339" i="9"/>
  <c r="I339" i="9"/>
  <c r="H339" i="9"/>
  <c r="G339" i="9"/>
  <c r="F339" i="9"/>
  <c r="E339" i="9"/>
  <c r="D339" i="9"/>
  <c r="C339" i="9"/>
  <c r="B339" i="9"/>
  <c r="A339" i="9"/>
  <c r="M338" i="9"/>
  <c r="L338" i="9"/>
  <c r="K338" i="9"/>
  <c r="J338" i="9"/>
  <c r="I338" i="9"/>
  <c r="H338" i="9"/>
  <c r="G338" i="9"/>
  <c r="F338" i="9"/>
  <c r="E338" i="9"/>
  <c r="D338" i="9"/>
  <c r="C338" i="9"/>
  <c r="B338" i="9"/>
  <c r="A338" i="9"/>
  <c r="M337" i="9"/>
  <c r="L337" i="9"/>
  <c r="K337" i="9"/>
  <c r="J337" i="9"/>
  <c r="I337" i="9"/>
  <c r="H337" i="9"/>
  <c r="G337" i="9"/>
  <c r="F337" i="9"/>
  <c r="E337" i="9"/>
  <c r="D337" i="9"/>
  <c r="C337" i="9"/>
  <c r="B337" i="9"/>
  <c r="A337" i="9"/>
  <c r="M336" i="9"/>
  <c r="L336" i="9"/>
  <c r="K336" i="9"/>
  <c r="J336" i="9"/>
  <c r="I336" i="9"/>
  <c r="H336" i="9"/>
  <c r="G336" i="9"/>
  <c r="F336" i="9"/>
  <c r="E336" i="9"/>
  <c r="D336" i="9"/>
  <c r="C336" i="9"/>
  <c r="B336" i="9"/>
  <c r="A336" i="9"/>
  <c r="M335" i="9"/>
  <c r="L335" i="9"/>
  <c r="K335" i="9"/>
  <c r="J335" i="9"/>
  <c r="I335" i="9"/>
  <c r="H335" i="9"/>
  <c r="G335" i="9"/>
  <c r="F335" i="9"/>
  <c r="E335" i="9"/>
  <c r="D335" i="9"/>
  <c r="C335" i="9"/>
  <c r="B335" i="9"/>
  <c r="A335" i="9"/>
  <c r="M334" i="9"/>
  <c r="L334" i="9"/>
  <c r="K334" i="9"/>
  <c r="J334" i="9"/>
  <c r="I334" i="9"/>
  <c r="H334" i="9"/>
  <c r="G334" i="9"/>
  <c r="F334" i="9"/>
  <c r="E334" i="9"/>
  <c r="D334" i="9"/>
  <c r="C334" i="9"/>
  <c r="B334" i="9"/>
  <c r="A334" i="9"/>
  <c r="M333" i="9"/>
  <c r="L333" i="9"/>
  <c r="K333" i="9"/>
  <c r="J333" i="9"/>
  <c r="I333" i="9"/>
  <c r="H333" i="9"/>
  <c r="G333" i="9"/>
  <c r="F333" i="9"/>
  <c r="E333" i="9"/>
  <c r="D333" i="9"/>
  <c r="C333" i="9"/>
  <c r="B333" i="9"/>
  <c r="A333" i="9"/>
  <c r="M332" i="9"/>
  <c r="L332" i="9"/>
  <c r="K332" i="9"/>
  <c r="J332" i="9"/>
  <c r="I332" i="9"/>
  <c r="H332" i="9"/>
  <c r="G332" i="9"/>
  <c r="F332" i="9"/>
  <c r="E332" i="9"/>
  <c r="D332" i="9"/>
  <c r="C332" i="9"/>
  <c r="B332" i="9"/>
  <c r="A332" i="9"/>
  <c r="M331" i="9"/>
  <c r="L331" i="9"/>
  <c r="K331" i="9"/>
  <c r="J331" i="9"/>
  <c r="I331" i="9"/>
  <c r="H331" i="9"/>
  <c r="G331" i="9"/>
  <c r="F331" i="9"/>
  <c r="E331" i="9"/>
  <c r="D331" i="9"/>
  <c r="C331" i="9"/>
  <c r="B331" i="9"/>
  <c r="A331" i="9"/>
  <c r="M330" i="9"/>
  <c r="L330" i="9"/>
  <c r="K330" i="9"/>
  <c r="J330" i="9"/>
  <c r="I330" i="9"/>
  <c r="H330" i="9"/>
  <c r="G330" i="9"/>
  <c r="F330" i="9"/>
  <c r="E330" i="9"/>
  <c r="D330" i="9"/>
  <c r="C330" i="9"/>
  <c r="B330" i="9"/>
  <c r="A330" i="9"/>
  <c r="M329" i="9"/>
  <c r="L329" i="9"/>
  <c r="K329" i="9"/>
  <c r="J329" i="9"/>
  <c r="I329" i="9"/>
  <c r="H329" i="9"/>
  <c r="G329" i="9"/>
  <c r="F329" i="9"/>
  <c r="E329" i="9"/>
  <c r="D329" i="9"/>
  <c r="C329" i="9"/>
  <c r="B329" i="9"/>
  <c r="A329" i="9"/>
  <c r="M328" i="9"/>
  <c r="L328" i="9"/>
  <c r="K328" i="9"/>
  <c r="J328" i="9"/>
  <c r="I328" i="9"/>
  <c r="H328" i="9"/>
  <c r="G328" i="9"/>
  <c r="F328" i="9"/>
  <c r="E328" i="9"/>
  <c r="D328" i="9"/>
  <c r="C328" i="9"/>
  <c r="B328" i="9"/>
  <c r="A328" i="9"/>
  <c r="M327" i="9"/>
  <c r="L327" i="9"/>
  <c r="K327" i="9"/>
  <c r="J327" i="9"/>
  <c r="I327" i="9"/>
  <c r="H327" i="9"/>
  <c r="G327" i="9"/>
  <c r="F327" i="9"/>
  <c r="E327" i="9"/>
  <c r="D327" i="9"/>
  <c r="C327" i="9"/>
  <c r="B327" i="9"/>
  <c r="A327" i="9"/>
  <c r="M326" i="9"/>
  <c r="L326" i="9"/>
  <c r="K326" i="9"/>
  <c r="J326" i="9"/>
  <c r="I326" i="9"/>
  <c r="H326" i="9"/>
  <c r="G326" i="9"/>
  <c r="F326" i="9"/>
  <c r="E326" i="9"/>
  <c r="D326" i="9"/>
  <c r="C326" i="9"/>
  <c r="B326" i="9"/>
  <c r="A326" i="9"/>
  <c r="M325" i="9"/>
  <c r="L325" i="9"/>
  <c r="K325" i="9"/>
  <c r="J325" i="9"/>
  <c r="I325" i="9"/>
  <c r="H325" i="9"/>
  <c r="G325" i="9"/>
  <c r="F325" i="9"/>
  <c r="E325" i="9"/>
  <c r="D325" i="9"/>
  <c r="C325" i="9"/>
  <c r="B325" i="9"/>
  <c r="A325" i="9"/>
  <c r="M324" i="9"/>
  <c r="L324" i="9"/>
  <c r="K324" i="9"/>
  <c r="J324" i="9"/>
  <c r="I324" i="9"/>
  <c r="H324" i="9"/>
  <c r="G324" i="9"/>
  <c r="F324" i="9"/>
  <c r="E324" i="9"/>
  <c r="D324" i="9"/>
  <c r="C324" i="9"/>
  <c r="B324" i="9"/>
  <c r="A324" i="9"/>
  <c r="M323" i="9"/>
  <c r="L323" i="9"/>
  <c r="K323" i="9"/>
  <c r="J323" i="9"/>
  <c r="I323" i="9"/>
  <c r="H323" i="9"/>
  <c r="G323" i="9"/>
  <c r="F323" i="9"/>
  <c r="E323" i="9"/>
  <c r="D323" i="9"/>
  <c r="C323" i="9"/>
  <c r="B323" i="9"/>
  <c r="A323" i="9"/>
  <c r="M322" i="9"/>
  <c r="L322" i="9"/>
  <c r="K322" i="9"/>
  <c r="J322" i="9"/>
  <c r="I322" i="9"/>
  <c r="H322" i="9"/>
  <c r="G322" i="9"/>
  <c r="F322" i="9"/>
  <c r="E322" i="9"/>
  <c r="D322" i="9"/>
  <c r="C322" i="9"/>
  <c r="B322" i="9"/>
  <c r="A322" i="9"/>
  <c r="M321" i="9"/>
  <c r="L321" i="9"/>
  <c r="K321" i="9"/>
  <c r="J321" i="9"/>
  <c r="I321" i="9"/>
  <c r="H321" i="9"/>
  <c r="G321" i="9"/>
  <c r="F321" i="9"/>
  <c r="E321" i="9"/>
  <c r="D321" i="9"/>
  <c r="C321" i="9"/>
  <c r="B321" i="9"/>
  <c r="A321" i="9"/>
  <c r="M320" i="9"/>
  <c r="L320" i="9"/>
  <c r="K320" i="9"/>
  <c r="J320" i="9"/>
  <c r="I320" i="9"/>
  <c r="H320" i="9"/>
  <c r="G320" i="9"/>
  <c r="F320" i="9"/>
  <c r="E320" i="9"/>
  <c r="D320" i="9"/>
  <c r="C320" i="9"/>
  <c r="B320" i="9"/>
  <c r="A320" i="9"/>
  <c r="M319" i="9"/>
  <c r="L319" i="9"/>
  <c r="K319" i="9"/>
  <c r="J319" i="9"/>
  <c r="I319" i="9"/>
  <c r="H319" i="9"/>
  <c r="G319" i="9"/>
  <c r="F319" i="9"/>
  <c r="E319" i="9"/>
  <c r="D319" i="9"/>
  <c r="C319" i="9"/>
  <c r="B319" i="9"/>
  <c r="A319" i="9"/>
  <c r="M318" i="9"/>
  <c r="L318" i="9"/>
  <c r="K318" i="9"/>
  <c r="J318" i="9"/>
  <c r="I318" i="9"/>
  <c r="H318" i="9"/>
  <c r="G318" i="9"/>
  <c r="F318" i="9"/>
  <c r="E318" i="9"/>
  <c r="D318" i="9"/>
  <c r="C318" i="9"/>
  <c r="B318" i="9"/>
  <c r="A318" i="9"/>
  <c r="M317" i="9"/>
  <c r="L317" i="9"/>
  <c r="K317" i="9"/>
  <c r="J317" i="9"/>
  <c r="I317" i="9"/>
  <c r="H317" i="9"/>
  <c r="G317" i="9"/>
  <c r="F317" i="9"/>
  <c r="E317" i="9"/>
  <c r="D317" i="9"/>
  <c r="C317" i="9"/>
  <c r="B317" i="9"/>
  <c r="A317" i="9"/>
  <c r="M316" i="9"/>
  <c r="L316" i="9"/>
  <c r="K316" i="9"/>
  <c r="J316" i="9"/>
  <c r="I316" i="9"/>
  <c r="H316" i="9"/>
  <c r="G316" i="9"/>
  <c r="F316" i="9"/>
  <c r="E316" i="9"/>
  <c r="D316" i="9"/>
  <c r="C316" i="9"/>
  <c r="B316" i="9"/>
  <c r="A316" i="9"/>
  <c r="M315" i="9"/>
  <c r="L315" i="9"/>
  <c r="K315" i="9"/>
  <c r="J315" i="9"/>
  <c r="I315" i="9"/>
  <c r="H315" i="9"/>
  <c r="G315" i="9"/>
  <c r="F315" i="9"/>
  <c r="E315" i="9"/>
  <c r="D315" i="9"/>
  <c r="C315" i="9"/>
  <c r="B315" i="9"/>
  <c r="A315" i="9"/>
  <c r="M314" i="9"/>
  <c r="L314" i="9"/>
  <c r="K314" i="9"/>
  <c r="J314" i="9"/>
  <c r="I314" i="9"/>
  <c r="H314" i="9"/>
  <c r="G314" i="9"/>
  <c r="F314" i="9"/>
  <c r="E314" i="9"/>
  <c r="D314" i="9"/>
  <c r="C314" i="9"/>
  <c r="B314" i="9"/>
  <c r="A314" i="9"/>
  <c r="M313" i="9"/>
  <c r="L313" i="9"/>
  <c r="K313" i="9"/>
  <c r="J313" i="9"/>
  <c r="I313" i="9"/>
  <c r="H313" i="9"/>
  <c r="G313" i="9"/>
  <c r="F313" i="9"/>
  <c r="E313" i="9"/>
  <c r="D313" i="9"/>
  <c r="C313" i="9"/>
  <c r="B313" i="9"/>
  <c r="A313" i="9"/>
  <c r="M312" i="9"/>
  <c r="L312" i="9"/>
  <c r="K312" i="9"/>
  <c r="J312" i="9"/>
  <c r="I312" i="9"/>
  <c r="H312" i="9"/>
  <c r="G312" i="9"/>
  <c r="F312" i="9"/>
  <c r="E312" i="9"/>
  <c r="D312" i="9"/>
  <c r="C312" i="9"/>
  <c r="B312" i="9"/>
  <c r="A312" i="9"/>
  <c r="M311" i="9"/>
  <c r="L311" i="9"/>
  <c r="K311" i="9"/>
  <c r="J311" i="9"/>
  <c r="I311" i="9"/>
  <c r="H311" i="9"/>
  <c r="G311" i="9"/>
  <c r="F311" i="9"/>
  <c r="E311" i="9"/>
  <c r="D311" i="9"/>
  <c r="C311" i="9"/>
  <c r="B311" i="9"/>
  <c r="A311" i="9"/>
  <c r="M310" i="9"/>
  <c r="L310" i="9"/>
  <c r="K310" i="9"/>
  <c r="J310" i="9"/>
  <c r="I310" i="9"/>
  <c r="H310" i="9"/>
  <c r="G310" i="9"/>
  <c r="F310" i="9"/>
  <c r="E310" i="9"/>
  <c r="D310" i="9"/>
  <c r="C310" i="9"/>
  <c r="B310" i="9"/>
  <c r="A310" i="9"/>
  <c r="M309" i="9"/>
  <c r="L309" i="9"/>
  <c r="K309" i="9"/>
  <c r="J309" i="9"/>
  <c r="I309" i="9"/>
  <c r="H309" i="9"/>
  <c r="G309" i="9"/>
  <c r="F309" i="9"/>
  <c r="E309" i="9"/>
  <c r="D309" i="9"/>
  <c r="C309" i="9"/>
  <c r="B309" i="9"/>
  <c r="A309" i="9"/>
  <c r="M308" i="9"/>
  <c r="L308" i="9"/>
  <c r="K308" i="9"/>
  <c r="J308" i="9"/>
  <c r="I308" i="9"/>
  <c r="H308" i="9"/>
  <c r="G308" i="9"/>
  <c r="F308" i="9"/>
  <c r="E308" i="9"/>
  <c r="D308" i="9"/>
  <c r="C308" i="9"/>
  <c r="B308" i="9"/>
  <c r="A308" i="9"/>
  <c r="M307" i="9"/>
  <c r="L307" i="9"/>
  <c r="K307" i="9"/>
  <c r="J307" i="9"/>
  <c r="I307" i="9"/>
  <c r="H307" i="9"/>
  <c r="G307" i="9"/>
  <c r="F307" i="9"/>
  <c r="E307" i="9"/>
  <c r="D307" i="9"/>
  <c r="C307" i="9"/>
  <c r="B307" i="9"/>
  <c r="A307" i="9"/>
  <c r="M306" i="9"/>
  <c r="L306" i="9"/>
  <c r="K306" i="9"/>
  <c r="J306" i="9"/>
  <c r="I306" i="9"/>
  <c r="H306" i="9"/>
  <c r="G306" i="9"/>
  <c r="F306" i="9"/>
  <c r="E306" i="9"/>
  <c r="D306" i="9"/>
  <c r="C306" i="9"/>
  <c r="B306" i="9"/>
  <c r="A306" i="9"/>
  <c r="M305" i="9"/>
  <c r="L305" i="9"/>
  <c r="K305" i="9"/>
  <c r="J305" i="9"/>
  <c r="I305" i="9"/>
  <c r="H305" i="9"/>
  <c r="G305" i="9"/>
  <c r="F305" i="9"/>
  <c r="E305" i="9"/>
  <c r="D305" i="9"/>
  <c r="C305" i="9"/>
  <c r="B305" i="9"/>
  <c r="A305" i="9"/>
  <c r="M304" i="9"/>
  <c r="L304" i="9"/>
  <c r="K304" i="9"/>
  <c r="J304" i="9"/>
  <c r="I304" i="9"/>
  <c r="H304" i="9"/>
  <c r="G304" i="9"/>
  <c r="F304" i="9"/>
  <c r="E304" i="9"/>
  <c r="D304" i="9"/>
  <c r="C304" i="9"/>
  <c r="B304" i="9"/>
  <c r="A304" i="9"/>
  <c r="M303" i="9"/>
  <c r="L303" i="9"/>
  <c r="K303" i="9"/>
  <c r="J303" i="9"/>
  <c r="I303" i="9"/>
  <c r="H303" i="9"/>
  <c r="G303" i="9"/>
  <c r="F303" i="9"/>
  <c r="E303" i="9"/>
  <c r="D303" i="9"/>
  <c r="C303" i="9"/>
  <c r="B303" i="9"/>
  <c r="A303" i="9"/>
  <c r="M302" i="9"/>
  <c r="L302" i="9"/>
  <c r="K302" i="9"/>
  <c r="J302" i="9"/>
  <c r="I302" i="9"/>
  <c r="H302" i="9"/>
  <c r="G302" i="9"/>
  <c r="F302" i="9"/>
  <c r="E302" i="9"/>
  <c r="D302" i="9"/>
  <c r="C302" i="9"/>
  <c r="B302" i="9"/>
  <c r="A302" i="9"/>
  <c r="M301" i="9"/>
  <c r="L301" i="9"/>
  <c r="K301" i="9"/>
  <c r="J301" i="9"/>
  <c r="I301" i="9"/>
  <c r="H301" i="9"/>
  <c r="G301" i="9"/>
  <c r="F301" i="9"/>
  <c r="E301" i="9"/>
  <c r="D301" i="9"/>
  <c r="C301" i="9"/>
  <c r="B301" i="9"/>
  <c r="A301" i="9"/>
  <c r="M300" i="9"/>
  <c r="L300" i="9"/>
  <c r="K300" i="9"/>
  <c r="J300" i="9"/>
  <c r="I300" i="9"/>
  <c r="H300" i="9"/>
  <c r="G300" i="9"/>
  <c r="F300" i="9"/>
  <c r="E300" i="9"/>
  <c r="D300" i="9"/>
  <c r="C300" i="9"/>
  <c r="B300" i="9"/>
  <c r="A300" i="9"/>
  <c r="M299" i="9"/>
  <c r="L299" i="9"/>
  <c r="K299" i="9"/>
  <c r="J299" i="9"/>
  <c r="I299" i="9"/>
  <c r="H299" i="9"/>
  <c r="G299" i="9"/>
  <c r="F299" i="9"/>
  <c r="E299" i="9"/>
  <c r="D299" i="9"/>
  <c r="C299" i="9"/>
  <c r="B299" i="9"/>
  <c r="A299" i="9"/>
  <c r="M298" i="9"/>
  <c r="L298" i="9"/>
  <c r="K298" i="9"/>
  <c r="J298" i="9"/>
  <c r="I298" i="9"/>
  <c r="H298" i="9"/>
  <c r="G298" i="9"/>
  <c r="F298" i="9"/>
  <c r="E298" i="9"/>
  <c r="D298" i="9"/>
  <c r="C298" i="9"/>
  <c r="B298" i="9"/>
  <c r="A298" i="9"/>
  <c r="M297" i="9"/>
  <c r="L297" i="9"/>
  <c r="K297" i="9"/>
  <c r="J297" i="9"/>
  <c r="I297" i="9"/>
  <c r="H297" i="9"/>
  <c r="G297" i="9"/>
  <c r="F297" i="9"/>
  <c r="E297" i="9"/>
  <c r="D297" i="9"/>
  <c r="C297" i="9"/>
  <c r="B297" i="9"/>
  <c r="A297" i="9"/>
  <c r="M296" i="9"/>
  <c r="L296" i="9"/>
  <c r="K296" i="9"/>
  <c r="J296" i="9"/>
  <c r="I296" i="9"/>
  <c r="H296" i="9"/>
  <c r="G296" i="9"/>
  <c r="F296" i="9"/>
  <c r="E296" i="9"/>
  <c r="D296" i="9"/>
  <c r="C296" i="9"/>
  <c r="B296" i="9"/>
  <c r="A296" i="9"/>
  <c r="M295" i="9"/>
  <c r="L295" i="9"/>
  <c r="K295" i="9"/>
  <c r="J295" i="9"/>
  <c r="I295" i="9"/>
  <c r="H295" i="9"/>
  <c r="G295" i="9"/>
  <c r="F295" i="9"/>
  <c r="E295" i="9"/>
  <c r="D295" i="9"/>
  <c r="C295" i="9"/>
  <c r="B295" i="9"/>
  <c r="A295" i="9"/>
  <c r="M294" i="9"/>
  <c r="L294" i="9"/>
  <c r="K294" i="9"/>
  <c r="J294" i="9"/>
  <c r="I294" i="9"/>
  <c r="H294" i="9"/>
  <c r="G294" i="9"/>
  <c r="F294" i="9"/>
  <c r="E294" i="9"/>
  <c r="D294" i="9"/>
  <c r="C294" i="9"/>
  <c r="B294" i="9"/>
  <c r="A294" i="9"/>
  <c r="M293" i="9"/>
  <c r="L293" i="9"/>
  <c r="K293" i="9"/>
  <c r="J293" i="9"/>
  <c r="I293" i="9"/>
  <c r="H293" i="9"/>
  <c r="G293" i="9"/>
  <c r="F293" i="9"/>
  <c r="E293" i="9"/>
  <c r="D293" i="9"/>
  <c r="C293" i="9"/>
  <c r="B293" i="9"/>
  <c r="A293" i="9"/>
  <c r="M292" i="9"/>
  <c r="L292" i="9"/>
  <c r="K292" i="9"/>
  <c r="J292" i="9"/>
  <c r="I292" i="9"/>
  <c r="H292" i="9"/>
  <c r="G292" i="9"/>
  <c r="F292" i="9"/>
  <c r="E292" i="9"/>
  <c r="D292" i="9"/>
  <c r="C292" i="9"/>
  <c r="B292" i="9"/>
  <c r="A292" i="9"/>
  <c r="M291" i="9"/>
  <c r="L291" i="9"/>
  <c r="K291" i="9"/>
  <c r="J291" i="9"/>
  <c r="I291" i="9"/>
  <c r="H291" i="9"/>
  <c r="G291" i="9"/>
  <c r="F291" i="9"/>
  <c r="E291" i="9"/>
  <c r="D291" i="9"/>
  <c r="C291" i="9"/>
  <c r="B291" i="9"/>
  <c r="A291" i="9"/>
  <c r="M290" i="9"/>
  <c r="L290" i="9"/>
  <c r="K290" i="9"/>
  <c r="J290" i="9"/>
  <c r="I290" i="9"/>
  <c r="H290" i="9"/>
  <c r="G290" i="9"/>
  <c r="F290" i="9"/>
  <c r="E290" i="9"/>
  <c r="D290" i="9"/>
  <c r="C290" i="9"/>
  <c r="B290" i="9"/>
  <c r="A290" i="9"/>
  <c r="M289" i="9"/>
  <c r="L289" i="9"/>
  <c r="K289" i="9"/>
  <c r="J289" i="9"/>
  <c r="I289" i="9"/>
  <c r="H289" i="9"/>
  <c r="G289" i="9"/>
  <c r="F289" i="9"/>
  <c r="E289" i="9"/>
  <c r="D289" i="9"/>
  <c r="C289" i="9"/>
  <c r="B289" i="9"/>
  <c r="A289" i="9"/>
  <c r="M288" i="9"/>
  <c r="L288" i="9"/>
  <c r="K288" i="9"/>
  <c r="J288" i="9"/>
  <c r="I288" i="9"/>
  <c r="H288" i="9"/>
  <c r="G288" i="9"/>
  <c r="F288" i="9"/>
  <c r="E288" i="9"/>
  <c r="D288" i="9"/>
  <c r="C288" i="9"/>
  <c r="B288" i="9"/>
  <c r="A288" i="9"/>
  <c r="M287" i="9"/>
  <c r="L287" i="9"/>
  <c r="K287" i="9"/>
  <c r="J287" i="9"/>
  <c r="I287" i="9"/>
  <c r="H287" i="9"/>
  <c r="G287" i="9"/>
  <c r="F287" i="9"/>
  <c r="E287" i="9"/>
  <c r="D287" i="9"/>
  <c r="C287" i="9"/>
  <c r="B287" i="9"/>
  <c r="A287" i="9"/>
  <c r="M286" i="9"/>
  <c r="L286" i="9"/>
  <c r="K286" i="9"/>
  <c r="J286" i="9"/>
  <c r="I286" i="9"/>
  <c r="H286" i="9"/>
  <c r="G286" i="9"/>
  <c r="F286" i="9"/>
  <c r="E286" i="9"/>
  <c r="D286" i="9"/>
  <c r="C286" i="9"/>
  <c r="B286" i="9"/>
  <c r="A286" i="9"/>
  <c r="M285" i="9"/>
  <c r="L285" i="9"/>
  <c r="K285" i="9"/>
  <c r="J285" i="9"/>
  <c r="I285" i="9"/>
  <c r="H285" i="9"/>
  <c r="G285" i="9"/>
  <c r="F285" i="9"/>
  <c r="E285" i="9"/>
  <c r="D285" i="9"/>
  <c r="C285" i="9"/>
  <c r="B285" i="9"/>
  <c r="A285" i="9"/>
  <c r="M284" i="9"/>
  <c r="L284" i="9"/>
  <c r="K284" i="9"/>
  <c r="J284" i="9"/>
  <c r="I284" i="9"/>
  <c r="H284" i="9"/>
  <c r="G284" i="9"/>
  <c r="F284" i="9"/>
  <c r="E284" i="9"/>
  <c r="D284" i="9"/>
  <c r="C284" i="9"/>
  <c r="B284" i="9"/>
  <c r="A284" i="9"/>
  <c r="M283" i="9"/>
  <c r="L283" i="9"/>
  <c r="K283" i="9"/>
  <c r="J283" i="9"/>
  <c r="I283" i="9"/>
  <c r="H283" i="9"/>
  <c r="G283" i="9"/>
  <c r="F283" i="9"/>
  <c r="E283" i="9"/>
  <c r="D283" i="9"/>
  <c r="C283" i="9"/>
  <c r="B283" i="9"/>
  <c r="A283" i="9"/>
  <c r="M282" i="9"/>
  <c r="L282" i="9"/>
  <c r="K282" i="9"/>
  <c r="J282" i="9"/>
  <c r="I282" i="9"/>
  <c r="H282" i="9"/>
  <c r="G282" i="9"/>
  <c r="F282" i="9"/>
  <c r="E282" i="9"/>
  <c r="D282" i="9"/>
  <c r="C282" i="9"/>
  <c r="B282" i="9"/>
  <c r="A282" i="9"/>
  <c r="M281" i="9"/>
  <c r="L281" i="9"/>
  <c r="K281" i="9"/>
  <c r="J281" i="9"/>
  <c r="I281" i="9"/>
  <c r="H281" i="9"/>
  <c r="G281" i="9"/>
  <c r="F281" i="9"/>
  <c r="E281" i="9"/>
  <c r="D281" i="9"/>
  <c r="C281" i="9"/>
  <c r="B281" i="9"/>
  <c r="A281" i="9"/>
  <c r="M280" i="9"/>
  <c r="L280" i="9"/>
  <c r="K280" i="9"/>
  <c r="J280" i="9"/>
  <c r="I280" i="9"/>
  <c r="H280" i="9"/>
  <c r="G280" i="9"/>
  <c r="F280" i="9"/>
  <c r="E280" i="9"/>
  <c r="D280" i="9"/>
  <c r="C280" i="9"/>
  <c r="B280" i="9"/>
  <c r="A280" i="9"/>
  <c r="M279" i="9"/>
  <c r="L279" i="9"/>
  <c r="K279" i="9"/>
  <c r="J279" i="9"/>
  <c r="I279" i="9"/>
  <c r="H279" i="9"/>
  <c r="G279" i="9"/>
  <c r="F279" i="9"/>
  <c r="E279" i="9"/>
  <c r="D279" i="9"/>
  <c r="C279" i="9"/>
  <c r="B279" i="9"/>
  <c r="A279" i="9"/>
  <c r="M278" i="9"/>
  <c r="L278" i="9"/>
  <c r="K278" i="9"/>
  <c r="J278" i="9"/>
  <c r="I278" i="9"/>
  <c r="H278" i="9"/>
  <c r="G278" i="9"/>
  <c r="F278" i="9"/>
  <c r="E278" i="9"/>
  <c r="D278" i="9"/>
  <c r="C278" i="9"/>
  <c r="B278" i="9"/>
  <c r="A278" i="9"/>
  <c r="M277" i="9"/>
  <c r="L277" i="9"/>
  <c r="K277" i="9"/>
  <c r="J277" i="9"/>
  <c r="I277" i="9"/>
  <c r="H277" i="9"/>
  <c r="G277" i="9"/>
  <c r="F277" i="9"/>
  <c r="E277" i="9"/>
  <c r="D277" i="9"/>
  <c r="C277" i="9"/>
  <c r="B277" i="9"/>
  <c r="A277" i="9"/>
  <c r="M276" i="9"/>
  <c r="L276" i="9"/>
  <c r="K276" i="9"/>
  <c r="J276" i="9"/>
  <c r="I276" i="9"/>
  <c r="H276" i="9"/>
  <c r="G276" i="9"/>
  <c r="F276" i="9"/>
  <c r="E276" i="9"/>
  <c r="D276" i="9"/>
  <c r="C276" i="9"/>
  <c r="B276" i="9"/>
  <c r="A276" i="9"/>
  <c r="M275" i="9"/>
  <c r="L275" i="9"/>
  <c r="K275" i="9"/>
  <c r="J275" i="9"/>
  <c r="I275" i="9"/>
  <c r="H275" i="9"/>
  <c r="G275" i="9"/>
  <c r="F275" i="9"/>
  <c r="E275" i="9"/>
  <c r="D275" i="9"/>
  <c r="C275" i="9"/>
  <c r="B275" i="9"/>
  <c r="A275" i="9"/>
  <c r="M274" i="9"/>
  <c r="L274" i="9"/>
  <c r="K274" i="9"/>
  <c r="J274" i="9"/>
  <c r="I274" i="9"/>
  <c r="H274" i="9"/>
  <c r="G274" i="9"/>
  <c r="F274" i="9"/>
  <c r="E274" i="9"/>
  <c r="D274" i="9"/>
  <c r="C274" i="9"/>
  <c r="B274" i="9"/>
  <c r="A274" i="9"/>
  <c r="M273" i="9"/>
  <c r="L273" i="9"/>
  <c r="K273" i="9"/>
  <c r="J273" i="9"/>
  <c r="I273" i="9"/>
  <c r="H273" i="9"/>
  <c r="G273" i="9"/>
  <c r="F273" i="9"/>
  <c r="E273" i="9"/>
  <c r="D273" i="9"/>
  <c r="C273" i="9"/>
  <c r="B273" i="9"/>
  <c r="A273" i="9"/>
  <c r="M272" i="9"/>
  <c r="L272" i="9"/>
  <c r="K272" i="9"/>
  <c r="J272" i="9"/>
  <c r="I272" i="9"/>
  <c r="H272" i="9"/>
  <c r="G272" i="9"/>
  <c r="F272" i="9"/>
  <c r="E272" i="9"/>
  <c r="D272" i="9"/>
  <c r="C272" i="9"/>
  <c r="B272" i="9"/>
  <c r="A272" i="9"/>
  <c r="M271" i="9"/>
  <c r="L271" i="9"/>
  <c r="K271" i="9"/>
  <c r="J271" i="9"/>
  <c r="I271" i="9"/>
  <c r="H271" i="9"/>
  <c r="G271" i="9"/>
  <c r="F271" i="9"/>
  <c r="E271" i="9"/>
  <c r="D271" i="9"/>
  <c r="C271" i="9"/>
  <c r="B271" i="9"/>
  <c r="A271" i="9"/>
  <c r="M270" i="9"/>
  <c r="L270" i="9"/>
  <c r="K270" i="9"/>
  <c r="J270" i="9"/>
  <c r="I270" i="9"/>
  <c r="H270" i="9"/>
  <c r="G270" i="9"/>
  <c r="F270" i="9"/>
  <c r="E270" i="9"/>
  <c r="D270" i="9"/>
  <c r="C270" i="9"/>
  <c r="B270" i="9"/>
  <c r="A270" i="9"/>
  <c r="M269" i="9"/>
  <c r="L269" i="9"/>
  <c r="K269" i="9"/>
  <c r="J269" i="9"/>
  <c r="I269" i="9"/>
  <c r="H269" i="9"/>
  <c r="G269" i="9"/>
  <c r="F269" i="9"/>
  <c r="E269" i="9"/>
  <c r="D269" i="9"/>
  <c r="C269" i="9"/>
  <c r="B269" i="9"/>
  <c r="A269" i="9"/>
  <c r="M268" i="9"/>
  <c r="L268" i="9"/>
  <c r="K268" i="9"/>
  <c r="J268" i="9"/>
  <c r="I268" i="9"/>
  <c r="H268" i="9"/>
  <c r="G268" i="9"/>
  <c r="F268" i="9"/>
  <c r="E268" i="9"/>
  <c r="D268" i="9"/>
  <c r="C268" i="9"/>
  <c r="B268" i="9"/>
  <c r="A268" i="9"/>
  <c r="M267" i="9"/>
  <c r="L267" i="9"/>
  <c r="K267" i="9"/>
  <c r="J267" i="9"/>
  <c r="I267" i="9"/>
  <c r="H267" i="9"/>
  <c r="G267" i="9"/>
  <c r="F267" i="9"/>
  <c r="E267" i="9"/>
  <c r="D267" i="9"/>
  <c r="C267" i="9"/>
  <c r="B267" i="9"/>
  <c r="A267" i="9"/>
  <c r="M266" i="9"/>
  <c r="L266" i="9"/>
  <c r="K266" i="9"/>
  <c r="J266" i="9"/>
  <c r="I266" i="9"/>
  <c r="H266" i="9"/>
  <c r="G266" i="9"/>
  <c r="F266" i="9"/>
  <c r="E266" i="9"/>
  <c r="D266" i="9"/>
  <c r="C266" i="9"/>
  <c r="B266" i="9"/>
  <c r="A266" i="9"/>
  <c r="M265" i="9"/>
  <c r="L265" i="9"/>
  <c r="K265" i="9"/>
  <c r="J265" i="9"/>
  <c r="I265" i="9"/>
  <c r="H265" i="9"/>
  <c r="G265" i="9"/>
  <c r="F265" i="9"/>
  <c r="E265" i="9"/>
  <c r="D265" i="9"/>
  <c r="C265" i="9"/>
  <c r="B265" i="9"/>
  <c r="A265" i="9"/>
  <c r="M264" i="9"/>
  <c r="L264" i="9"/>
  <c r="K264" i="9"/>
  <c r="J264" i="9"/>
  <c r="I264" i="9"/>
  <c r="H264" i="9"/>
  <c r="G264" i="9"/>
  <c r="F264" i="9"/>
  <c r="E264" i="9"/>
  <c r="D264" i="9"/>
  <c r="C264" i="9"/>
  <c r="B264" i="9"/>
  <c r="A264" i="9"/>
  <c r="M263" i="9"/>
  <c r="L263" i="9"/>
  <c r="K263" i="9"/>
  <c r="J263" i="9"/>
  <c r="I263" i="9"/>
  <c r="H263" i="9"/>
  <c r="G263" i="9"/>
  <c r="F263" i="9"/>
  <c r="E263" i="9"/>
  <c r="D263" i="9"/>
  <c r="C263" i="9"/>
  <c r="B263" i="9"/>
  <c r="A263" i="9"/>
  <c r="M262" i="9"/>
  <c r="L262" i="9"/>
  <c r="K262" i="9"/>
  <c r="J262" i="9"/>
  <c r="I262" i="9"/>
  <c r="H262" i="9"/>
  <c r="G262" i="9"/>
  <c r="F262" i="9"/>
  <c r="E262" i="9"/>
  <c r="D262" i="9"/>
  <c r="C262" i="9"/>
  <c r="B262" i="9"/>
  <c r="A262" i="9"/>
  <c r="M261" i="9"/>
  <c r="L261" i="9"/>
  <c r="K261" i="9"/>
  <c r="J261" i="9"/>
  <c r="I261" i="9"/>
  <c r="H261" i="9"/>
  <c r="G261" i="9"/>
  <c r="F261" i="9"/>
  <c r="E261" i="9"/>
  <c r="D261" i="9"/>
  <c r="C261" i="9"/>
  <c r="B261" i="9"/>
  <c r="A261" i="9"/>
  <c r="M260" i="9"/>
  <c r="L260" i="9"/>
  <c r="K260" i="9"/>
  <c r="J260" i="9"/>
  <c r="I260" i="9"/>
  <c r="H260" i="9"/>
  <c r="G260" i="9"/>
  <c r="F260" i="9"/>
  <c r="E260" i="9"/>
  <c r="D260" i="9"/>
  <c r="C260" i="9"/>
  <c r="B260" i="9"/>
  <c r="A260" i="9"/>
  <c r="M259" i="9"/>
  <c r="L259" i="9"/>
  <c r="K259" i="9"/>
  <c r="J259" i="9"/>
  <c r="I259" i="9"/>
  <c r="H259" i="9"/>
  <c r="G259" i="9"/>
  <c r="F259" i="9"/>
  <c r="E259" i="9"/>
  <c r="D259" i="9"/>
  <c r="C259" i="9"/>
  <c r="B259" i="9"/>
  <c r="A259" i="9"/>
  <c r="M258" i="9"/>
  <c r="L258" i="9"/>
  <c r="K258" i="9"/>
  <c r="J258" i="9"/>
  <c r="I258" i="9"/>
  <c r="H258" i="9"/>
  <c r="G258" i="9"/>
  <c r="F258" i="9"/>
  <c r="E258" i="9"/>
  <c r="D258" i="9"/>
  <c r="C258" i="9"/>
  <c r="B258" i="9"/>
  <c r="A258" i="9"/>
  <c r="M257" i="9"/>
  <c r="L257" i="9"/>
  <c r="K257" i="9"/>
  <c r="J257" i="9"/>
  <c r="I257" i="9"/>
  <c r="H257" i="9"/>
  <c r="G257" i="9"/>
  <c r="F257" i="9"/>
  <c r="E257" i="9"/>
  <c r="D257" i="9"/>
  <c r="C257" i="9"/>
  <c r="B257" i="9"/>
  <c r="A257" i="9"/>
  <c r="M256" i="9"/>
  <c r="L256" i="9"/>
  <c r="K256" i="9"/>
  <c r="J256" i="9"/>
  <c r="I256" i="9"/>
  <c r="H256" i="9"/>
  <c r="G256" i="9"/>
  <c r="F256" i="9"/>
  <c r="E256" i="9"/>
  <c r="D256" i="9"/>
  <c r="C256" i="9"/>
  <c r="B256" i="9"/>
  <c r="A256" i="9"/>
  <c r="M255" i="9"/>
  <c r="L255" i="9"/>
  <c r="K255" i="9"/>
  <c r="J255" i="9"/>
  <c r="I255" i="9"/>
  <c r="H255" i="9"/>
  <c r="G255" i="9"/>
  <c r="F255" i="9"/>
  <c r="E255" i="9"/>
  <c r="D255" i="9"/>
  <c r="C255" i="9"/>
  <c r="B255" i="9"/>
  <c r="A255" i="9"/>
  <c r="M254" i="9"/>
  <c r="L254" i="9"/>
  <c r="K254" i="9"/>
  <c r="J254" i="9"/>
  <c r="I254" i="9"/>
  <c r="H254" i="9"/>
  <c r="G254" i="9"/>
  <c r="F254" i="9"/>
  <c r="E254" i="9"/>
  <c r="D254" i="9"/>
  <c r="C254" i="9"/>
  <c r="B254" i="9"/>
  <c r="A254" i="9"/>
  <c r="M253" i="9"/>
  <c r="L253" i="9"/>
  <c r="K253" i="9"/>
  <c r="J253" i="9"/>
  <c r="I253" i="9"/>
  <c r="H253" i="9"/>
  <c r="G253" i="9"/>
  <c r="F253" i="9"/>
  <c r="E253" i="9"/>
  <c r="D253" i="9"/>
  <c r="C253" i="9"/>
  <c r="B253" i="9"/>
  <c r="A253" i="9"/>
  <c r="M252" i="9"/>
  <c r="L252" i="9"/>
  <c r="K252" i="9"/>
  <c r="J252" i="9"/>
  <c r="I252" i="9"/>
  <c r="H252" i="9"/>
  <c r="G252" i="9"/>
  <c r="F252" i="9"/>
  <c r="E252" i="9"/>
  <c r="D252" i="9"/>
  <c r="C252" i="9"/>
  <c r="B252" i="9"/>
  <c r="A252" i="9"/>
  <c r="M251" i="9"/>
  <c r="L251" i="9"/>
  <c r="K251" i="9"/>
  <c r="J251" i="9"/>
  <c r="I251" i="9"/>
  <c r="H251" i="9"/>
  <c r="G251" i="9"/>
  <c r="F251" i="9"/>
  <c r="E251" i="9"/>
  <c r="D251" i="9"/>
  <c r="C251" i="9"/>
  <c r="B251" i="9"/>
  <c r="A251" i="9"/>
  <c r="M250" i="9"/>
  <c r="L250" i="9"/>
  <c r="K250" i="9"/>
  <c r="J250" i="9"/>
  <c r="I250" i="9"/>
  <c r="H250" i="9"/>
  <c r="G250" i="9"/>
  <c r="F250" i="9"/>
  <c r="E250" i="9"/>
  <c r="D250" i="9"/>
  <c r="C250" i="9"/>
  <c r="B250" i="9"/>
  <c r="A250" i="9"/>
  <c r="M249" i="9"/>
  <c r="L249" i="9"/>
  <c r="K249" i="9"/>
  <c r="J249" i="9"/>
  <c r="I249" i="9"/>
  <c r="H249" i="9"/>
  <c r="G249" i="9"/>
  <c r="F249" i="9"/>
  <c r="E249" i="9"/>
  <c r="D249" i="9"/>
  <c r="C249" i="9"/>
  <c r="B249" i="9"/>
  <c r="A249" i="9"/>
  <c r="M248" i="9"/>
  <c r="L248" i="9"/>
  <c r="K248" i="9"/>
  <c r="J248" i="9"/>
  <c r="I248" i="9"/>
  <c r="H248" i="9"/>
  <c r="G248" i="9"/>
  <c r="F248" i="9"/>
  <c r="E248" i="9"/>
  <c r="D248" i="9"/>
  <c r="C248" i="9"/>
  <c r="B248" i="9"/>
  <c r="A248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A247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A246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A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A244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A243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A242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A241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A240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A239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A238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A237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A236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A235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A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A233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A232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A231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A230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A229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A228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A227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A226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A225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A224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A223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A222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A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A220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A219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A218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A217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A216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A215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A214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A213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A212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A211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A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A209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A208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A207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A206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A205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A204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A203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A202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A201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A200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A199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A198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A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A196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A195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A194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A193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A192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A191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A190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A189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A188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A187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A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A185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A184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A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A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A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A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A179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A178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A177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A176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A175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A174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A173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A172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A171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A170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A169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A168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A167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166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A165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A164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A163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A162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A161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A160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A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A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A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A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A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A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A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A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A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A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A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A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A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A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A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A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A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A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9" i="9"/>
  <c r="L9" i="9"/>
  <c r="K9" i="9"/>
  <c r="J9" i="9"/>
  <c r="I9" i="9"/>
  <c r="H9" i="9"/>
  <c r="G9" i="9"/>
  <c r="F9" i="9"/>
  <c r="E9" i="9"/>
  <c r="D9" i="9"/>
  <c r="C9" i="9"/>
  <c r="B9" i="9"/>
  <c r="A9" i="9"/>
  <c r="M8" i="9"/>
  <c r="L8" i="9"/>
  <c r="K8" i="9"/>
  <c r="J8" i="9"/>
  <c r="I8" i="9"/>
  <c r="H8" i="9"/>
  <c r="G8" i="9"/>
  <c r="F8" i="9"/>
  <c r="E8" i="9"/>
  <c r="D8" i="9"/>
  <c r="C8" i="9"/>
  <c r="B8" i="9"/>
  <c r="A8" i="9"/>
  <c r="M7" i="9"/>
  <c r="L7" i="9"/>
  <c r="K7" i="9"/>
  <c r="J7" i="9"/>
  <c r="I7" i="9"/>
  <c r="H7" i="9"/>
  <c r="G7" i="9"/>
  <c r="F7" i="9"/>
  <c r="E7" i="9"/>
  <c r="D7" i="9"/>
  <c r="C7" i="9"/>
  <c r="B7" i="9"/>
  <c r="A7" i="9"/>
  <c r="M6" i="9"/>
  <c r="L6" i="9"/>
  <c r="K6" i="9"/>
  <c r="J6" i="9"/>
  <c r="I6" i="9"/>
  <c r="H6" i="9"/>
  <c r="G6" i="9"/>
  <c r="F6" i="9"/>
  <c r="E6" i="9"/>
  <c r="D6" i="9"/>
  <c r="C6" i="9"/>
  <c r="B6" i="9"/>
  <c r="A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4" i="9"/>
  <c r="L4" i="9"/>
  <c r="K4" i="9"/>
  <c r="J4" i="9"/>
  <c r="I4" i="9"/>
  <c r="H4" i="9"/>
  <c r="G4" i="9"/>
  <c r="F4" i="9"/>
  <c r="E4" i="9"/>
  <c r="D4" i="9"/>
  <c r="C4" i="9"/>
  <c r="B4" i="9"/>
  <c r="A4" i="9"/>
  <c r="M3" i="9"/>
  <c r="L3" i="9"/>
  <c r="K3" i="9"/>
  <c r="J3" i="9"/>
  <c r="I3" i="9"/>
  <c r="H3" i="9"/>
  <c r="G3" i="9"/>
  <c r="F3" i="9"/>
  <c r="E3" i="9"/>
  <c r="D3" i="9"/>
  <c r="C3" i="9"/>
  <c r="B3" i="9"/>
  <c r="A3" i="9"/>
  <c r="M2" i="9"/>
  <c r="L2" i="9"/>
  <c r="K2" i="9"/>
  <c r="J2" i="9"/>
  <c r="I2" i="9"/>
  <c r="H2" i="9"/>
  <c r="G2" i="9"/>
  <c r="F2" i="9"/>
  <c r="E2" i="9"/>
  <c r="D2" i="9"/>
  <c r="C2" i="9"/>
  <c r="B2" i="9"/>
  <c r="A2" i="9"/>
  <c r="M1" i="9"/>
  <c r="L1" i="9"/>
  <c r="K1" i="9"/>
  <c r="J1" i="9"/>
  <c r="I1" i="9"/>
  <c r="H1" i="9"/>
  <c r="G1" i="9"/>
  <c r="F1" i="9"/>
  <c r="E1" i="9"/>
  <c r="D1" i="9"/>
  <c r="C1" i="9"/>
  <c r="B1" i="9"/>
  <c r="A1" i="9"/>
</calcChain>
</file>

<file path=xl/sharedStrings.xml><?xml version="1.0" encoding="utf-8"?>
<sst xmlns="http://schemas.openxmlformats.org/spreadsheetml/2006/main" count="80" uniqueCount="63">
  <si>
    <t>Kota</t>
  </si>
  <si>
    <t>Rating</t>
  </si>
  <si>
    <t>Sales</t>
  </si>
  <si>
    <t>Bambang</t>
  </si>
  <si>
    <t>Bogor</t>
  </si>
  <si>
    <t>Rachmat</t>
  </si>
  <si>
    <t>Banjar</t>
  </si>
  <si>
    <t>Lie</t>
  </si>
  <si>
    <t>Gorontalo</t>
  </si>
  <si>
    <t>Jimmy</t>
  </si>
  <si>
    <t>Purwokerto</t>
  </si>
  <si>
    <t>Sudjono</t>
  </si>
  <si>
    <t>Pasuruan</t>
  </si>
  <si>
    <t>Ari</t>
  </si>
  <si>
    <t>Tarakan</t>
  </si>
  <si>
    <t>Indawan</t>
  </si>
  <si>
    <t>Palangkaraya</t>
  </si>
  <si>
    <t>Jayanti</t>
  </si>
  <si>
    <t>Tangerang Selatan</t>
  </si>
  <si>
    <t>Monalita</t>
  </si>
  <si>
    <t>Padang Sidempuan</t>
  </si>
  <si>
    <t>Franky</t>
  </si>
  <si>
    <t>Mojokerto</t>
  </si>
  <si>
    <t>Lily</t>
  </si>
  <si>
    <t>Lubuklinggau</t>
  </si>
  <si>
    <t>Dadi</t>
  </si>
  <si>
    <t>Banjarbaru</t>
  </si>
  <si>
    <t>Benny</t>
  </si>
  <si>
    <t>Jayapura</t>
  </si>
  <si>
    <t>Djoni</t>
  </si>
  <si>
    <t>Payakumbuh</t>
  </si>
  <si>
    <t>John</t>
  </si>
  <si>
    <t>Semarang</t>
  </si>
  <si>
    <t>David</t>
  </si>
  <si>
    <t>Sabang</t>
  </si>
  <si>
    <t>Kimberly</t>
  </si>
  <si>
    <t>Langsa</t>
  </si>
  <si>
    <t>Letty</t>
  </si>
  <si>
    <t>Samarinda</t>
  </si>
  <si>
    <t>Lucas</t>
  </si>
  <si>
    <t>Denpasar</t>
  </si>
  <si>
    <t>409</t>
  </si>
  <si>
    <t>983</t>
  </si>
  <si>
    <t>410</t>
  </si>
  <si>
    <t>123</t>
  </si>
  <si>
    <t>994</t>
  </si>
  <si>
    <t>992</t>
  </si>
  <si>
    <t>500</t>
  </si>
  <si>
    <t>662</t>
  </si>
  <si>
    <t>661</t>
  </si>
  <si>
    <t>991</t>
  </si>
  <si>
    <t>990</t>
  </si>
  <si>
    <t>559</t>
  </si>
  <si>
    <t>101</t>
  </si>
  <si>
    <t>993</t>
  </si>
  <si>
    <t>201</t>
  </si>
  <si>
    <t>3 Star</t>
  </si>
  <si>
    <t>2 Star</t>
  </si>
  <si>
    <t>1 Star</t>
  </si>
  <si>
    <t>4 Star</t>
  </si>
  <si>
    <t>5 Star</t>
  </si>
  <si>
    <t>6 Star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</si>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</sst>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&quot;-&quot;mm&quot;-&quot;yyyy"/>
    <numFmt numFmtId="165" formatCode="[$Rp]#,##0"/>
  </numFmts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1" fontId="2" fillId="3" borderId="0" xfId="0" applyNumberFormat="1" applyFont="1" applyFill="1" applyAlignment="1"/>
    <xf numFmtId="0" fontId="2" fillId="3" borderId="0" xfId="0" applyFont="1" applyFill="1"/>
    <xf numFmtId="0" fontId="3" fillId="4" borderId="0" xfId="0" applyFont="1" applyFill="1" applyAlignment="1"/>
    <xf numFmtId="0" fontId="3" fillId="4" borderId="0" xfId="0" applyFont="1" applyFill="1" applyAlignment="1"/>
    <xf numFmtId="1" fontId="4" fillId="4" borderId="0" xfId="0" applyNumberFormat="1" applyFont="1" applyFill="1"/>
    <xf numFmtId="0" fontId="4" fillId="4" borderId="0" xfId="0" applyFont="1" applyFill="1"/>
    <xf numFmtId="0" fontId="3" fillId="5" borderId="0" xfId="0" applyFont="1" applyFill="1" applyAlignment="1"/>
    <xf numFmtId="1" fontId="4" fillId="5" borderId="0" xfId="0" applyNumberFormat="1" applyFont="1" applyFill="1"/>
    <xf numFmtId="0" fontId="4" fillId="5" borderId="0" xfId="0" applyFont="1" applyFill="1"/>
    <xf numFmtId="165" fontId="4" fillId="0" borderId="0" xfId="0" applyNumberFormat="1" applyFont="1"/>
    <xf numFmtId="164" fontId="4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2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Sales By Year-style" pivot="0" count="2" xr9:uid="{00000000-0011-0000-FFFF-FFFF00000000}">
      <tableStyleElement type="firstRowStripe" dxfId="21"/>
      <tableStyleElement type="secondRowStripe" dxfId="20"/>
    </tableStyle>
    <tableStyle name="Sales By Year-style 2" pivot="0" count="3" xr9:uid="{00000000-0011-0000-FFFF-FFFF01000000}">
      <tableStyleElement type="headerRow" dxfId="19"/>
      <tableStyleElement type="firstRowStripe" dxfId="18"/>
      <tableStyleElement type="secondRowStripe" dxfId="17"/>
    </tableStyle>
    <tableStyle name="Google Sheets Pivot Table Style" table="0" count="12" xr9:uid="{00000000-0011-0000-FFFF-FFFF02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Pembeli 2018-style" pivot="0" count="2" xr9:uid="{00000000-0011-0000-FFFF-FFFF03000000}">
      <tableStyleElement type="firstRowStripe" dxfId="4"/>
      <tableStyleElement type="secondRowStripe" dxfId="3"/>
    </tableStyle>
    <tableStyle name="Sales DB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62"/>
  <sheetViews>
    <sheetView tabSelected="1" workbookViewId="0">
      <selection activeCell="B2" sqref="B2:B14"/>
    </sheetView>
  </sheetViews>
  <sheetFormatPr defaultColWidth="14.453125" defaultRowHeight="15.75" customHeight="1" x14ac:dyDescent="0.25"/>
  <cols>
    <col min="1" max="1" width="15.26953125" customWidth="1"/>
    <col min="2" max="2" width="17.453125" customWidth="1"/>
  </cols>
  <sheetData>
    <row r="1" spans="1:9" ht="15.75" customHeight="1" x14ac:dyDescent="0.3">
      <c r="A1" s="1" t="s">
        <v>62</v>
      </c>
      <c r="B1" s="1" t="s">
        <v>0</v>
      </c>
      <c r="C1" s="2" t="s">
        <v>2</v>
      </c>
      <c r="D1" s="13" t="s">
        <v>1</v>
      </c>
      <c r="E1" s="3"/>
      <c r="F1" s="3"/>
      <c r="G1" s="3"/>
      <c r="H1" s="3"/>
      <c r="I1" s="3"/>
    </row>
    <row r="2" spans="1:9" ht="15.75" customHeight="1" x14ac:dyDescent="0.25">
      <c r="A2" s="4" t="s">
        <v>3</v>
      </c>
      <c r="B2" s="5" t="s">
        <v>4</v>
      </c>
      <c r="C2" s="6" t="s">
        <v>41</v>
      </c>
      <c r="D2" s="7" t="s">
        <v>56</v>
      </c>
      <c r="E2" s="7"/>
      <c r="F2" s="7"/>
      <c r="G2" s="7"/>
      <c r="H2" s="7"/>
      <c r="I2" s="7"/>
    </row>
    <row r="3" spans="1:9" ht="15.75" customHeight="1" x14ac:dyDescent="0.25">
      <c r="A3" s="8" t="s">
        <v>5</v>
      </c>
      <c r="B3" s="8" t="s">
        <v>6</v>
      </c>
      <c r="C3" s="9" t="s">
        <v>41</v>
      </c>
      <c r="D3" s="10" t="s">
        <v>57</v>
      </c>
      <c r="E3" s="7"/>
      <c r="F3" s="10"/>
      <c r="G3" s="10"/>
      <c r="H3" s="10"/>
      <c r="I3" s="10"/>
    </row>
    <row r="4" spans="1:9" ht="15.75" customHeight="1" x14ac:dyDescent="0.25">
      <c r="A4" s="5" t="s">
        <v>7</v>
      </c>
      <c r="B4" s="5" t="s">
        <v>8</v>
      </c>
      <c r="C4" s="6" t="s">
        <v>42</v>
      </c>
      <c r="D4" s="7" t="s">
        <v>58</v>
      </c>
      <c r="E4" s="7"/>
      <c r="F4" s="7"/>
      <c r="G4" s="7"/>
      <c r="H4" s="7"/>
      <c r="I4" s="7"/>
    </row>
    <row r="5" spans="1:9" ht="15.75" customHeight="1" x14ac:dyDescent="0.25">
      <c r="A5" s="8" t="s">
        <v>9</v>
      </c>
      <c r="B5" s="8" t="s">
        <v>10</v>
      </c>
      <c r="C5" s="9" t="s">
        <v>43</v>
      </c>
      <c r="D5" s="10" t="s">
        <v>59</v>
      </c>
      <c r="E5" s="7"/>
      <c r="F5" s="10"/>
      <c r="G5" s="10"/>
      <c r="H5" s="10"/>
      <c r="I5" s="10"/>
    </row>
    <row r="6" spans="1:9" ht="15.75" customHeight="1" x14ac:dyDescent="0.25">
      <c r="A6" s="5" t="s">
        <v>11</v>
      </c>
      <c r="B6" s="5" t="s">
        <v>12</v>
      </c>
      <c r="C6" s="6" t="s">
        <v>44</v>
      </c>
      <c r="D6" s="7" t="s">
        <v>60</v>
      </c>
      <c r="E6" s="7"/>
      <c r="F6" s="7"/>
      <c r="G6" s="7"/>
      <c r="H6" s="7"/>
      <c r="I6" s="7"/>
    </row>
    <row r="7" spans="1:9" ht="15.75" customHeight="1" x14ac:dyDescent="0.25">
      <c r="A7" s="8" t="s">
        <v>13</v>
      </c>
      <c r="B7" s="8" t="s">
        <v>14</v>
      </c>
      <c r="C7" s="9" t="s">
        <v>45</v>
      </c>
      <c r="D7" s="10" t="s">
        <v>61</v>
      </c>
      <c r="E7" s="7"/>
      <c r="F7" s="10"/>
      <c r="G7" s="10"/>
      <c r="H7" s="10"/>
      <c r="I7" s="10"/>
    </row>
    <row r="8" spans="1:9" ht="15.75" customHeight="1" x14ac:dyDescent="0.25">
      <c r="A8" s="5" t="s">
        <v>15</v>
      </c>
      <c r="B8" s="5" t="s">
        <v>16</v>
      </c>
      <c r="C8" s="6" t="s">
        <v>46</v>
      </c>
      <c r="D8" s="7" t="s">
        <v>59</v>
      </c>
      <c r="E8" s="7"/>
      <c r="F8" s="7"/>
      <c r="G8" s="7"/>
      <c r="H8" s="7"/>
      <c r="I8" s="7"/>
    </row>
    <row r="9" spans="1:9" ht="15.75" customHeight="1" x14ac:dyDescent="0.25">
      <c r="A9" s="8" t="s">
        <v>17</v>
      </c>
      <c r="B9" s="8" t="s">
        <v>18</v>
      </c>
      <c r="C9" s="9" t="s">
        <v>47</v>
      </c>
      <c r="D9" s="10" t="s">
        <v>56</v>
      </c>
      <c r="E9" s="7"/>
      <c r="F9" s="10"/>
      <c r="G9" s="10"/>
      <c r="H9" s="10"/>
      <c r="I9" s="10"/>
    </row>
    <row r="10" spans="1:9" ht="15.75" customHeight="1" x14ac:dyDescent="0.25">
      <c r="A10" s="5" t="s">
        <v>19</v>
      </c>
      <c r="B10" s="5" t="s">
        <v>20</v>
      </c>
      <c r="C10" s="6" t="s">
        <v>48</v>
      </c>
      <c r="D10" s="7" t="s">
        <v>57</v>
      </c>
      <c r="E10" s="7"/>
      <c r="F10" s="7"/>
      <c r="G10" s="7"/>
      <c r="H10" s="7"/>
      <c r="I10" s="7"/>
    </row>
    <row r="11" spans="1:9" ht="15.75" customHeight="1" x14ac:dyDescent="0.25">
      <c r="A11" s="8" t="s">
        <v>21</v>
      </c>
      <c r="B11" s="8" t="s">
        <v>22</v>
      </c>
      <c r="C11" s="9" t="s">
        <v>44</v>
      </c>
      <c r="D11" s="10" t="s">
        <v>58</v>
      </c>
      <c r="E11" s="7"/>
      <c r="F11" s="10"/>
      <c r="G11" s="10"/>
      <c r="H11" s="10"/>
      <c r="I11" s="10"/>
    </row>
    <row r="12" spans="1:9" ht="15.75" customHeight="1" x14ac:dyDescent="0.25">
      <c r="A12" s="5" t="s">
        <v>23</v>
      </c>
      <c r="B12" s="5" t="s">
        <v>24</v>
      </c>
      <c r="C12" s="6" t="s">
        <v>49</v>
      </c>
      <c r="D12" s="7" t="s">
        <v>56</v>
      </c>
      <c r="E12" s="7"/>
      <c r="F12" s="7"/>
      <c r="G12" s="7"/>
      <c r="H12" s="7"/>
      <c r="I12" s="7"/>
    </row>
    <row r="13" spans="1:9" ht="15.75" customHeight="1" x14ac:dyDescent="0.25">
      <c r="A13" s="8" t="s">
        <v>25</v>
      </c>
      <c r="B13" s="8" t="s">
        <v>26</v>
      </c>
      <c r="C13" s="9" t="s">
        <v>50</v>
      </c>
      <c r="D13" s="10" t="s">
        <v>56</v>
      </c>
      <c r="E13" s="7"/>
      <c r="F13" s="10"/>
      <c r="G13" s="10"/>
      <c r="H13" s="10"/>
      <c r="I13" s="10"/>
    </row>
    <row r="14" spans="1:9" ht="15.75" customHeight="1" x14ac:dyDescent="0.25">
      <c r="A14" s="5" t="s">
        <v>27</v>
      </c>
      <c r="B14" s="5" t="s">
        <v>28</v>
      </c>
      <c r="C14" s="6" t="s">
        <v>51</v>
      </c>
      <c r="D14" s="7" t="s">
        <v>59</v>
      </c>
      <c r="E14" s="7"/>
      <c r="F14" s="7"/>
      <c r="G14" s="7"/>
      <c r="H14" s="7"/>
      <c r="I14" s="7"/>
    </row>
    <row r="15" spans="1:9" ht="15.75" customHeight="1" x14ac:dyDescent="0.25">
      <c r="A15" s="8" t="s">
        <v>29</v>
      </c>
      <c r="B15" s="8" t="s">
        <v>30</v>
      </c>
      <c r="C15" s="9" t="s">
        <v>52</v>
      </c>
      <c r="D15" s="10" t="s">
        <v>60</v>
      </c>
      <c r="E15" s="7"/>
      <c r="F15" s="10"/>
      <c r="G15" s="10"/>
      <c r="H15" s="10"/>
      <c r="I15" s="10"/>
    </row>
    <row r="16" spans="1:9" ht="15.75" customHeight="1" x14ac:dyDescent="0.25">
      <c r="A16" s="5" t="s">
        <v>31</v>
      </c>
      <c r="B16" s="5" t="s">
        <v>32</v>
      </c>
      <c r="C16" s="6" t="s">
        <v>43</v>
      </c>
      <c r="D16" s="7" t="s">
        <v>56</v>
      </c>
      <c r="E16" s="7"/>
      <c r="F16" s="7"/>
      <c r="G16" s="7"/>
      <c r="H16" s="7"/>
      <c r="I16" s="7"/>
    </row>
    <row r="17" spans="1:9" ht="15.75" customHeight="1" x14ac:dyDescent="0.25">
      <c r="A17" s="8" t="s">
        <v>33</v>
      </c>
      <c r="B17" s="8" t="s">
        <v>34</v>
      </c>
      <c r="C17" s="9" t="s">
        <v>53</v>
      </c>
      <c r="D17" s="10" t="s">
        <v>57</v>
      </c>
      <c r="E17" s="7"/>
      <c r="F17" s="10"/>
      <c r="G17" s="10"/>
      <c r="H17" s="10"/>
      <c r="I17" s="10"/>
    </row>
    <row r="18" spans="1:9" ht="15.75" customHeight="1" x14ac:dyDescent="0.25">
      <c r="A18" s="5" t="s">
        <v>35</v>
      </c>
      <c r="B18" s="5" t="s">
        <v>36</v>
      </c>
      <c r="C18" s="6" t="s">
        <v>53</v>
      </c>
      <c r="D18" s="7" t="s">
        <v>57</v>
      </c>
      <c r="E18" s="7"/>
      <c r="F18" s="7"/>
      <c r="G18" s="7"/>
      <c r="H18" s="7"/>
      <c r="I18" s="7"/>
    </row>
    <row r="19" spans="1:9" ht="15.75" customHeight="1" x14ac:dyDescent="0.25">
      <c r="A19" s="8" t="s">
        <v>37</v>
      </c>
      <c r="B19" s="8" t="s">
        <v>38</v>
      </c>
      <c r="C19" s="9" t="s">
        <v>54</v>
      </c>
      <c r="D19" s="10" t="s">
        <v>58</v>
      </c>
      <c r="E19" s="7"/>
      <c r="F19" s="10"/>
      <c r="G19" s="10"/>
      <c r="H19" s="10"/>
      <c r="I19" s="10"/>
    </row>
    <row r="20" spans="1:9" ht="15.75" customHeight="1" x14ac:dyDescent="0.25">
      <c r="A20" s="5" t="s">
        <v>39</v>
      </c>
      <c r="B20" s="5" t="s">
        <v>40</v>
      </c>
      <c r="C20" s="6" t="s">
        <v>55</v>
      </c>
      <c r="D20" s="7" t="s">
        <v>57</v>
      </c>
      <c r="E20" s="7"/>
      <c r="F20" s="7"/>
      <c r="G20" s="7"/>
      <c r="H20" s="7"/>
      <c r="I20" s="7"/>
    </row>
    <row r="21" spans="1:9" ht="15.75" customHeight="1" x14ac:dyDescent="0.25">
      <c r="A21" s="7"/>
      <c r="B21" s="10"/>
      <c r="C21" s="10"/>
      <c r="D21" s="10"/>
      <c r="E21" s="10"/>
    </row>
    <row r="22" spans="1:9" ht="15.75" customHeight="1" x14ac:dyDescent="0.25">
      <c r="A22" s="7"/>
      <c r="B22" s="7"/>
      <c r="C22" s="7"/>
      <c r="D22" s="7"/>
      <c r="E22" s="7"/>
    </row>
    <row r="23" spans="1:9" ht="12.5" x14ac:dyDescent="0.25">
      <c r="A23" s="7"/>
      <c r="B23" s="10"/>
      <c r="C23" s="10"/>
      <c r="D23" s="10"/>
      <c r="E23" s="10"/>
    </row>
    <row r="24" spans="1:9" ht="12.5" x14ac:dyDescent="0.25">
      <c r="A24" s="7"/>
      <c r="B24" s="7"/>
      <c r="C24" s="7"/>
      <c r="D24" s="7"/>
      <c r="E24" s="7"/>
    </row>
    <row r="25" spans="1:9" ht="12.5" x14ac:dyDescent="0.25">
      <c r="A25" s="7"/>
      <c r="B25" s="10"/>
      <c r="C25" s="10"/>
      <c r="D25" s="10"/>
      <c r="E25" s="10"/>
    </row>
    <row r="26" spans="1:9" ht="12.5" x14ac:dyDescent="0.25">
      <c r="A26" s="7"/>
      <c r="B26" s="7"/>
      <c r="C26" s="7"/>
      <c r="D26" s="7"/>
      <c r="E26" s="7"/>
    </row>
    <row r="27" spans="1:9" ht="12.5" x14ac:dyDescent="0.25">
      <c r="A27" s="7"/>
      <c r="B27" s="10"/>
      <c r="C27" s="10"/>
      <c r="D27" s="10"/>
      <c r="E27" s="10"/>
    </row>
    <row r="28" spans="1:9" ht="12.5" x14ac:dyDescent="0.25">
      <c r="A28" s="7"/>
      <c r="B28" s="7"/>
      <c r="C28" s="7"/>
      <c r="D28" s="7"/>
      <c r="E28" s="7"/>
    </row>
    <row r="29" spans="1:9" ht="12.5" x14ac:dyDescent="0.25">
      <c r="A29" s="7"/>
      <c r="B29" s="10"/>
      <c r="C29" s="10"/>
      <c r="D29" s="10"/>
      <c r="E29" s="10"/>
    </row>
    <row r="30" spans="1:9" ht="12.5" x14ac:dyDescent="0.25">
      <c r="A30" s="7"/>
      <c r="B30" s="7"/>
      <c r="C30" s="7"/>
      <c r="D30" s="7"/>
      <c r="E30" s="7"/>
    </row>
    <row r="31" spans="1:9" ht="12.5" x14ac:dyDescent="0.25">
      <c r="A31" s="7"/>
      <c r="B31" s="10"/>
      <c r="C31" s="10"/>
      <c r="D31" s="10"/>
      <c r="E31" s="10"/>
    </row>
    <row r="32" spans="1:9" ht="12.5" x14ac:dyDescent="0.25">
      <c r="A32" s="7"/>
      <c r="B32" s="7"/>
      <c r="C32" s="7"/>
      <c r="D32" s="7"/>
      <c r="E32" s="7"/>
    </row>
    <row r="33" spans="1:5" ht="12.5" x14ac:dyDescent="0.25">
      <c r="A33" s="7"/>
      <c r="B33" s="10"/>
      <c r="C33" s="10"/>
      <c r="D33" s="10"/>
      <c r="E33" s="10"/>
    </row>
    <row r="34" spans="1:5" ht="12.5" x14ac:dyDescent="0.25">
      <c r="A34" s="7"/>
      <c r="B34" s="7"/>
      <c r="C34" s="7"/>
      <c r="D34" s="7"/>
      <c r="E34" s="7"/>
    </row>
    <row r="35" spans="1:5" ht="12.5" x14ac:dyDescent="0.25">
      <c r="A35" s="7"/>
      <c r="B35" s="10"/>
      <c r="C35" s="10"/>
      <c r="D35" s="10"/>
      <c r="E35" s="10"/>
    </row>
    <row r="36" spans="1:5" ht="12.5" x14ac:dyDescent="0.25">
      <c r="A36" s="7"/>
      <c r="B36" s="7"/>
      <c r="C36" s="7"/>
      <c r="D36" s="7"/>
      <c r="E36" s="7"/>
    </row>
    <row r="37" spans="1:5" ht="12.5" x14ac:dyDescent="0.25">
      <c r="A37" s="7"/>
      <c r="B37" s="10"/>
      <c r="C37" s="10"/>
      <c r="D37" s="10"/>
      <c r="E37" s="10"/>
    </row>
    <row r="38" spans="1:5" ht="12.5" x14ac:dyDescent="0.25">
      <c r="A38" s="7"/>
      <c r="B38" s="7"/>
      <c r="C38" s="7"/>
      <c r="D38" s="7"/>
      <c r="E38" s="7"/>
    </row>
    <row r="39" spans="1:5" ht="12.5" x14ac:dyDescent="0.25">
      <c r="A39" s="7"/>
      <c r="B39" s="10"/>
      <c r="C39" s="10"/>
      <c r="D39" s="10"/>
      <c r="E39" s="10"/>
    </row>
    <row r="40" spans="1:5" ht="12.5" x14ac:dyDescent="0.25">
      <c r="A40" s="7"/>
      <c r="B40" s="7"/>
      <c r="C40" s="7"/>
      <c r="D40" s="7"/>
      <c r="E40" s="7"/>
    </row>
    <row r="41" spans="1:5" ht="12.5" x14ac:dyDescent="0.25">
      <c r="A41" s="7"/>
      <c r="B41" s="10"/>
      <c r="C41" s="10"/>
      <c r="D41" s="10"/>
      <c r="E41" s="10"/>
    </row>
    <row r="42" spans="1:5" ht="12.5" x14ac:dyDescent="0.25">
      <c r="A42" s="7"/>
      <c r="B42" s="7"/>
      <c r="C42" s="7"/>
      <c r="D42" s="7"/>
      <c r="E42" s="7"/>
    </row>
    <row r="43" spans="1:5" ht="12.5" x14ac:dyDescent="0.25">
      <c r="A43" s="7"/>
      <c r="B43" s="10"/>
      <c r="C43" s="10"/>
      <c r="D43" s="10"/>
      <c r="E43" s="10"/>
    </row>
    <row r="44" spans="1:5" ht="12.5" x14ac:dyDescent="0.25">
      <c r="A44" s="7"/>
      <c r="B44" s="7"/>
      <c r="C44" s="7"/>
      <c r="D44" s="7"/>
      <c r="E44" s="7"/>
    </row>
    <row r="45" spans="1:5" ht="12.5" x14ac:dyDescent="0.25">
      <c r="A45" s="7"/>
      <c r="B45" s="10"/>
      <c r="C45" s="10"/>
      <c r="D45" s="10"/>
      <c r="E45" s="10"/>
    </row>
    <row r="46" spans="1:5" ht="12.5" x14ac:dyDescent="0.25">
      <c r="A46" s="7"/>
      <c r="B46" s="7"/>
      <c r="C46" s="7"/>
      <c r="D46" s="7"/>
      <c r="E46" s="7"/>
    </row>
    <row r="47" spans="1:5" ht="12.5" x14ac:dyDescent="0.25">
      <c r="A47" s="7"/>
      <c r="B47" s="10"/>
      <c r="C47" s="10"/>
      <c r="D47" s="10"/>
      <c r="E47" s="10"/>
    </row>
    <row r="48" spans="1:5" ht="12.5" x14ac:dyDescent="0.25">
      <c r="A48" s="7"/>
      <c r="B48" s="7"/>
      <c r="C48" s="7"/>
      <c r="D48" s="7"/>
      <c r="E48" s="7"/>
    </row>
    <row r="49" spans="1:5" ht="12.5" x14ac:dyDescent="0.25">
      <c r="A49" s="7"/>
      <c r="B49" s="10"/>
      <c r="C49" s="10"/>
      <c r="D49" s="10"/>
      <c r="E49" s="10"/>
    </row>
    <row r="50" spans="1:5" ht="12.5" x14ac:dyDescent="0.25">
      <c r="A50" s="7"/>
      <c r="B50" s="7"/>
      <c r="C50" s="7"/>
      <c r="D50" s="7"/>
      <c r="E50" s="7"/>
    </row>
    <row r="51" spans="1:5" ht="12.5" x14ac:dyDescent="0.25">
      <c r="A51" s="7"/>
      <c r="B51" s="10"/>
      <c r="C51" s="10"/>
    </row>
    <row r="52" spans="1:5" ht="12.5" x14ac:dyDescent="0.25">
      <c r="A52" s="7"/>
      <c r="B52" s="7"/>
      <c r="C52" s="7"/>
    </row>
    <row r="53" spans="1:5" ht="12.5" x14ac:dyDescent="0.25">
      <c r="A53" s="7"/>
      <c r="B53" s="10"/>
      <c r="C53" s="10"/>
    </row>
    <row r="54" spans="1:5" ht="12.5" x14ac:dyDescent="0.25">
      <c r="A54" s="7"/>
      <c r="B54" s="7"/>
      <c r="C54" s="7"/>
    </row>
    <row r="55" spans="1:5" ht="12.5" x14ac:dyDescent="0.25">
      <c r="A55" s="7"/>
      <c r="B55" s="10"/>
      <c r="C55" s="10"/>
    </row>
    <row r="56" spans="1:5" ht="12.5" x14ac:dyDescent="0.25">
      <c r="A56" s="7"/>
      <c r="B56" s="7"/>
      <c r="C56" s="7"/>
    </row>
    <row r="57" spans="1:5" ht="12.5" x14ac:dyDescent="0.25">
      <c r="A57" s="7"/>
      <c r="B57" s="10"/>
      <c r="C57" s="10"/>
    </row>
    <row r="58" spans="1:5" ht="12.5" x14ac:dyDescent="0.25">
      <c r="A58" s="7"/>
      <c r="B58" s="7"/>
      <c r="C58" s="7"/>
    </row>
    <row r="59" spans="1:5" ht="12.5" x14ac:dyDescent="0.25">
      <c r="A59" s="7"/>
      <c r="B59" s="10"/>
      <c r="C59" s="10"/>
    </row>
    <row r="60" spans="1:5" ht="12.5" x14ac:dyDescent="0.25">
      <c r="A60" s="7"/>
      <c r="B60" s="7"/>
      <c r="C60" s="7"/>
    </row>
    <row r="61" spans="1:5" ht="12.5" x14ac:dyDescent="0.25">
      <c r="A61" s="7"/>
      <c r="B61" s="10"/>
      <c r="C61" s="10"/>
    </row>
    <row r="62" spans="1:5" ht="12.5" x14ac:dyDescent="0.25">
      <c r="A62" s="7"/>
      <c r="B62" s="7"/>
      <c r="C62" s="7"/>
    </row>
    <row r="63" spans="1:5" ht="12.5" x14ac:dyDescent="0.25">
      <c r="A63" s="7"/>
      <c r="B63" s="10"/>
      <c r="C63" s="10"/>
    </row>
    <row r="64" spans="1:5" ht="12.5" x14ac:dyDescent="0.25">
      <c r="A64" s="7"/>
      <c r="B64" s="7"/>
      <c r="C64" s="7"/>
    </row>
    <row r="65" spans="1:3" ht="12.5" x14ac:dyDescent="0.25">
      <c r="A65" s="7"/>
      <c r="B65" s="10"/>
      <c r="C65" s="10"/>
    </row>
    <row r="66" spans="1:3" ht="12.5" x14ac:dyDescent="0.25">
      <c r="A66" s="7"/>
      <c r="B66" s="7"/>
      <c r="C66" s="7"/>
    </row>
    <row r="67" spans="1:3" ht="12.5" x14ac:dyDescent="0.25">
      <c r="A67" s="7"/>
      <c r="B67" s="10"/>
      <c r="C67" s="10"/>
    </row>
    <row r="68" spans="1:3" ht="12.5" x14ac:dyDescent="0.25">
      <c r="A68" s="7"/>
      <c r="B68" s="7"/>
      <c r="C68" s="7"/>
    </row>
    <row r="69" spans="1:3" ht="12.5" x14ac:dyDescent="0.25">
      <c r="A69" s="7"/>
      <c r="B69" s="10"/>
      <c r="C69" s="10"/>
    </row>
    <row r="70" spans="1:3" ht="12.5" x14ac:dyDescent="0.25">
      <c r="A70" s="7"/>
      <c r="B70" s="7"/>
      <c r="C70" s="7"/>
    </row>
    <row r="71" spans="1:3" ht="12.5" x14ac:dyDescent="0.25">
      <c r="A71" s="7"/>
      <c r="B71" s="10"/>
      <c r="C71" s="10"/>
    </row>
    <row r="72" spans="1:3" ht="12.5" x14ac:dyDescent="0.25">
      <c r="A72" s="7"/>
      <c r="B72" s="7"/>
      <c r="C72" s="7"/>
    </row>
    <row r="73" spans="1:3" ht="12.5" x14ac:dyDescent="0.25">
      <c r="A73" s="7"/>
      <c r="B73" s="10"/>
      <c r="C73" s="10"/>
    </row>
    <row r="74" spans="1:3" ht="12.5" x14ac:dyDescent="0.25">
      <c r="A74" s="7"/>
      <c r="B74" s="7"/>
      <c r="C74" s="7"/>
    </row>
    <row r="75" spans="1:3" ht="12.5" x14ac:dyDescent="0.25">
      <c r="A75" s="7"/>
      <c r="B75" s="10"/>
      <c r="C75" s="10"/>
    </row>
    <row r="76" spans="1:3" ht="12.5" x14ac:dyDescent="0.25">
      <c r="A76" s="7"/>
      <c r="B76" s="7"/>
      <c r="C76" s="7"/>
    </row>
    <row r="77" spans="1:3" ht="12.5" x14ac:dyDescent="0.25">
      <c r="A77" s="7"/>
      <c r="B77" s="10"/>
      <c r="C77" s="10"/>
    </row>
    <row r="78" spans="1:3" ht="12.5" x14ac:dyDescent="0.25">
      <c r="A78" s="7"/>
      <c r="B78" s="7"/>
      <c r="C78" s="7"/>
    </row>
    <row r="79" spans="1:3" ht="12.5" x14ac:dyDescent="0.25">
      <c r="A79" s="7"/>
      <c r="B79" s="10"/>
      <c r="C79" s="10"/>
    </row>
    <row r="80" spans="1:3" ht="12.5" x14ac:dyDescent="0.25">
      <c r="A80" s="7"/>
      <c r="B80" s="7"/>
      <c r="C80" s="7"/>
    </row>
    <row r="81" spans="1:3" ht="12.5" x14ac:dyDescent="0.25">
      <c r="A81" s="7"/>
      <c r="B81" s="10"/>
      <c r="C81" s="10"/>
    </row>
    <row r="82" spans="1:3" ht="12.5" x14ac:dyDescent="0.25">
      <c r="A82" s="7"/>
      <c r="B82" s="7"/>
      <c r="C82" s="7"/>
    </row>
    <row r="83" spans="1:3" ht="12.5" x14ac:dyDescent="0.25">
      <c r="A83" s="7"/>
      <c r="B83" s="10"/>
      <c r="C83" s="10"/>
    </row>
    <row r="84" spans="1:3" ht="12.5" x14ac:dyDescent="0.25">
      <c r="A84" s="7"/>
      <c r="B84" s="7"/>
      <c r="C84" s="7"/>
    </row>
    <row r="85" spans="1:3" ht="12.5" x14ac:dyDescent="0.25">
      <c r="A85" s="7"/>
      <c r="B85" s="10"/>
      <c r="C85" s="10"/>
    </row>
    <row r="86" spans="1:3" ht="12.5" x14ac:dyDescent="0.25">
      <c r="A86" s="7"/>
      <c r="B86" s="7"/>
      <c r="C86" s="7"/>
    </row>
    <row r="87" spans="1:3" ht="12.5" x14ac:dyDescent="0.25">
      <c r="A87" s="7"/>
      <c r="B87" s="10"/>
      <c r="C87" s="10"/>
    </row>
    <row r="88" spans="1:3" ht="12.5" x14ac:dyDescent="0.25">
      <c r="A88" s="7"/>
      <c r="B88" s="7"/>
      <c r="C88" s="7"/>
    </row>
    <row r="89" spans="1:3" ht="12.5" x14ac:dyDescent="0.25">
      <c r="A89" s="7"/>
      <c r="B89" s="10"/>
      <c r="C89" s="10"/>
    </row>
    <row r="90" spans="1:3" ht="12.5" x14ac:dyDescent="0.25">
      <c r="A90" s="7"/>
      <c r="B90" s="7"/>
      <c r="C90" s="7"/>
    </row>
    <row r="91" spans="1:3" ht="12.5" x14ac:dyDescent="0.25">
      <c r="A91" s="7"/>
      <c r="B91" s="10"/>
      <c r="C91" s="10"/>
    </row>
    <row r="92" spans="1:3" ht="12.5" x14ac:dyDescent="0.25">
      <c r="A92" s="7"/>
      <c r="B92" s="7"/>
      <c r="C92" s="7"/>
    </row>
    <row r="93" spans="1:3" ht="12.5" x14ac:dyDescent="0.25">
      <c r="A93" s="7"/>
      <c r="B93" s="10"/>
      <c r="C93" s="10"/>
    </row>
    <row r="94" spans="1:3" ht="12.5" x14ac:dyDescent="0.25">
      <c r="A94" s="7"/>
      <c r="B94" s="7"/>
      <c r="C94" s="7"/>
    </row>
    <row r="95" spans="1:3" ht="12.5" x14ac:dyDescent="0.25">
      <c r="A95" s="7"/>
      <c r="B95" s="10"/>
      <c r="C95" s="10"/>
    </row>
    <row r="96" spans="1:3" ht="12.5" x14ac:dyDescent="0.25">
      <c r="A96" s="7"/>
      <c r="B96" s="7"/>
      <c r="C96" s="7"/>
    </row>
    <row r="97" spans="1:3" ht="12.5" x14ac:dyDescent="0.25">
      <c r="A97" s="7"/>
      <c r="B97" s="10"/>
      <c r="C97" s="10"/>
    </row>
    <row r="98" spans="1:3" ht="12.5" x14ac:dyDescent="0.25">
      <c r="A98" s="7"/>
      <c r="B98" s="7"/>
      <c r="C98" s="7"/>
    </row>
    <row r="99" spans="1:3" ht="12.5" x14ac:dyDescent="0.25">
      <c r="A99" s="7"/>
      <c r="B99" s="10"/>
      <c r="C99" s="10"/>
    </row>
    <row r="100" spans="1:3" ht="12.5" x14ac:dyDescent="0.25">
      <c r="A100" s="7"/>
      <c r="B100" s="7"/>
      <c r="C100" s="7"/>
    </row>
    <row r="101" spans="1:3" ht="12.5" x14ac:dyDescent="0.25">
      <c r="A101" s="7"/>
      <c r="B101" s="10"/>
      <c r="C101" s="10"/>
    </row>
    <row r="102" spans="1:3" ht="12.5" x14ac:dyDescent="0.25">
      <c r="A102" s="7"/>
      <c r="B102" s="7"/>
      <c r="C102" s="7"/>
    </row>
    <row r="103" spans="1:3" ht="12.5" x14ac:dyDescent="0.25">
      <c r="A103" s="7"/>
      <c r="B103" s="10"/>
      <c r="C103" s="10"/>
    </row>
    <row r="104" spans="1:3" ht="12.5" x14ac:dyDescent="0.25">
      <c r="A104" s="7"/>
      <c r="B104" s="7"/>
      <c r="C104" s="7"/>
    </row>
    <row r="105" spans="1:3" ht="12.5" x14ac:dyDescent="0.25">
      <c r="A105" s="7"/>
      <c r="B105" s="10"/>
      <c r="C105" s="10"/>
    </row>
    <row r="106" spans="1:3" ht="12.5" x14ac:dyDescent="0.25">
      <c r="A106" s="7"/>
      <c r="B106" s="7"/>
      <c r="C106" s="7"/>
    </row>
    <row r="107" spans="1:3" ht="12.5" x14ac:dyDescent="0.25">
      <c r="A107" s="7"/>
      <c r="B107" s="10"/>
      <c r="C107" s="10"/>
    </row>
    <row r="108" spans="1:3" ht="12.5" x14ac:dyDescent="0.25">
      <c r="A108" s="7"/>
      <c r="B108" s="7"/>
      <c r="C108" s="7"/>
    </row>
    <row r="109" spans="1:3" ht="12.5" x14ac:dyDescent="0.25">
      <c r="A109" s="7"/>
      <c r="B109" s="10"/>
      <c r="C109" s="10"/>
    </row>
    <row r="110" spans="1:3" ht="12.5" x14ac:dyDescent="0.25">
      <c r="A110" s="7"/>
      <c r="B110" s="7"/>
      <c r="C110" s="7"/>
    </row>
    <row r="111" spans="1:3" ht="12.5" x14ac:dyDescent="0.25">
      <c r="A111" s="7"/>
      <c r="B111" s="10"/>
      <c r="C111" s="10"/>
    </row>
    <row r="112" spans="1:3" ht="12.5" x14ac:dyDescent="0.25">
      <c r="A112" s="7"/>
      <c r="B112" s="7"/>
      <c r="C112" s="7"/>
    </row>
    <row r="113" spans="1:3" ht="12.5" x14ac:dyDescent="0.25">
      <c r="A113" s="7"/>
      <c r="B113" s="10"/>
      <c r="C113" s="10"/>
    </row>
    <row r="114" spans="1:3" ht="12.5" x14ac:dyDescent="0.25">
      <c r="A114" s="7"/>
      <c r="B114" s="7"/>
      <c r="C114" s="7"/>
    </row>
    <row r="115" spans="1:3" ht="12.5" x14ac:dyDescent="0.25">
      <c r="A115" s="7"/>
      <c r="B115" s="10"/>
      <c r="C115" s="10"/>
    </row>
    <row r="116" spans="1:3" ht="12.5" x14ac:dyDescent="0.25">
      <c r="A116" s="7"/>
      <c r="B116" s="7"/>
      <c r="C116" s="7"/>
    </row>
    <row r="117" spans="1:3" ht="12.5" x14ac:dyDescent="0.25">
      <c r="A117" s="7"/>
      <c r="B117" s="10"/>
      <c r="C117" s="10"/>
    </row>
    <row r="118" spans="1:3" ht="12.5" x14ac:dyDescent="0.25">
      <c r="A118" s="7"/>
      <c r="B118" s="7"/>
      <c r="C118" s="7"/>
    </row>
    <row r="119" spans="1:3" ht="12.5" x14ac:dyDescent="0.25">
      <c r="A119" s="7"/>
      <c r="B119" s="10"/>
      <c r="C119" s="10"/>
    </row>
    <row r="120" spans="1:3" ht="12.5" x14ac:dyDescent="0.25">
      <c r="A120" s="7"/>
      <c r="B120" s="7"/>
      <c r="C120" s="7"/>
    </row>
    <row r="121" spans="1:3" ht="12.5" x14ac:dyDescent="0.25">
      <c r="A121" s="7"/>
      <c r="B121" s="10"/>
      <c r="C121" s="10"/>
    </row>
    <row r="122" spans="1:3" ht="12.5" x14ac:dyDescent="0.25">
      <c r="A122" s="7"/>
      <c r="B122" s="7"/>
      <c r="C122" s="7"/>
    </row>
    <row r="123" spans="1:3" ht="12.5" x14ac:dyDescent="0.25">
      <c r="A123" s="7"/>
      <c r="B123" s="10"/>
      <c r="C123" s="10"/>
    </row>
    <row r="124" spans="1:3" ht="12.5" x14ac:dyDescent="0.25">
      <c r="A124" s="7"/>
      <c r="B124" s="7"/>
      <c r="C124" s="7"/>
    </row>
    <row r="125" spans="1:3" ht="12.5" x14ac:dyDescent="0.25">
      <c r="A125" s="7"/>
      <c r="B125" s="10"/>
      <c r="C125" s="10"/>
    </row>
    <row r="126" spans="1:3" ht="12.5" x14ac:dyDescent="0.25">
      <c r="A126" s="7"/>
      <c r="B126" s="7"/>
      <c r="C126" s="7"/>
    </row>
    <row r="127" spans="1:3" ht="12.5" x14ac:dyDescent="0.25">
      <c r="A127" s="7"/>
      <c r="B127" s="10"/>
      <c r="C127" s="10"/>
    </row>
    <row r="128" spans="1:3" ht="12.5" x14ac:dyDescent="0.25">
      <c r="A128" s="7"/>
      <c r="B128" s="7"/>
      <c r="C128" s="7"/>
    </row>
    <row r="129" spans="1:3" ht="12.5" x14ac:dyDescent="0.25">
      <c r="A129" s="7"/>
      <c r="B129" s="10"/>
      <c r="C129" s="10"/>
    </row>
    <row r="130" spans="1:3" ht="12.5" x14ac:dyDescent="0.25">
      <c r="A130" s="7"/>
      <c r="B130" s="7"/>
      <c r="C130" s="7"/>
    </row>
    <row r="131" spans="1:3" ht="12.5" x14ac:dyDescent="0.25">
      <c r="A131" s="7"/>
      <c r="B131" s="10"/>
      <c r="C131" s="10"/>
    </row>
    <row r="132" spans="1:3" ht="12.5" x14ac:dyDescent="0.25">
      <c r="A132" s="7"/>
      <c r="B132" s="7"/>
      <c r="C132" s="7"/>
    </row>
    <row r="133" spans="1:3" ht="12.5" x14ac:dyDescent="0.25">
      <c r="A133" s="7"/>
      <c r="B133" s="10"/>
      <c r="C133" s="10"/>
    </row>
    <row r="134" spans="1:3" ht="12.5" x14ac:dyDescent="0.25">
      <c r="A134" s="7"/>
      <c r="B134" s="7"/>
      <c r="C134" s="7"/>
    </row>
    <row r="135" spans="1:3" ht="12.5" x14ac:dyDescent="0.25">
      <c r="A135" s="7"/>
      <c r="B135" s="10"/>
      <c r="C135" s="10"/>
    </row>
    <row r="136" spans="1:3" ht="12.5" x14ac:dyDescent="0.25">
      <c r="A136" s="7"/>
      <c r="B136" s="7"/>
      <c r="C136" s="7"/>
    </row>
    <row r="137" spans="1:3" ht="12.5" x14ac:dyDescent="0.25">
      <c r="A137" s="7"/>
      <c r="B137" s="10"/>
      <c r="C137" s="10"/>
    </row>
    <row r="138" spans="1:3" ht="12.5" x14ac:dyDescent="0.25">
      <c r="A138" s="7"/>
      <c r="B138" s="7"/>
      <c r="C138" s="7"/>
    </row>
    <row r="139" spans="1:3" ht="12.5" x14ac:dyDescent="0.25">
      <c r="A139" s="7"/>
      <c r="B139" s="10"/>
      <c r="C139" s="10"/>
    </row>
    <row r="140" spans="1:3" ht="12.5" x14ac:dyDescent="0.25">
      <c r="A140" s="7"/>
      <c r="B140" s="7"/>
      <c r="C140" s="7"/>
    </row>
    <row r="141" spans="1:3" ht="12.5" x14ac:dyDescent="0.25">
      <c r="A141" s="7"/>
      <c r="B141" s="10"/>
      <c r="C141" s="10"/>
    </row>
    <row r="142" spans="1:3" ht="12.5" x14ac:dyDescent="0.25">
      <c r="A142" s="7"/>
      <c r="B142" s="7"/>
      <c r="C142" s="7"/>
    </row>
    <row r="143" spans="1:3" ht="12.5" x14ac:dyDescent="0.25">
      <c r="A143" s="7"/>
      <c r="B143" s="10"/>
      <c r="C143" s="10"/>
    </row>
    <row r="144" spans="1:3" ht="12.5" x14ac:dyDescent="0.25">
      <c r="A144" s="7"/>
      <c r="B144" s="7"/>
      <c r="C144" s="7"/>
    </row>
    <row r="145" spans="1:3" ht="12.5" x14ac:dyDescent="0.25">
      <c r="A145" s="7"/>
      <c r="B145" s="10"/>
      <c r="C145" s="10"/>
    </row>
    <row r="146" spans="1:3" ht="12.5" x14ac:dyDescent="0.25">
      <c r="A146" s="7"/>
      <c r="B146" s="7"/>
      <c r="C146" s="7"/>
    </row>
    <row r="147" spans="1:3" ht="12.5" x14ac:dyDescent="0.25">
      <c r="A147" s="7"/>
      <c r="B147" s="10"/>
      <c r="C147" s="10"/>
    </row>
    <row r="148" spans="1:3" ht="12.5" x14ac:dyDescent="0.25">
      <c r="A148" s="7"/>
      <c r="B148" s="7"/>
      <c r="C148" s="7"/>
    </row>
    <row r="149" spans="1:3" ht="12.5" x14ac:dyDescent="0.25">
      <c r="A149" s="7"/>
      <c r="B149" s="10"/>
      <c r="C149" s="10"/>
    </row>
    <row r="150" spans="1:3" ht="12.5" x14ac:dyDescent="0.25">
      <c r="A150" s="7"/>
      <c r="B150" s="7"/>
      <c r="C150" s="7"/>
    </row>
    <row r="151" spans="1:3" ht="12.5" x14ac:dyDescent="0.25">
      <c r="A151" s="7"/>
      <c r="B151" s="10"/>
      <c r="C151" s="10"/>
    </row>
    <row r="152" spans="1:3" ht="12.5" x14ac:dyDescent="0.25">
      <c r="A152" s="7"/>
      <c r="B152" s="7"/>
      <c r="C152" s="7"/>
    </row>
    <row r="153" spans="1:3" ht="12.5" x14ac:dyDescent="0.25">
      <c r="A153" s="7"/>
      <c r="B153" s="10"/>
      <c r="C153" s="10"/>
    </row>
    <row r="154" spans="1:3" ht="12.5" x14ac:dyDescent="0.25">
      <c r="A154" s="7"/>
      <c r="B154" s="7"/>
      <c r="C154" s="7"/>
    </row>
    <row r="155" spans="1:3" ht="12.5" x14ac:dyDescent="0.25">
      <c r="A155" s="7"/>
      <c r="B155" s="10"/>
      <c r="C155" s="10"/>
    </row>
    <row r="156" spans="1:3" ht="12.5" x14ac:dyDescent="0.25">
      <c r="A156" s="7"/>
      <c r="B156" s="7"/>
      <c r="C156" s="7"/>
    </row>
    <row r="157" spans="1:3" ht="12.5" x14ac:dyDescent="0.25">
      <c r="A157" s="7"/>
      <c r="B157" s="10"/>
      <c r="C157" s="10"/>
    </row>
    <row r="158" spans="1:3" ht="12.5" x14ac:dyDescent="0.25">
      <c r="A158" s="7"/>
      <c r="B158" s="7"/>
      <c r="C158" s="7"/>
    </row>
    <row r="159" spans="1:3" ht="12.5" x14ac:dyDescent="0.25">
      <c r="A159" s="7"/>
      <c r="B159" s="10"/>
      <c r="C159" s="10"/>
    </row>
    <row r="160" spans="1:3" ht="12.5" x14ac:dyDescent="0.25">
      <c r="A160" s="7"/>
      <c r="B160" s="7"/>
      <c r="C160" s="7"/>
    </row>
    <row r="161" spans="1:3" ht="12.5" x14ac:dyDescent="0.25">
      <c r="A161" s="7"/>
      <c r="B161" s="10"/>
      <c r="C161" s="10"/>
    </row>
    <row r="162" spans="1:3" ht="12.5" x14ac:dyDescent="0.25">
      <c r="A162" s="7"/>
      <c r="B162" s="7"/>
      <c r="C162" s="7"/>
    </row>
    <row r="163" spans="1:3" ht="12.5" x14ac:dyDescent="0.25">
      <c r="A163" s="7"/>
      <c r="B163" s="10"/>
      <c r="C163" s="10"/>
    </row>
    <row r="164" spans="1:3" ht="12.5" x14ac:dyDescent="0.25">
      <c r="A164" s="7"/>
      <c r="B164" s="7"/>
      <c r="C164" s="7"/>
    </row>
    <row r="165" spans="1:3" ht="12.5" x14ac:dyDescent="0.25">
      <c r="A165" s="7"/>
      <c r="B165" s="10"/>
      <c r="C165" s="10"/>
    </row>
    <row r="166" spans="1:3" ht="12.5" x14ac:dyDescent="0.25">
      <c r="A166" s="7"/>
      <c r="B166" s="7"/>
      <c r="C166" s="7"/>
    </row>
    <row r="167" spans="1:3" ht="12.5" x14ac:dyDescent="0.25">
      <c r="A167" s="7"/>
      <c r="B167" s="10"/>
      <c r="C167" s="10"/>
    </row>
    <row r="168" spans="1:3" ht="12.5" x14ac:dyDescent="0.25">
      <c r="A168" s="7"/>
      <c r="B168" s="7"/>
      <c r="C168" s="7"/>
    </row>
    <row r="169" spans="1:3" ht="12.5" x14ac:dyDescent="0.25">
      <c r="A169" s="7"/>
      <c r="B169" s="10"/>
      <c r="C169" s="10"/>
    </row>
    <row r="170" spans="1:3" ht="12.5" x14ac:dyDescent="0.25">
      <c r="A170" s="7"/>
      <c r="B170" s="7"/>
      <c r="C170" s="7"/>
    </row>
    <row r="171" spans="1:3" ht="12.5" x14ac:dyDescent="0.25">
      <c r="A171" s="7"/>
      <c r="B171" s="10"/>
      <c r="C171" s="10"/>
    </row>
    <row r="172" spans="1:3" ht="12.5" x14ac:dyDescent="0.25">
      <c r="A172" s="7"/>
      <c r="B172" s="7"/>
      <c r="C172" s="7"/>
    </row>
    <row r="173" spans="1:3" ht="12.5" x14ac:dyDescent="0.25">
      <c r="A173" s="7"/>
      <c r="B173" s="10"/>
      <c r="C173" s="10"/>
    </row>
    <row r="174" spans="1:3" ht="12.5" x14ac:dyDescent="0.25">
      <c r="A174" s="7"/>
      <c r="B174" s="7"/>
      <c r="C174" s="7"/>
    </row>
    <row r="175" spans="1:3" ht="12.5" x14ac:dyDescent="0.25">
      <c r="A175" s="7"/>
      <c r="B175" s="10"/>
      <c r="C175" s="10"/>
    </row>
    <row r="176" spans="1:3" ht="12.5" x14ac:dyDescent="0.25">
      <c r="A176" s="7"/>
      <c r="B176" s="7"/>
      <c r="C176" s="7"/>
    </row>
    <row r="177" spans="1:3" ht="12.5" x14ac:dyDescent="0.25">
      <c r="A177" s="7"/>
      <c r="B177" s="10"/>
      <c r="C177" s="10"/>
    </row>
    <row r="178" spans="1:3" ht="12.5" x14ac:dyDescent="0.25">
      <c r="A178" s="7"/>
      <c r="B178" s="7"/>
      <c r="C178" s="7"/>
    </row>
    <row r="179" spans="1:3" ht="12.5" x14ac:dyDescent="0.25">
      <c r="A179" s="7"/>
      <c r="B179" s="10"/>
      <c r="C179" s="10"/>
    </row>
    <row r="180" spans="1:3" ht="12.5" x14ac:dyDescent="0.25">
      <c r="A180" s="7"/>
      <c r="B180" s="7"/>
      <c r="C180" s="7"/>
    </row>
    <row r="181" spans="1:3" ht="12.5" x14ac:dyDescent="0.25">
      <c r="A181" s="7"/>
      <c r="B181" s="10"/>
      <c r="C181" s="10"/>
    </row>
    <row r="182" spans="1:3" ht="12.5" x14ac:dyDescent="0.25">
      <c r="A182" s="7"/>
      <c r="B182" s="7"/>
      <c r="C182" s="7"/>
    </row>
    <row r="183" spans="1:3" ht="12.5" x14ac:dyDescent="0.25">
      <c r="A183" s="7"/>
      <c r="B183" s="10"/>
      <c r="C183" s="10"/>
    </row>
    <row r="184" spans="1:3" ht="12.5" x14ac:dyDescent="0.25">
      <c r="A184" s="7"/>
      <c r="B184" s="7"/>
      <c r="C184" s="7"/>
    </row>
    <row r="185" spans="1:3" ht="12.5" x14ac:dyDescent="0.25">
      <c r="A185" s="7"/>
      <c r="B185" s="10"/>
      <c r="C185" s="10"/>
    </row>
    <row r="186" spans="1:3" ht="12.5" x14ac:dyDescent="0.25">
      <c r="A186" s="7"/>
      <c r="B186" s="7"/>
      <c r="C186" s="7"/>
    </row>
    <row r="187" spans="1:3" ht="12.5" x14ac:dyDescent="0.25">
      <c r="A187" s="7"/>
      <c r="B187" s="10"/>
      <c r="C187" s="10"/>
    </row>
    <row r="188" spans="1:3" ht="12.5" x14ac:dyDescent="0.25">
      <c r="A188" s="7"/>
      <c r="B188" s="7"/>
      <c r="C188" s="7"/>
    </row>
    <row r="189" spans="1:3" ht="12.5" x14ac:dyDescent="0.25">
      <c r="A189" s="7"/>
      <c r="B189" s="10"/>
      <c r="C189" s="10"/>
    </row>
    <row r="190" spans="1:3" ht="12.5" x14ac:dyDescent="0.25">
      <c r="A190" s="7"/>
      <c r="B190" s="7"/>
      <c r="C190" s="7"/>
    </row>
    <row r="191" spans="1:3" ht="12.5" x14ac:dyDescent="0.25">
      <c r="A191" s="7"/>
      <c r="B191" s="10"/>
      <c r="C191" s="10"/>
    </row>
    <row r="192" spans="1:3" ht="12.5" x14ac:dyDescent="0.25">
      <c r="A192" s="7"/>
      <c r="B192" s="7"/>
      <c r="C192" s="7"/>
    </row>
    <row r="193" spans="1:3" ht="12.5" x14ac:dyDescent="0.25">
      <c r="A193" s="7"/>
      <c r="B193" s="10"/>
      <c r="C193" s="10"/>
    </row>
    <row r="194" spans="1:3" ht="12.5" x14ac:dyDescent="0.25">
      <c r="A194" s="7"/>
      <c r="B194" s="7"/>
      <c r="C194" s="7"/>
    </row>
    <row r="195" spans="1:3" ht="12.5" x14ac:dyDescent="0.25">
      <c r="A195" s="7"/>
      <c r="B195" s="10"/>
      <c r="C195" s="10"/>
    </row>
    <row r="196" spans="1:3" ht="12.5" x14ac:dyDescent="0.25">
      <c r="A196" s="7"/>
      <c r="B196" s="7"/>
      <c r="C196" s="7"/>
    </row>
    <row r="197" spans="1:3" ht="12.5" x14ac:dyDescent="0.25">
      <c r="A197" s="7"/>
      <c r="B197" s="10"/>
      <c r="C197" s="10"/>
    </row>
    <row r="198" spans="1:3" ht="12.5" x14ac:dyDescent="0.25">
      <c r="A198" s="7"/>
      <c r="B198" s="7"/>
      <c r="C198" s="7"/>
    </row>
    <row r="199" spans="1:3" ht="12.5" x14ac:dyDescent="0.25">
      <c r="A199" s="7"/>
      <c r="B199" s="10"/>
      <c r="C199" s="10"/>
    </row>
    <row r="200" spans="1:3" ht="12.5" x14ac:dyDescent="0.25">
      <c r="A200" s="7"/>
      <c r="B200" s="7"/>
      <c r="C200" s="7"/>
    </row>
    <row r="201" spans="1:3" ht="12.5" x14ac:dyDescent="0.25">
      <c r="A201" s="7"/>
      <c r="B201" s="10"/>
      <c r="C201" s="10"/>
    </row>
    <row r="202" spans="1:3" ht="12.5" x14ac:dyDescent="0.25">
      <c r="A202" s="7"/>
      <c r="B202" s="7"/>
      <c r="C202" s="7"/>
    </row>
    <row r="203" spans="1:3" ht="12.5" x14ac:dyDescent="0.25">
      <c r="A203" s="7"/>
      <c r="B203" s="10"/>
      <c r="C203" s="10"/>
    </row>
    <row r="204" spans="1:3" ht="12.5" x14ac:dyDescent="0.25">
      <c r="A204" s="7"/>
      <c r="B204" s="7"/>
      <c r="C204" s="7"/>
    </row>
    <row r="205" spans="1:3" ht="12.5" x14ac:dyDescent="0.25">
      <c r="A205" s="7"/>
      <c r="B205" s="10"/>
      <c r="C205" s="10"/>
    </row>
    <row r="206" spans="1:3" ht="12.5" x14ac:dyDescent="0.25">
      <c r="A206" s="7"/>
      <c r="B206" s="7"/>
      <c r="C206" s="7"/>
    </row>
    <row r="207" spans="1:3" ht="12.5" x14ac:dyDescent="0.25">
      <c r="A207" s="7"/>
      <c r="B207" s="10"/>
      <c r="C207" s="10"/>
    </row>
    <row r="208" spans="1:3" ht="12.5" x14ac:dyDescent="0.25">
      <c r="A208" s="7"/>
      <c r="B208" s="7"/>
      <c r="C208" s="7"/>
    </row>
    <row r="209" spans="1:3" ht="12.5" x14ac:dyDescent="0.25">
      <c r="A209" s="7"/>
      <c r="B209" s="10"/>
      <c r="C209" s="10"/>
    </row>
    <row r="210" spans="1:3" ht="12.5" x14ac:dyDescent="0.25">
      <c r="A210" s="7"/>
      <c r="B210" s="7"/>
      <c r="C210" s="7"/>
    </row>
    <row r="211" spans="1:3" ht="12.5" x14ac:dyDescent="0.25">
      <c r="A211" s="7"/>
      <c r="B211" s="10"/>
      <c r="C211" s="10"/>
    </row>
    <row r="212" spans="1:3" ht="12.5" x14ac:dyDescent="0.25">
      <c r="A212" s="7"/>
      <c r="B212" s="7"/>
      <c r="C212" s="7"/>
    </row>
    <row r="213" spans="1:3" ht="12.5" x14ac:dyDescent="0.25">
      <c r="A213" s="7"/>
      <c r="B213" s="10"/>
      <c r="C213" s="10"/>
    </row>
    <row r="214" spans="1:3" ht="12.5" x14ac:dyDescent="0.25">
      <c r="A214" s="7"/>
      <c r="B214" s="7"/>
      <c r="C214" s="7"/>
    </row>
    <row r="215" spans="1:3" ht="12.5" x14ac:dyDescent="0.25">
      <c r="A215" s="7"/>
      <c r="B215" s="10"/>
      <c r="C215" s="10"/>
    </row>
    <row r="216" spans="1:3" ht="12.5" x14ac:dyDescent="0.25">
      <c r="A216" s="7"/>
      <c r="B216" s="7"/>
      <c r="C216" s="7"/>
    </row>
    <row r="217" spans="1:3" ht="12.5" x14ac:dyDescent="0.25">
      <c r="A217" s="7"/>
      <c r="B217" s="10"/>
      <c r="C217" s="10"/>
    </row>
    <row r="218" spans="1:3" ht="12.5" x14ac:dyDescent="0.25">
      <c r="A218" s="7"/>
      <c r="B218" s="7"/>
      <c r="C218" s="7"/>
    </row>
    <row r="219" spans="1:3" ht="12.5" x14ac:dyDescent="0.25">
      <c r="A219" s="7"/>
      <c r="B219" s="10"/>
      <c r="C219" s="10"/>
    </row>
    <row r="220" spans="1:3" ht="12.5" x14ac:dyDescent="0.25">
      <c r="A220" s="7"/>
      <c r="B220" s="7"/>
      <c r="C220" s="7"/>
    </row>
    <row r="221" spans="1:3" ht="12.5" x14ac:dyDescent="0.25">
      <c r="A221" s="7"/>
      <c r="B221" s="10"/>
      <c r="C221" s="10"/>
    </row>
    <row r="222" spans="1:3" ht="12.5" x14ac:dyDescent="0.25">
      <c r="A222" s="7"/>
      <c r="B222" s="7"/>
      <c r="C222" s="7"/>
    </row>
    <row r="223" spans="1:3" ht="12.5" x14ac:dyDescent="0.25">
      <c r="A223" s="7"/>
      <c r="B223" s="10"/>
      <c r="C223" s="10"/>
    </row>
    <row r="224" spans="1:3" ht="12.5" x14ac:dyDescent="0.25">
      <c r="A224" s="7"/>
      <c r="B224" s="7"/>
      <c r="C224" s="7"/>
    </row>
    <row r="225" spans="1:3" ht="12.5" x14ac:dyDescent="0.25">
      <c r="A225" s="7"/>
      <c r="B225" s="10"/>
      <c r="C225" s="10"/>
    </row>
    <row r="226" spans="1:3" ht="12.5" x14ac:dyDescent="0.25">
      <c r="A226" s="7"/>
      <c r="B226" s="7"/>
      <c r="C226" s="7"/>
    </row>
    <row r="227" spans="1:3" ht="12.5" x14ac:dyDescent="0.25">
      <c r="A227" s="7"/>
      <c r="B227" s="10"/>
      <c r="C227" s="10"/>
    </row>
    <row r="228" spans="1:3" ht="12.5" x14ac:dyDescent="0.25">
      <c r="A228" s="7"/>
      <c r="B228" s="7"/>
      <c r="C228" s="7"/>
    </row>
    <row r="229" spans="1:3" ht="12.5" x14ac:dyDescent="0.25">
      <c r="A229" s="7"/>
      <c r="B229" s="10"/>
      <c r="C229" s="10"/>
    </row>
    <row r="230" spans="1:3" ht="12.5" x14ac:dyDescent="0.25">
      <c r="A230" s="7"/>
      <c r="B230" s="7"/>
      <c r="C230" s="7"/>
    </row>
    <row r="231" spans="1:3" ht="12.5" x14ac:dyDescent="0.25">
      <c r="A231" s="7"/>
      <c r="B231" s="10"/>
      <c r="C231" s="10"/>
    </row>
    <row r="232" spans="1:3" ht="12.5" x14ac:dyDescent="0.25">
      <c r="A232" s="7"/>
      <c r="B232" s="7"/>
      <c r="C232" s="7"/>
    </row>
    <row r="233" spans="1:3" ht="12.5" x14ac:dyDescent="0.25">
      <c r="A233" s="7"/>
      <c r="B233" s="10"/>
      <c r="C233" s="10"/>
    </row>
    <row r="234" spans="1:3" ht="12.5" x14ac:dyDescent="0.25">
      <c r="A234" s="7"/>
      <c r="B234" s="7"/>
      <c r="C234" s="7"/>
    </row>
    <row r="235" spans="1:3" ht="12.5" x14ac:dyDescent="0.25">
      <c r="A235" s="7"/>
      <c r="B235" s="10"/>
      <c r="C235" s="10"/>
    </row>
    <row r="236" spans="1:3" ht="12.5" x14ac:dyDescent="0.25">
      <c r="A236" s="7"/>
      <c r="B236" s="7"/>
      <c r="C236" s="7"/>
    </row>
    <row r="237" spans="1:3" ht="12.5" x14ac:dyDescent="0.25">
      <c r="A237" s="7"/>
      <c r="B237" s="10"/>
      <c r="C237" s="10"/>
    </row>
    <row r="238" spans="1:3" ht="12.5" x14ac:dyDescent="0.25">
      <c r="A238" s="7"/>
      <c r="B238" s="7"/>
      <c r="C238" s="7"/>
    </row>
    <row r="239" spans="1:3" ht="12.5" x14ac:dyDescent="0.25">
      <c r="A239" s="7"/>
      <c r="B239" s="10"/>
      <c r="C239" s="10"/>
    </row>
    <row r="240" spans="1:3" ht="12.5" x14ac:dyDescent="0.25">
      <c r="A240" s="7"/>
      <c r="B240" s="7"/>
      <c r="C240" s="7"/>
    </row>
    <row r="241" spans="1:3" ht="12.5" x14ac:dyDescent="0.25">
      <c r="A241" s="7"/>
      <c r="B241" s="10"/>
      <c r="C241" s="10"/>
    </row>
    <row r="242" spans="1:3" ht="12.5" x14ac:dyDescent="0.25">
      <c r="A242" s="7"/>
      <c r="B242" s="7"/>
      <c r="C242" s="7"/>
    </row>
    <row r="243" spans="1:3" ht="12.5" x14ac:dyDescent="0.25">
      <c r="A243" s="7"/>
      <c r="B243" s="10"/>
      <c r="C243" s="10"/>
    </row>
    <row r="244" spans="1:3" ht="12.5" x14ac:dyDescent="0.25">
      <c r="A244" s="7"/>
      <c r="B244" s="7"/>
      <c r="C244" s="7"/>
    </row>
    <row r="245" spans="1:3" ht="12.5" x14ac:dyDescent="0.25">
      <c r="A245" s="7"/>
      <c r="B245" s="10"/>
      <c r="C245" s="10"/>
    </row>
    <row r="246" spans="1:3" ht="12.5" x14ac:dyDescent="0.25">
      <c r="A246" s="7"/>
      <c r="B246" s="7"/>
      <c r="C246" s="7"/>
    </row>
    <row r="247" spans="1:3" ht="12.5" x14ac:dyDescent="0.25">
      <c r="A247" s="7"/>
      <c r="B247" s="10"/>
      <c r="C247" s="10"/>
    </row>
    <row r="248" spans="1:3" ht="12.5" x14ac:dyDescent="0.25">
      <c r="A248" s="7"/>
      <c r="B248" s="7"/>
      <c r="C248" s="7"/>
    </row>
    <row r="249" spans="1:3" ht="12.5" x14ac:dyDescent="0.25">
      <c r="A249" s="7"/>
      <c r="B249" s="10"/>
      <c r="C249" s="10"/>
    </row>
    <row r="250" spans="1:3" ht="12.5" x14ac:dyDescent="0.25">
      <c r="A250" s="7"/>
      <c r="B250" s="7"/>
      <c r="C250" s="7"/>
    </row>
    <row r="251" spans="1:3" ht="12.5" x14ac:dyDescent="0.25">
      <c r="A251" s="7"/>
      <c r="B251" s="10"/>
      <c r="C251" s="10"/>
    </row>
    <row r="252" spans="1:3" ht="12.5" x14ac:dyDescent="0.25">
      <c r="A252" s="7"/>
      <c r="B252" s="7"/>
      <c r="C252" s="7"/>
    </row>
    <row r="253" spans="1:3" ht="12.5" x14ac:dyDescent="0.25">
      <c r="A253" s="7"/>
      <c r="B253" s="10"/>
      <c r="C253" s="10"/>
    </row>
    <row r="254" spans="1:3" ht="12.5" x14ac:dyDescent="0.25">
      <c r="A254" s="7"/>
      <c r="B254" s="7"/>
      <c r="C254" s="7"/>
    </row>
    <row r="255" spans="1:3" ht="12.5" x14ac:dyDescent="0.25">
      <c r="A255" s="7"/>
      <c r="B255" s="10"/>
      <c r="C255" s="10"/>
    </row>
    <row r="256" spans="1:3" ht="12.5" x14ac:dyDescent="0.25">
      <c r="A256" s="7"/>
      <c r="B256" s="7"/>
      <c r="C256" s="7"/>
    </row>
    <row r="257" spans="1:3" ht="12.5" x14ac:dyDescent="0.25">
      <c r="A257" s="7"/>
      <c r="B257" s="10"/>
      <c r="C257" s="10"/>
    </row>
    <row r="258" spans="1:3" ht="12.5" x14ac:dyDescent="0.25">
      <c r="A258" s="7"/>
      <c r="B258" s="7"/>
      <c r="C258" s="7"/>
    </row>
    <row r="259" spans="1:3" ht="12.5" x14ac:dyDescent="0.25">
      <c r="A259" s="7"/>
      <c r="B259" s="10"/>
      <c r="C259" s="10"/>
    </row>
    <row r="260" spans="1:3" ht="12.5" x14ac:dyDescent="0.25">
      <c r="A260" s="7"/>
      <c r="B260" s="7"/>
      <c r="C260" s="7"/>
    </row>
    <row r="261" spans="1:3" ht="12.5" x14ac:dyDescent="0.25">
      <c r="A261" s="7"/>
      <c r="B261" s="10"/>
      <c r="C261" s="10"/>
    </row>
    <row r="262" spans="1:3" ht="12.5" x14ac:dyDescent="0.25">
      <c r="A262" s="7"/>
      <c r="B262" s="7"/>
      <c r="C262" s="7"/>
    </row>
    <row r="263" spans="1:3" ht="12.5" x14ac:dyDescent="0.25">
      <c r="A263" s="7"/>
      <c r="B263" s="10"/>
      <c r="C263" s="10"/>
    </row>
    <row r="264" spans="1:3" ht="12.5" x14ac:dyDescent="0.25">
      <c r="A264" s="7"/>
      <c r="B264" s="7"/>
      <c r="C264" s="7"/>
    </row>
    <row r="265" spans="1:3" ht="12.5" x14ac:dyDescent="0.25">
      <c r="A265" s="7"/>
      <c r="B265" s="10"/>
      <c r="C265" s="10"/>
    </row>
    <row r="266" spans="1:3" ht="12.5" x14ac:dyDescent="0.25">
      <c r="A266" s="7"/>
      <c r="B266" s="7"/>
      <c r="C266" s="7"/>
    </row>
    <row r="267" spans="1:3" ht="12.5" x14ac:dyDescent="0.25">
      <c r="A267" s="7"/>
      <c r="B267" s="10"/>
      <c r="C267" s="10"/>
    </row>
    <row r="268" spans="1:3" ht="12.5" x14ac:dyDescent="0.25">
      <c r="A268" s="7"/>
      <c r="B268" s="7"/>
      <c r="C268" s="7"/>
    </row>
    <row r="269" spans="1:3" ht="12.5" x14ac:dyDescent="0.25">
      <c r="A269" s="7"/>
      <c r="B269" s="10"/>
      <c r="C269" s="10"/>
    </row>
    <row r="270" spans="1:3" ht="12.5" x14ac:dyDescent="0.25">
      <c r="A270" s="7"/>
      <c r="B270" s="7"/>
      <c r="C270" s="7"/>
    </row>
    <row r="271" spans="1:3" ht="12.5" x14ac:dyDescent="0.25">
      <c r="A271" s="7"/>
      <c r="B271" s="10"/>
      <c r="C271" s="10"/>
    </row>
    <row r="272" spans="1:3" ht="12.5" x14ac:dyDescent="0.25">
      <c r="A272" s="7"/>
      <c r="B272" s="7"/>
      <c r="C272" s="7"/>
    </row>
    <row r="273" spans="1:3" ht="12.5" x14ac:dyDescent="0.25">
      <c r="A273" s="7"/>
      <c r="B273" s="10"/>
      <c r="C273" s="10"/>
    </row>
    <row r="274" spans="1:3" ht="12.5" x14ac:dyDescent="0.25">
      <c r="A274" s="7"/>
      <c r="B274" s="7"/>
      <c r="C274" s="7"/>
    </row>
    <row r="275" spans="1:3" ht="12.5" x14ac:dyDescent="0.25">
      <c r="A275" s="7"/>
      <c r="B275" s="10"/>
      <c r="C275" s="10"/>
    </row>
    <row r="276" spans="1:3" ht="12.5" x14ac:dyDescent="0.25">
      <c r="A276" s="7"/>
      <c r="B276" s="7"/>
      <c r="C276" s="7"/>
    </row>
    <row r="277" spans="1:3" ht="12.5" x14ac:dyDescent="0.25">
      <c r="A277" s="7"/>
      <c r="B277" s="10"/>
      <c r="C277" s="10"/>
    </row>
    <row r="278" spans="1:3" ht="12.5" x14ac:dyDescent="0.25">
      <c r="A278" s="7"/>
      <c r="B278" s="7"/>
      <c r="C278" s="7"/>
    </row>
    <row r="279" spans="1:3" ht="12.5" x14ac:dyDescent="0.25">
      <c r="A279" s="7"/>
      <c r="B279" s="10"/>
      <c r="C279" s="10"/>
    </row>
    <row r="280" spans="1:3" ht="12.5" x14ac:dyDescent="0.25">
      <c r="A280" s="7"/>
      <c r="B280" s="7"/>
      <c r="C280" s="7"/>
    </row>
    <row r="281" spans="1:3" ht="12.5" x14ac:dyDescent="0.25">
      <c r="A281" s="7"/>
      <c r="B281" s="10"/>
      <c r="C281" s="10"/>
    </row>
    <row r="282" spans="1:3" ht="12.5" x14ac:dyDescent="0.25">
      <c r="A282" s="7"/>
      <c r="B282" s="7"/>
      <c r="C282" s="7"/>
    </row>
    <row r="283" spans="1:3" ht="12.5" x14ac:dyDescent="0.25">
      <c r="A283" s="7"/>
      <c r="B283" s="10"/>
      <c r="C283" s="10"/>
    </row>
    <row r="284" spans="1:3" ht="12.5" x14ac:dyDescent="0.25">
      <c r="A284" s="7"/>
      <c r="B284" s="7"/>
      <c r="C284" s="7"/>
    </row>
    <row r="285" spans="1:3" ht="12.5" x14ac:dyDescent="0.25">
      <c r="A285" s="7"/>
      <c r="B285" s="10"/>
      <c r="C285" s="10"/>
    </row>
    <row r="286" spans="1:3" ht="12.5" x14ac:dyDescent="0.25">
      <c r="A286" s="7"/>
      <c r="B286" s="7"/>
      <c r="C286" s="7"/>
    </row>
    <row r="287" spans="1:3" ht="12.5" x14ac:dyDescent="0.25">
      <c r="A287" s="7"/>
      <c r="B287" s="10"/>
      <c r="C287" s="10"/>
    </row>
    <row r="288" spans="1:3" ht="12.5" x14ac:dyDescent="0.25">
      <c r="A288" s="7"/>
      <c r="B288" s="7"/>
      <c r="C288" s="7"/>
    </row>
    <row r="289" spans="1:3" ht="12.5" x14ac:dyDescent="0.25">
      <c r="A289" s="7"/>
      <c r="B289" s="10"/>
      <c r="C289" s="10"/>
    </row>
    <row r="290" spans="1:3" ht="12.5" x14ac:dyDescent="0.25">
      <c r="A290" s="7"/>
      <c r="B290" s="7"/>
      <c r="C290" s="7"/>
    </row>
    <row r="291" spans="1:3" ht="12.5" x14ac:dyDescent="0.25">
      <c r="A291" s="7"/>
      <c r="B291" s="10"/>
      <c r="C291" s="10"/>
    </row>
    <row r="292" spans="1:3" ht="12.5" x14ac:dyDescent="0.25">
      <c r="A292" s="7"/>
      <c r="B292" s="7"/>
      <c r="C292" s="7"/>
    </row>
    <row r="293" spans="1:3" ht="12.5" x14ac:dyDescent="0.25">
      <c r="A293" s="7"/>
      <c r="B293" s="10"/>
      <c r="C293" s="10"/>
    </row>
    <row r="294" spans="1:3" ht="12.5" x14ac:dyDescent="0.25">
      <c r="A294" s="7"/>
      <c r="B294" s="7"/>
      <c r="C294" s="7"/>
    </row>
    <row r="295" spans="1:3" ht="12.5" x14ac:dyDescent="0.25">
      <c r="A295" s="7"/>
      <c r="B295" s="10"/>
      <c r="C295" s="10"/>
    </row>
    <row r="296" spans="1:3" ht="12.5" x14ac:dyDescent="0.25">
      <c r="A296" s="7"/>
      <c r="B296" s="7"/>
      <c r="C296" s="7"/>
    </row>
    <row r="297" spans="1:3" ht="12.5" x14ac:dyDescent="0.25">
      <c r="A297" s="7"/>
      <c r="B297" s="10"/>
      <c r="C297" s="10"/>
    </row>
    <row r="298" spans="1:3" ht="12.5" x14ac:dyDescent="0.25">
      <c r="A298" s="7"/>
      <c r="B298" s="7"/>
      <c r="C298" s="7"/>
    </row>
    <row r="299" spans="1:3" ht="12.5" x14ac:dyDescent="0.25">
      <c r="A299" s="7"/>
      <c r="B299" s="10"/>
      <c r="C299" s="10"/>
    </row>
    <row r="300" spans="1:3" ht="12.5" x14ac:dyDescent="0.25">
      <c r="A300" s="7"/>
      <c r="B300" s="7"/>
      <c r="C300" s="7"/>
    </row>
    <row r="301" spans="1:3" ht="12.5" x14ac:dyDescent="0.25">
      <c r="A301" s="7"/>
      <c r="B301" s="10"/>
      <c r="C301" s="10"/>
    </row>
    <row r="302" spans="1:3" ht="12.5" x14ac:dyDescent="0.25">
      <c r="A302" s="7"/>
      <c r="B302" s="7"/>
      <c r="C302" s="7"/>
    </row>
    <row r="303" spans="1:3" ht="12.5" x14ac:dyDescent="0.25">
      <c r="A303" s="7"/>
      <c r="B303" s="10"/>
      <c r="C303" s="10"/>
    </row>
    <row r="304" spans="1:3" ht="12.5" x14ac:dyDescent="0.25">
      <c r="A304" s="7"/>
      <c r="B304" s="7"/>
      <c r="C304" s="7"/>
    </row>
    <row r="305" spans="1:3" ht="12.5" x14ac:dyDescent="0.25">
      <c r="A305" s="7"/>
      <c r="B305" s="10"/>
      <c r="C305" s="10"/>
    </row>
    <row r="306" spans="1:3" ht="12.5" x14ac:dyDescent="0.25">
      <c r="A306" s="7"/>
      <c r="B306" s="7"/>
      <c r="C306" s="7"/>
    </row>
    <row r="307" spans="1:3" ht="12.5" x14ac:dyDescent="0.25">
      <c r="A307" s="7"/>
      <c r="B307" s="10"/>
      <c r="C307" s="10"/>
    </row>
    <row r="308" spans="1:3" ht="12.5" x14ac:dyDescent="0.25">
      <c r="A308" s="7"/>
      <c r="B308" s="7"/>
      <c r="C308" s="7"/>
    </row>
    <row r="309" spans="1:3" ht="12.5" x14ac:dyDescent="0.25">
      <c r="A309" s="7"/>
      <c r="B309" s="10"/>
      <c r="C309" s="10"/>
    </row>
    <row r="310" spans="1:3" ht="12.5" x14ac:dyDescent="0.25">
      <c r="A310" s="7"/>
      <c r="B310" s="7"/>
      <c r="C310" s="7"/>
    </row>
    <row r="311" spans="1:3" ht="12.5" x14ac:dyDescent="0.25">
      <c r="A311" s="7"/>
      <c r="B311" s="10"/>
      <c r="C311" s="10"/>
    </row>
    <row r="312" spans="1:3" ht="12.5" x14ac:dyDescent="0.25">
      <c r="A312" s="7"/>
      <c r="B312" s="7"/>
      <c r="C312" s="7"/>
    </row>
    <row r="313" spans="1:3" ht="12.5" x14ac:dyDescent="0.25">
      <c r="A313" s="7"/>
      <c r="B313" s="10"/>
      <c r="C313" s="10"/>
    </row>
    <row r="314" spans="1:3" ht="12.5" x14ac:dyDescent="0.25">
      <c r="A314" s="7"/>
      <c r="B314" s="7"/>
      <c r="C314" s="7"/>
    </row>
    <row r="315" spans="1:3" ht="12.5" x14ac:dyDescent="0.25">
      <c r="A315" s="7"/>
      <c r="B315" s="10"/>
      <c r="C315" s="10"/>
    </row>
    <row r="316" spans="1:3" ht="12.5" x14ac:dyDescent="0.25">
      <c r="A316" s="7"/>
      <c r="B316" s="7"/>
      <c r="C316" s="7"/>
    </row>
    <row r="317" spans="1:3" ht="12.5" x14ac:dyDescent="0.25">
      <c r="A317" s="7"/>
      <c r="B317" s="10"/>
      <c r="C317" s="10"/>
    </row>
    <row r="318" spans="1:3" ht="12.5" x14ac:dyDescent="0.25">
      <c r="A318" s="7"/>
      <c r="B318" s="7"/>
      <c r="C318" s="7"/>
    </row>
    <row r="319" spans="1:3" ht="12.5" x14ac:dyDescent="0.25">
      <c r="A319" s="7"/>
      <c r="B319" s="10"/>
      <c r="C319" s="10"/>
    </row>
    <row r="320" spans="1:3" ht="12.5" x14ac:dyDescent="0.25">
      <c r="A320" s="7"/>
      <c r="B320" s="7"/>
      <c r="C320" s="7"/>
    </row>
    <row r="321" spans="1:3" ht="12.5" x14ac:dyDescent="0.25">
      <c r="A321" s="7"/>
      <c r="B321" s="10"/>
      <c r="C321" s="10"/>
    </row>
    <row r="322" spans="1:3" ht="12.5" x14ac:dyDescent="0.25">
      <c r="A322" s="7"/>
      <c r="B322" s="7"/>
      <c r="C322" s="7"/>
    </row>
    <row r="323" spans="1:3" ht="12.5" x14ac:dyDescent="0.25">
      <c r="A323" s="7"/>
      <c r="B323" s="10"/>
      <c r="C323" s="10"/>
    </row>
    <row r="324" spans="1:3" ht="12.5" x14ac:dyDescent="0.25">
      <c r="A324" s="7"/>
      <c r="B324" s="7"/>
      <c r="C324" s="7"/>
    </row>
    <row r="325" spans="1:3" ht="12.5" x14ac:dyDescent="0.25">
      <c r="A325" s="7"/>
      <c r="B325" s="10"/>
      <c r="C325" s="10"/>
    </row>
    <row r="326" spans="1:3" ht="12.5" x14ac:dyDescent="0.25">
      <c r="A326" s="7"/>
      <c r="B326" s="7"/>
      <c r="C326" s="7"/>
    </row>
    <row r="327" spans="1:3" ht="12.5" x14ac:dyDescent="0.25">
      <c r="A327" s="7"/>
      <c r="B327" s="10"/>
      <c r="C327" s="10"/>
    </row>
    <row r="328" spans="1:3" ht="12.5" x14ac:dyDescent="0.25">
      <c r="A328" s="7"/>
      <c r="B328" s="7"/>
      <c r="C328" s="7"/>
    </row>
    <row r="329" spans="1:3" ht="12.5" x14ac:dyDescent="0.25">
      <c r="A329" s="7"/>
      <c r="B329" s="10"/>
      <c r="C329" s="10"/>
    </row>
    <row r="330" spans="1:3" ht="12.5" x14ac:dyDescent="0.25">
      <c r="A330" s="7"/>
      <c r="B330" s="7"/>
      <c r="C330" s="7"/>
    </row>
    <row r="331" spans="1:3" ht="12.5" x14ac:dyDescent="0.25">
      <c r="A331" s="7"/>
      <c r="B331" s="10"/>
      <c r="C331" s="10"/>
    </row>
    <row r="332" spans="1:3" ht="12.5" x14ac:dyDescent="0.25">
      <c r="A332" s="7"/>
      <c r="B332" s="7"/>
      <c r="C332" s="7"/>
    </row>
    <row r="333" spans="1:3" ht="12.5" x14ac:dyDescent="0.25">
      <c r="A333" s="7"/>
      <c r="B333" s="10"/>
      <c r="C333" s="10"/>
    </row>
    <row r="334" spans="1:3" ht="12.5" x14ac:dyDescent="0.25">
      <c r="A334" s="7"/>
      <c r="B334" s="7"/>
      <c r="C334" s="7"/>
    </row>
    <row r="335" spans="1:3" ht="12.5" x14ac:dyDescent="0.25">
      <c r="A335" s="7"/>
      <c r="B335" s="10"/>
      <c r="C335" s="10"/>
    </row>
    <row r="336" spans="1:3" ht="12.5" x14ac:dyDescent="0.25">
      <c r="A336" s="7"/>
      <c r="B336" s="7"/>
      <c r="C336" s="7"/>
    </row>
    <row r="337" spans="1:3" ht="12.5" x14ac:dyDescent="0.25">
      <c r="A337" s="7"/>
      <c r="B337" s="10"/>
      <c r="C337" s="10"/>
    </row>
    <row r="338" spans="1:3" ht="12.5" x14ac:dyDescent="0.25">
      <c r="A338" s="7"/>
      <c r="B338" s="7"/>
      <c r="C338" s="7"/>
    </row>
    <row r="339" spans="1:3" ht="12.5" x14ac:dyDescent="0.25">
      <c r="A339" s="7"/>
      <c r="B339" s="10"/>
      <c r="C339" s="10"/>
    </row>
    <row r="340" spans="1:3" ht="12.5" x14ac:dyDescent="0.25">
      <c r="A340" s="7"/>
      <c r="B340" s="7"/>
      <c r="C340" s="7"/>
    </row>
    <row r="341" spans="1:3" ht="12.5" x14ac:dyDescent="0.25">
      <c r="A341" s="7"/>
      <c r="B341" s="10"/>
      <c r="C341" s="10"/>
    </row>
    <row r="342" spans="1:3" ht="12.5" x14ac:dyDescent="0.25">
      <c r="A342" s="7"/>
      <c r="B342" s="7"/>
      <c r="C342" s="7"/>
    </row>
    <row r="343" spans="1:3" ht="12.5" x14ac:dyDescent="0.25">
      <c r="A343" s="7"/>
      <c r="B343" s="10"/>
      <c r="C343" s="10"/>
    </row>
    <row r="344" spans="1:3" ht="12.5" x14ac:dyDescent="0.25">
      <c r="A344" s="7"/>
      <c r="B344" s="7"/>
      <c r="C344" s="7"/>
    </row>
    <row r="345" spans="1:3" ht="12.5" x14ac:dyDescent="0.25">
      <c r="A345" s="7"/>
      <c r="B345" s="10"/>
      <c r="C345" s="10"/>
    </row>
    <row r="346" spans="1:3" ht="12.5" x14ac:dyDescent="0.25">
      <c r="A346" s="7"/>
      <c r="B346" s="7"/>
      <c r="C346" s="7"/>
    </row>
    <row r="347" spans="1:3" ht="12.5" x14ac:dyDescent="0.25">
      <c r="A347" s="7"/>
      <c r="B347" s="10"/>
      <c r="C347" s="10"/>
    </row>
    <row r="348" spans="1:3" ht="12.5" x14ac:dyDescent="0.25">
      <c r="A348" s="7"/>
      <c r="B348" s="7"/>
      <c r="C348" s="7"/>
    </row>
    <row r="349" spans="1:3" ht="12.5" x14ac:dyDescent="0.25">
      <c r="A349" s="7"/>
      <c r="B349" s="10"/>
      <c r="C349" s="10"/>
    </row>
    <row r="350" spans="1:3" ht="12.5" x14ac:dyDescent="0.25">
      <c r="A350" s="7"/>
      <c r="B350" s="7"/>
      <c r="C350" s="7"/>
    </row>
    <row r="351" spans="1:3" ht="12.5" x14ac:dyDescent="0.25">
      <c r="A351" s="7"/>
      <c r="B351" s="10"/>
      <c r="C351" s="10"/>
    </row>
    <row r="352" spans="1:3" ht="12.5" x14ac:dyDescent="0.25">
      <c r="A352" s="7"/>
      <c r="B352" s="7"/>
      <c r="C352" s="7"/>
    </row>
    <row r="353" spans="1:3" ht="12.5" x14ac:dyDescent="0.25">
      <c r="A353" s="7"/>
      <c r="B353" s="10"/>
      <c r="C353" s="10"/>
    </row>
    <row r="354" spans="1:3" ht="12.5" x14ac:dyDescent="0.25">
      <c r="A354" s="7"/>
      <c r="B354" s="7"/>
      <c r="C354" s="7"/>
    </row>
    <row r="355" spans="1:3" ht="12.5" x14ac:dyDescent="0.25">
      <c r="A355" s="7"/>
      <c r="B355" s="10"/>
      <c r="C355" s="10"/>
    </row>
    <row r="356" spans="1:3" ht="12.5" x14ac:dyDescent="0.25">
      <c r="A356" s="7"/>
      <c r="B356" s="7"/>
      <c r="C356" s="7"/>
    </row>
    <row r="357" spans="1:3" ht="12.5" x14ac:dyDescent="0.25">
      <c r="A357" s="7"/>
      <c r="B357" s="10"/>
      <c r="C357" s="10"/>
    </row>
    <row r="358" spans="1:3" ht="12.5" x14ac:dyDescent="0.25">
      <c r="A358" s="7"/>
      <c r="B358" s="7"/>
      <c r="C358" s="7"/>
    </row>
    <row r="359" spans="1:3" ht="12.5" x14ac:dyDescent="0.25">
      <c r="A359" s="7"/>
      <c r="B359" s="10"/>
      <c r="C359" s="10"/>
    </row>
    <row r="360" spans="1:3" ht="12.5" x14ac:dyDescent="0.25">
      <c r="A360" s="7"/>
      <c r="B360" s="7"/>
      <c r="C360" s="7"/>
    </row>
    <row r="361" spans="1:3" ht="12.5" x14ac:dyDescent="0.25">
      <c r="A361" s="7"/>
      <c r="B361" s="10"/>
      <c r="C361" s="10"/>
    </row>
    <row r="362" spans="1:3" ht="12.5" x14ac:dyDescent="0.25">
      <c r="A362" s="7"/>
      <c r="B362" s="7"/>
      <c r="C362" s="7"/>
    </row>
    <row r="363" spans="1:3" ht="12.5" x14ac:dyDescent="0.25">
      <c r="A363" s="7"/>
      <c r="B363" s="10"/>
      <c r="C363" s="10"/>
    </row>
    <row r="364" spans="1:3" ht="12.5" x14ac:dyDescent="0.25">
      <c r="A364" s="7"/>
      <c r="B364" s="7"/>
      <c r="C364" s="7"/>
    </row>
    <row r="365" spans="1:3" ht="12.5" x14ac:dyDescent="0.25">
      <c r="A365" s="7"/>
      <c r="B365" s="10"/>
      <c r="C365" s="10"/>
    </row>
    <row r="366" spans="1:3" ht="12.5" x14ac:dyDescent="0.25">
      <c r="A366" s="7"/>
      <c r="B366" s="7"/>
      <c r="C366" s="7"/>
    </row>
    <row r="367" spans="1:3" ht="12.5" x14ac:dyDescent="0.25">
      <c r="A367" s="7"/>
      <c r="B367" s="10"/>
      <c r="C367" s="10"/>
    </row>
    <row r="368" spans="1:3" ht="12.5" x14ac:dyDescent="0.25">
      <c r="A368" s="7"/>
      <c r="B368" s="7"/>
      <c r="C368" s="7"/>
    </row>
    <row r="369" spans="1:3" ht="12.5" x14ac:dyDescent="0.25">
      <c r="A369" s="7"/>
      <c r="B369" s="10"/>
      <c r="C369" s="10"/>
    </row>
    <row r="370" spans="1:3" ht="12.5" x14ac:dyDescent="0.25">
      <c r="A370" s="7"/>
      <c r="B370" s="7"/>
      <c r="C370" s="7"/>
    </row>
    <row r="371" spans="1:3" ht="12.5" x14ac:dyDescent="0.25">
      <c r="A371" s="7"/>
      <c r="B371" s="10"/>
      <c r="C371" s="10"/>
    </row>
    <row r="372" spans="1:3" ht="12.5" x14ac:dyDescent="0.25">
      <c r="A372" s="7"/>
      <c r="B372" s="7"/>
      <c r="C372" s="7"/>
    </row>
    <row r="373" spans="1:3" ht="12.5" x14ac:dyDescent="0.25">
      <c r="A373" s="7"/>
      <c r="B373" s="10"/>
      <c r="C373" s="10"/>
    </row>
    <row r="374" spans="1:3" ht="12.5" x14ac:dyDescent="0.25">
      <c r="A374" s="7"/>
      <c r="B374" s="7"/>
      <c r="C374" s="7"/>
    </row>
    <row r="375" spans="1:3" ht="12.5" x14ac:dyDescent="0.25">
      <c r="A375" s="7"/>
      <c r="B375" s="10"/>
      <c r="C375" s="10"/>
    </row>
    <row r="376" spans="1:3" ht="12.5" x14ac:dyDescent="0.25">
      <c r="A376" s="7"/>
      <c r="B376" s="7"/>
      <c r="C376" s="7"/>
    </row>
    <row r="377" spans="1:3" ht="12.5" x14ac:dyDescent="0.25">
      <c r="A377" s="7"/>
      <c r="B377" s="10"/>
      <c r="C377" s="10"/>
    </row>
    <row r="378" spans="1:3" ht="12.5" x14ac:dyDescent="0.25">
      <c r="A378" s="7"/>
      <c r="B378" s="7"/>
      <c r="C378" s="7"/>
    </row>
    <row r="379" spans="1:3" ht="12.5" x14ac:dyDescent="0.25">
      <c r="A379" s="7"/>
      <c r="B379" s="10"/>
      <c r="C379" s="10"/>
    </row>
    <row r="380" spans="1:3" ht="12.5" x14ac:dyDescent="0.25">
      <c r="A380" s="7"/>
      <c r="B380" s="7"/>
      <c r="C380" s="7"/>
    </row>
    <row r="381" spans="1:3" ht="12.5" x14ac:dyDescent="0.25">
      <c r="A381" s="7"/>
      <c r="B381" s="10"/>
      <c r="C381" s="10"/>
    </row>
    <row r="382" spans="1:3" ht="12.5" x14ac:dyDescent="0.25">
      <c r="A382" s="7"/>
      <c r="B382" s="7"/>
      <c r="C382" s="7"/>
    </row>
    <row r="383" spans="1:3" ht="12.5" x14ac:dyDescent="0.25">
      <c r="A383" s="7"/>
      <c r="B383" s="10"/>
      <c r="C383" s="10"/>
    </row>
    <row r="384" spans="1:3" ht="12.5" x14ac:dyDescent="0.25">
      <c r="A384" s="7"/>
      <c r="B384" s="7"/>
      <c r="C384" s="7"/>
    </row>
    <row r="385" spans="1:3" ht="12.5" x14ac:dyDescent="0.25">
      <c r="A385" s="7"/>
      <c r="B385" s="10"/>
      <c r="C385" s="10"/>
    </row>
    <row r="386" spans="1:3" ht="12.5" x14ac:dyDescent="0.25">
      <c r="A386" s="7"/>
      <c r="B386" s="7"/>
      <c r="C386" s="7"/>
    </row>
    <row r="387" spans="1:3" ht="12.5" x14ac:dyDescent="0.25">
      <c r="A387" s="7"/>
      <c r="B387" s="10"/>
      <c r="C387" s="10"/>
    </row>
    <row r="388" spans="1:3" ht="12.5" x14ac:dyDescent="0.25">
      <c r="A388" s="7"/>
      <c r="B388" s="7"/>
      <c r="C388" s="7"/>
    </row>
    <row r="389" spans="1:3" ht="12.5" x14ac:dyDescent="0.25">
      <c r="A389" s="7"/>
      <c r="B389" s="10"/>
      <c r="C389" s="10"/>
    </row>
    <row r="390" spans="1:3" ht="12.5" x14ac:dyDescent="0.25">
      <c r="A390" s="7"/>
      <c r="B390" s="7"/>
      <c r="C390" s="7"/>
    </row>
    <row r="391" spans="1:3" ht="12.5" x14ac:dyDescent="0.25">
      <c r="A391" s="7"/>
      <c r="B391" s="10"/>
      <c r="C391" s="10"/>
    </row>
    <row r="392" spans="1:3" ht="12.5" x14ac:dyDescent="0.25">
      <c r="A392" s="7"/>
      <c r="B392" s="7"/>
      <c r="C392" s="7"/>
    </row>
    <row r="393" spans="1:3" ht="12.5" x14ac:dyDescent="0.25">
      <c r="A393" s="7"/>
      <c r="B393" s="10"/>
      <c r="C393" s="10"/>
    </row>
    <row r="394" spans="1:3" ht="12.5" x14ac:dyDescent="0.25">
      <c r="A394" s="7"/>
      <c r="B394" s="7"/>
      <c r="C394" s="7"/>
    </row>
    <row r="395" spans="1:3" ht="12.5" x14ac:dyDescent="0.25">
      <c r="A395" s="7"/>
      <c r="B395" s="10"/>
      <c r="C395" s="10"/>
    </row>
    <row r="396" spans="1:3" ht="12.5" x14ac:dyDescent="0.25">
      <c r="A396" s="7"/>
      <c r="B396" s="7"/>
      <c r="C396" s="7"/>
    </row>
    <row r="397" spans="1:3" ht="12.5" x14ac:dyDescent="0.25">
      <c r="A397" s="7"/>
      <c r="B397" s="10"/>
      <c r="C397" s="10"/>
    </row>
    <row r="398" spans="1:3" ht="12.5" x14ac:dyDescent="0.25">
      <c r="A398" s="7"/>
      <c r="B398" s="7"/>
      <c r="C398" s="7"/>
    </row>
    <row r="399" spans="1:3" ht="12.5" x14ac:dyDescent="0.25">
      <c r="A399" s="7"/>
      <c r="B399" s="10"/>
      <c r="C399" s="10"/>
    </row>
    <row r="400" spans="1:3" ht="12.5" x14ac:dyDescent="0.25">
      <c r="A400" s="7"/>
      <c r="B400" s="7"/>
      <c r="C400" s="7"/>
    </row>
    <row r="401" spans="1:3" ht="12.5" x14ac:dyDescent="0.25">
      <c r="A401" s="7"/>
      <c r="B401" s="10"/>
      <c r="C401" s="10"/>
    </row>
    <row r="402" spans="1:3" ht="12.5" x14ac:dyDescent="0.25">
      <c r="A402" s="7"/>
      <c r="B402" s="7"/>
      <c r="C402" s="7"/>
    </row>
    <row r="403" spans="1:3" ht="12.5" x14ac:dyDescent="0.25">
      <c r="A403" s="7"/>
      <c r="B403" s="10"/>
      <c r="C403" s="10"/>
    </row>
    <row r="404" spans="1:3" ht="12.5" x14ac:dyDescent="0.25">
      <c r="A404" s="7"/>
      <c r="B404" s="7"/>
      <c r="C404" s="7"/>
    </row>
    <row r="405" spans="1:3" ht="12.5" x14ac:dyDescent="0.25">
      <c r="A405" s="7"/>
      <c r="B405" s="10"/>
      <c r="C405" s="10"/>
    </row>
    <row r="406" spans="1:3" ht="12.5" x14ac:dyDescent="0.25">
      <c r="A406" s="7"/>
      <c r="B406" s="7"/>
      <c r="C406" s="7"/>
    </row>
    <row r="407" spans="1:3" ht="12.5" x14ac:dyDescent="0.25">
      <c r="A407" s="7"/>
      <c r="B407" s="10"/>
      <c r="C407" s="10"/>
    </row>
    <row r="408" spans="1:3" ht="12.5" x14ac:dyDescent="0.25">
      <c r="A408" s="7"/>
      <c r="B408" s="7"/>
      <c r="C408" s="7"/>
    </row>
    <row r="409" spans="1:3" ht="12.5" x14ac:dyDescent="0.25">
      <c r="A409" s="7"/>
      <c r="B409" s="10"/>
      <c r="C409" s="10"/>
    </row>
    <row r="410" spans="1:3" ht="12.5" x14ac:dyDescent="0.25">
      <c r="A410" s="7"/>
      <c r="B410" s="7"/>
      <c r="C410" s="7"/>
    </row>
    <row r="411" spans="1:3" ht="12.5" x14ac:dyDescent="0.25">
      <c r="A411" s="7"/>
      <c r="B411" s="10"/>
      <c r="C411" s="10"/>
    </row>
    <row r="412" spans="1:3" ht="12.5" x14ac:dyDescent="0.25">
      <c r="A412" s="7"/>
      <c r="B412" s="7"/>
      <c r="C412" s="7"/>
    </row>
    <row r="413" spans="1:3" ht="12.5" x14ac:dyDescent="0.25">
      <c r="A413" s="7"/>
      <c r="B413" s="10"/>
      <c r="C413" s="10"/>
    </row>
    <row r="414" spans="1:3" ht="12.5" x14ac:dyDescent="0.25">
      <c r="A414" s="7"/>
      <c r="B414" s="7"/>
      <c r="C414" s="7"/>
    </row>
    <row r="415" spans="1:3" ht="12.5" x14ac:dyDescent="0.25">
      <c r="A415" s="7"/>
      <c r="B415" s="10"/>
      <c r="C415" s="10"/>
    </row>
    <row r="416" spans="1:3" ht="12.5" x14ac:dyDescent="0.25">
      <c r="A416" s="7"/>
      <c r="B416" s="7"/>
      <c r="C416" s="7"/>
    </row>
    <row r="417" spans="1:3" ht="12.5" x14ac:dyDescent="0.25">
      <c r="A417" s="7"/>
      <c r="B417" s="10"/>
      <c r="C417" s="10"/>
    </row>
    <row r="418" spans="1:3" ht="12.5" x14ac:dyDescent="0.25">
      <c r="A418" s="7"/>
      <c r="B418" s="7"/>
      <c r="C418" s="7"/>
    </row>
    <row r="419" spans="1:3" ht="12.5" x14ac:dyDescent="0.25">
      <c r="A419" s="7"/>
      <c r="B419" s="10"/>
      <c r="C419" s="10"/>
    </row>
    <row r="420" spans="1:3" ht="12.5" x14ac:dyDescent="0.25">
      <c r="A420" s="7"/>
      <c r="B420" s="7"/>
      <c r="C420" s="7"/>
    </row>
    <row r="421" spans="1:3" ht="12.5" x14ac:dyDescent="0.25">
      <c r="A421" s="7"/>
      <c r="B421" s="10"/>
      <c r="C421" s="10"/>
    </row>
    <row r="422" spans="1:3" ht="12.5" x14ac:dyDescent="0.25">
      <c r="A422" s="7"/>
      <c r="B422" s="7"/>
      <c r="C422" s="7"/>
    </row>
    <row r="423" spans="1:3" ht="12.5" x14ac:dyDescent="0.25">
      <c r="A423" s="7"/>
      <c r="B423" s="10"/>
      <c r="C423" s="10"/>
    </row>
    <row r="424" spans="1:3" ht="12.5" x14ac:dyDescent="0.25">
      <c r="A424" s="7"/>
      <c r="B424" s="7"/>
      <c r="C424" s="7"/>
    </row>
    <row r="425" spans="1:3" ht="12.5" x14ac:dyDescent="0.25">
      <c r="A425" s="7"/>
      <c r="B425" s="10"/>
      <c r="C425" s="10"/>
    </row>
    <row r="426" spans="1:3" ht="12.5" x14ac:dyDescent="0.25">
      <c r="A426" s="7"/>
      <c r="B426" s="7"/>
      <c r="C426" s="7"/>
    </row>
    <row r="427" spans="1:3" ht="12.5" x14ac:dyDescent="0.25">
      <c r="A427" s="7"/>
      <c r="B427" s="10"/>
      <c r="C427" s="10"/>
    </row>
    <row r="428" spans="1:3" ht="12.5" x14ac:dyDescent="0.25">
      <c r="A428" s="7"/>
      <c r="B428" s="7"/>
      <c r="C428" s="7"/>
    </row>
    <row r="429" spans="1:3" ht="12.5" x14ac:dyDescent="0.25">
      <c r="A429" s="7"/>
      <c r="B429" s="10"/>
      <c r="C429" s="10"/>
    </row>
    <row r="430" spans="1:3" ht="12.5" x14ac:dyDescent="0.25">
      <c r="A430" s="7"/>
      <c r="B430" s="7"/>
      <c r="C430" s="7"/>
    </row>
    <row r="431" spans="1:3" ht="12.5" x14ac:dyDescent="0.25">
      <c r="A431" s="7"/>
      <c r="B431" s="10"/>
      <c r="C431" s="10"/>
    </row>
    <row r="432" spans="1:3" ht="12.5" x14ac:dyDescent="0.25">
      <c r="A432" s="7"/>
      <c r="B432" s="7"/>
      <c r="C432" s="7"/>
    </row>
    <row r="433" spans="1:3" ht="12.5" x14ac:dyDescent="0.25">
      <c r="A433" s="7"/>
      <c r="B433" s="10"/>
      <c r="C433" s="10"/>
    </row>
    <row r="434" spans="1:3" ht="12.5" x14ac:dyDescent="0.25">
      <c r="A434" s="7"/>
      <c r="B434" s="7"/>
      <c r="C434" s="7"/>
    </row>
    <row r="435" spans="1:3" ht="12.5" x14ac:dyDescent="0.25">
      <c r="A435" s="7"/>
      <c r="B435" s="10"/>
      <c r="C435" s="10"/>
    </row>
    <row r="436" spans="1:3" ht="12.5" x14ac:dyDescent="0.25">
      <c r="A436" s="7"/>
      <c r="B436" s="7"/>
      <c r="C436" s="7"/>
    </row>
    <row r="437" spans="1:3" ht="12.5" x14ac:dyDescent="0.25">
      <c r="A437" s="7"/>
      <c r="B437" s="10"/>
      <c r="C437" s="10"/>
    </row>
    <row r="438" spans="1:3" ht="12.5" x14ac:dyDescent="0.25">
      <c r="A438" s="7"/>
      <c r="B438" s="7"/>
      <c r="C438" s="7"/>
    </row>
    <row r="439" spans="1:3" ht="12.5" x14ac:dyDescent="0.25">
      <c r="A439" s="7"/>
      <c r="B439" s="10"/>
      <c r="C439" s="10"/>
    </row>
    <row r="440" spans="1:3" ht="12.5" x14ac:dyDescent="0.25">
      <c r="A440" s="7"/>
      <c r="B440" s="7"/>
      <c r="C440" s="7"/>
    </row>
    <row r="441" spans="1:3" ht="12.5" x14ac:dyDescent="0.25">
      <c r="A441" s="7"/>
      <c r="B441" s="10"/>
      <c r="C441" s="10"/>
    </row>
    <row r="442" spans="1:3" ht="12.5" x14ac:dyDescent="0.25">
      <c r="A442" s="7"/>
      <c r="B442" s="7"/>
      <c r="C442" s="7"/>
    </row>
    <row r="443" spans="1:3" ht="12.5" x14ac:dyDescent="0.25">
      <c r="A443" s="7"/>
      <c r="B443" s="10"/>
      <c r="C443" s="10"/>
    </row>
    <row r="444" spans="1:3" ht="12.5" x14ac:dyDescent="0.25">
      <c r="A444" s="7"/>
      <c r="B444" s="7"/>
      <c r="C444" s="7"/>
    </row>
    <row r="445" spans="1:3" ht="12.5" x14ac:dyDescent="0.25">
      <c r="A445" s="7"/>
      <c r="B445" s="10"/>
      <c r="C445" s="10"/>
    </row>
    <row r="446" spans="1:3" ht="12.5" x14ac:dyDescent="0.25">
      <c r="A446" s="7"/>
      <c r="B446" s="7"/>
      <c r="C446" s="7"/>
    </row>
    <row r="447" spans="1:3" ht="12.5" x14ac:dyDescent="0.25">
      <c r="A447" s="7"/>
      <c r="B447" s="10"/>
      <c r="C447" s="10"/>
    </row>
    <row r="448" spans="1:3" ht="12.5" x14ac:dyDescent="0.25">
      <c r="A448" s="7"/>
      <c r="B448" s="7"/>
      <c r="C448" s="7"/>
    </row>
    <row r="449" spans="1:3" ht="12.5" x14ac:dyDescent="0.25">
      <c r="A449" s="7"/>
      <c r="B449" s="10"/>
      <c r="C449" s="10"/>
    </row>
    <row r="450" spans="1:3" ht="12.5" x14ac:dyDescent="0.25">
      <c r="A450" s="7"/>
      <c r="B450" s="7"/>
      <c r="C450" s="7"/>
    </row>
    <row r="451" spans="1:3" ht="12.5" x14ac:dyDescent="0.25">
      <c r="A451" s="7"/>
      <c r="B451" s="10"/>
      <c r="C451" s="10"/>
    </row>
    <row r="452" spans="1:3" ht="12.5" x14ac:dyDescent="0.25">
      <c r="A452" s="7"/>
      <c r="B452" s="7"/>
      <c r="C452" s="7"/>
    </row>
    <row r="453" spans="1:3" ht="12.5" x14ac:dyDescent="0.25">
      <c r="A453" s="7"/>
      <c r="B453" s="10"/>
      <c r="C453" s="10"/>
    </row>
    <row r="454" spans="1:3" ht="12.5" x14ac:dyDescent="0.25">
      <c r="A454" s="7"/>
      <c r="B454" s="7"/>
      <c r="C454" s="7"/>
    </row>
    <row r="455" spans="1:3" ht="12.5" x14ac:dyDescent="0.25">
      <c r="A455" s="7"/>
      <c r="B455" s="10"/>
      <c r="C455" s="10"/>
    </row>
    <row r="456" spans="1:3" ht="12.5" x14ac:dyDescent="0.25">
      <c r="A456" s="7"/>
      <c r="B456" s="7"/>
      <c r="C456" s="7"/>
    </row>
    <row r="457" spans="1:3" ht="12.5" x14ac:dyDescent="0.25">
      <c r="A457" s="7"/>
      <c r="B457" s="10"/>
      <c r="C457" s="10"/>
    </row>
    <row r="458" spans="1:3" ht="12.5" x14ac:dyDescent="0.25">
      <c r="A458" s="7"/>
      <c r="B458" s="7"/>
      <c r="C458" s="7"/>
    </row>
    <row r="459" spans="1:3" ht="12.5" x14ac:dyDescent="0.25">
      <c r="A459" s="7"/>
      <c r="B459" s="10"/>
      <c r="C459" s="10"/>
    </row>
    <row r="460" spans="1:3" ht="12.5" x14ac:dyDescent="0.25">
      <c r="A460" s="7"/>
      <c r="B460" s="7"/>
      <c r="C460" s="7"/>
    </row>
    <row r="461" spans="1:3" ht="12.5" x14ac:dyDescent="0.25">
      <c r="A461" s="7"/>
      <c r="B461" s="10"/>
      <c r="C461" s="10"/>
    </row>
    <row r="462" spans="1:3" ht="12.5" x14ac:dyDescent="0.25">
      <c r="A462" s="7"/>
      <c r="B462" s="7"/>
      <c r="C462" s="7"/>
    </row>
    <row r="463" spans="1:3" ht="12.5" x14ac:dyDescent="0.25">
      <c r="A463" s="7"/>
      <c r="B463" s="10"/>
      <c r="C463" s="10"/>
    </row>
    <row r="464" spans="1:3" ht="12.5" x14ac:dyDescent="0.25">
      <c r="A464" s="7"/>
      <c r="B464" s="7"/>
      <c r="C464" s="7"/>
    </row>
    <row r="465" spans="1:3" ht="12.5" x14ac:dyDescent="0.25">
      <c r="A465" s="7"/>
      <c r="B465" s="10"/>
      <c r="C465" s="10"/>
    </row>
    <row r="466" spans="1:3" ht="12.5" x14ac:dyDescent="0.25">
      <c r="A466" s="7"/>
      <c r="B466" s="7"/>
      <c r="C466" s="7"/>
    </row>
    <row r="467" spans="1:3" ht="12.5" x14ac:dyDescent="0.25">
      <c r="A467" s="7"/>
      <c r="B467" s="10"/>
      <c r="C467" s="10"/>
    </row>
    <row r="468" spans="1:3" ht="12.5" x14ac:dyDescent="0.25">
      <c r="A468" s="7"/>
      <c r="B468" s="7"/>
      <c r="C468" s="7"/>
    </row>
    <row r="469" spans="1:3" ht="12.5" x14ac:dyDescent="0.25">
      <c r="A469" s="7"/>
      <c r="B469" s="10"/>
      <c r="C469" s="10"/>
    </row>
    <row r="470" spans="1:3" ht="12.5" x14ac:dyDescent="0.25">
      <c r="A470" s="7"/>
      <c r="B470" s="7"/>
      <c r="C470" s="7"/>
    </row>
    <row r="471" spans="1:3" ht="12.5" x14ac:dyDescent="0.25">
      <c r="A471" s="7"/>
      <c r="B471" s="10"/>
      <c r="C471" s="10"/>
    </row>
    <row r="472" spans="1:3" ht="12.5" x14ac:dyDescent="0.25">
      <c r="A472" s="7"/>
      <c r="B472" s="7"/>
      <c r="C472" s="7"/>
    </row>
    <row r="473" spans="1:3" ht="12.5" x14ac:dyDescent="0.25">
      <c r="A473" s="7"/>
      <c r="B473" s="10"/>
      <c r="C473" s="10"/>
    </row>
    <row r="474" spans="1:3" ht="12.5" x14ac:dyDescent="0.25">
      <c r="A474" s="7"/>
      <c r="B474" s="7"/>
      <c r="C474" s="7"/>
    </row>
    <row r="475" spans="1:3" ht="12.5" x14ac:dyDescent="0.25">
      <c r="A475" s="7"/>
      <c r="B475" s="10"/>
      <c r="C475" s="10"/>
    </row>
    <row r="476" spans="1:3" ht="12.5" x14ac:dyDescent="0.25">
      <c r="A476" s="7"/>
      <c r="B476" s="7"/>
      <c r="C476" s="7"/>
    </row>
    <row r="477" spans="1:3" ht="12.5" x14ac:dyDescent="0.25">
      <c r="A477" s="7"/>
      <c r="B477" s="10"/>
      <c r="C477" s="10"/>
    </row>
    <row r="478" spans="1:3" ht="12.5" x14ac:dyDescent="0.25">
      <c r="A478" s="7"/>
      <c r="B478" s="7"/>
      <c r="C478" s="7"/>
    </row>
    <row r="479" spans="1:3" ht="12.5" x14ac:dyDescent="0.25">
      <c r="A479" s="7"/>
      <c r="B479" s="10"/>
      <c r="C479" s="10"/>
    </row>
    <row r="480" spans="1:3" ht="12.5" x14ac:dyDescent="0.25">
      <c r="A480" s="7"/>
      <c r="B480" s="7"/>
      <c r="C480" s="7"/>
    </row>
    <row r="481" spans="1:3" ht="12.5" x14ac:dyDescent="0.25">
      <c r="A481" s="7"/>
      <c r="B481" s="10"/>
      <c r="C481" s="10"/>
    </row>
    <row r="482" spans="1:3" ht="12.5" x14ac:dyDescent="0.25">
      <c r="A482" s="7"/>
      <c r="B482" s="7"/>
      <c r="C482" s="7"/>
    </row>
    <row r="483" spans="1:3" ht="12.5" x14ac:dyDescent="0.25">
      <c r="A483" s="7"/>
      <c r="B483" s="10"/>
      <c r="C483" s="10"/>
    </row>
    <row r="484" spans="1:3" ht="12.5" x14ac:dyDescent="0.25">
      <c r="A484" s="7"/>
      <c r="B484" s="7"/>
      <c r="C484" s="7"/>
    </row>
    <row r="485" spans="1:3" ht="12.5" x14ac:dyDescent="0.25">
      <c r="A485" s="7"/>
      <c r="B485" s="10"/>
      <c r="C485" s="10"/>
    </row>
    <row r="486" spans="1:3" ht="12.5" x14ac:dyDescent="0.25">
      <c r="A486" s="7"/>
      <c r="B486" s="7"/>
      <c r="C486" s="7"/>
    </row>
    <row r="487" spans="1:3" ht="12.5" x14ac:dyDescent="0.25">
      <c r="A487" s="7"/>
      <c r="B487" s="10"/>
      <c r="C487" s="10"/>
    </row>
    <row r="488" spans="1:3" ht="12.5" x14ac:dyDescent="0.25">
      <c r="A488" s="7"/>
      <c r="B488" s="7"/>
      <c r="C488" s="7"/>
    </row>
    <row r="489" spans="1:3" ht="12.5" x14ac:dyDescent="0.25">
      <c r="A489" s="7"/>
      <c r="B489" s="10"/>
      <c r="C489" s="10"/>
    </row>
    <row r="490" spans="1:3" ht="12.5" x14ac:dyDescent="0.25">
      <c r="A490" s="7"/>
      <c r="B490" s="7"/>
      <c r="C490" s="7"/>
    </row>
    <row r="491" spans="1:3" ht="12.5" x14ac:dyDescent="0.25">
      <c r="A491" s="7"/>
      <c r="B491" s="10"/>
      <c r="C491" s="10"/>
    </row>
    <row r="492" spans="1:3" ht="12.5" x14ac:dyDescent="0.25">
      <c r="A492" s="7"/>
      <c r="B492" s="7"/>
      <c r="C492" s="7"/>
    </row>
    <row r="493" spans="1:3" ht="12.5" x14ac:dyDescent="0.25">
      <c r="A493" s="7"/>
      <c r="B493" s="10"/>
      <c r="C493" s="10"/>
    </row>
    <row r="494" spans="1:3" ht="12.5" x14ac:dyDescent="0.25">
      <c r="A494" s="7"/>
      <c r="B494" s="7"/>
      <c r="C494" s="7"/>
    </row>
    <row r="495" spans="1:3" ht="12.5" x14ac:dyDescent="0.25">
      <c r="A495" s="7"/>
      <c r="B495" s="10"/>
      <c r="C495" s="10"/>
    </row>
    <row r="496" spans="1:3" ht="12.5" x14ac:dyDescent="0.25">
      <c r="A496" s="7"/>
      <c r="B496" s="7"/>
      <c r="C496" s="7"/>
    </row>
    <row r="497" spans="1:3" ht="12.5" x14ac:dyDescent="0.25">
      <c r="A497" s="7"/>
      <c r="B497" s="10"/>
      <c r="C497" s="10"/>
    </row>
    <row r="498" spans="1:3" ht="12.5" x14ac:dyDescent="0.25">
      <c r="A498" s="7"/>
      <c r="B498" s="7"/>
      <c r="C498" s="7"/>
    </row>
    <row r="499" spans="1:3" ht="12.5" x14ac:dyDescent="0.25">
      <c r="A499" s="7"/>
      <c r="B499" s="10"/>
      <c r="C499" s="10"/>
    </row>
    <row r="500" spans="1:3" ht="12.5" x14ac:dyDescent="0.25">
      <c r="A500" s="7"/>
      <c r="B500" s="7"/>
      <c r="C500" s="7"/>
    </row>
    <row r="501" spans="1:3" ht="12.5" x14ac:dyDescent="0.25">
      <c r="A501" s="7"/>
      <c r="B501" s="10"/>
      <c r="C501" s="10"/>
    </row>
    <row r="502" spans="1:3" ht="12.5" x14ac:dyDescent="0.25">
      <c r="A502" s="7"/>
      <c r="B502" s="7"/>
      <c r="C502" s="7"/>
    </row>
    <row r="503" spans="1:3" ht="12.5" x14ac:dyDescent="0.25">
      <c r="A503" s="7"/>
      <c r="B503" s="10"/>
      <c r="C503" s="10"/>
    </row>
    <row r="504" spans="1:3" ht="12.5" x14ac:dyDescent="0.25">
      <c r="A504" s="7"/>
      <c r="B504" s="7"/>
      <c r="C504" s="7"/>
    </row>
    <row r="505" spans="1:3" ht="12.5" x14ac:dyDescent="0.25">
      <c r="A505" s="7"/>
      <c r="B505" s="10"/>
      <c r="C505" s="10"/>
    </row>
    <row r="506" spans="1:3" ht="12.5" x14ac:dyDescent="0.25">
      <c r="A506" s="7"/>
      <c r="B506" s="7"/>
      <c r="C506" s="7"/>
    </row>
    <row r="507" spans="1:3" ht="12.5" x14ac:dyDescent="0.25">
      <c r="A507" s="7"/>
      <c r="B507" s="10"/>
      <c r="C507" s="10"/>
    </row>
    <row r="508" spans="1:3" ht="12.5" x14ac:dyDescent="0.25">
      <c r="A508" s="7"/>
      <c r="B508" s="7"/>
      <c r="C508" s="7"/>
    </row>
    <row r="509" spans="1:3" ht="12.5" x14ac:dyDescent="0.25">
      <c r="A509" s="7"/>
      <c r="B509" s="10"/>
      <c r="C509" s="10"/>
    </row>
    <row r="510" spans="1:3" ht="12.5" x14ac:dyDescent="0.25">
      <c r="A510" s="7"/>
      <c r="B510" s="7"/>
      <c r="C510" s="7"/>
    </row>
    <row r="511" spans="1:3" ht="12.5" x14ac:dyDescent="0.25">
      <c r="A511" s="7"/>
      <c r="B511" s="10"/>
      <c r="C511" s="10"/>
    </row>
    <row r="512" spans="1:3" ht="12.5" x14ac:dyDescent="0.25">
      <c r="A512" s="7"/>
      <c r="B512" s="7"/>
      <c r="C512" s="7"/>
    </row>
    <row r="513" spans="1:3" ht="12.5" x14ac:dyDescent="0.25">
      <c r="A513" s="7"/>
      <c r="B513" s="10"/>
      <c r="C513" s="10"/>
    </row>
    <row r="514" spans="1:3" ht="12.5" x14ac:dyDescent="0.25">
      <c r="A514" s="7"/>
      <c r="B514" s="7"/>
      <c r="C514" s="7"/>
    </row>
    <row r="515" spans="1:3" ht="12.5" x14ac:dyDescent="0.25">
      <c r="A515" s="7"/>
      <c r="B515" s="10"/>
      <c r="C515" s="10"/>
    </row>
    <row r="516" spans="1:3" ht="12.5" x14ac:dyDescent="0.25">
      <c r="A516" s="7"/>
      <c r="B516" s="7"/>
      <c r="C516" s="7"/>
    </row>
    <row r="517" spans="1:3" ht="12.5" x14ac:dyDescent="0.25">
      <c r="A517" s="7"/>
      <c r="B517" s="10"/>
      <c r="C517" s="10"/>
    </row>
    <row r="518" spans="1:3" ht="12.5" x14ac:dyDescent="0.25">
      <c r="A518" s="7"/>
      <c r="B518" s="7"/>
      <c r="C518" s="7"/>
    </row>
    <row r="519" spans="1:3" ht="12.5" x14ac:dyDescent="0.25">
      <c r="A519" s="7"/>
      <c r="B519" s="10"/>
      <c r="C519" s="10"/>
    </row>
    <row r="520" spans="1:3" ht="12.5" x14ac:dyDescent="0.25">
      <c r="A520" s="7"/>
      <c r="B520" s="7"/>
      <c r="C520" s="7"/>
    </row>
    <row r="521" spans="1:3" ht="12.5" x14ac:dyDescent="0.25">
      <c r="A521" s="7"/>
      <c r="B521" s="10"/>
      <c r="C521" s="10"/>
    </row>
    <row r="522" spans="1:3" ht="12.5" x14ac:dyDescent="0.25">
      <c r="A522" s="7"/>
      <c r="B522" s="7"/>
      <c r="C522" s="7"/>
    </row>
    <row r="523" spans="1:3" ht="12.5" x14ac:dyDescent="0.25">
      <c r="A523" s="7"/>
      <c r="B523" s="10"/>
      <c r="C523" s="10"/>
    </row>
    <row r="524" spans="1:3" ht="12.5" x14ac:dyDescent="0.25">
      <c r="A524" s="7"/>
      <c r="B524" s="7"/>
      <c r="C524" s="7"/>
    </row>
    <row r="525" spans="1:3" ht="12.5" x14ac:dyDescent="0.25">
      <c r="A525" s="7"/>
      <c r="B525" s="10"/>
      <c r="C525" s="10"/>
    </row>
    <row r="526" spans="1:3" ht="12.5" x14ac:dyDescent="0.25">
      <c r="A526" s="7"/>
      <c r="B526" s="7"/>
      <c r="C526" s="7"/>
    </row>
    <row r="527" spans="1:3" ht="12.5" x14ac:dyDescent="0.25">
      <c r="A527" s="7"/>
      <c r="B527" s="10"/>
      <c r="C527" s="10"/>
    </row>
    <row r="528" spans="1:3" ht="12.5" x14ac:dyDescent="0.25">
      <c r="A528" s="7"/>
      <c r="B528" s="7"/>
      <c r="C528" s="7"/>
    </row>
    <row r="529" spans="1:3" ht="12.5" x14ac:dyDescent="0.25">
      <c r="A529" s="7"/>
      <c r="B529" s="10"/>
      <c r="C529" s="10"/>
    </row>
    <row r="530" spans="1:3" ht="12.5" x14ac:dyDescent="0.25">
      <c r="A530" s="7"/>
      <c r="B530" s="7"/>
      <c r="C530" s="7"/>
    </row>
    <row r="531" spans="1:3" ht="12.5" x14ac:dyDescent="0.25">
      <c r="A531" s="7"/>
      <c r="B531" s="10"/>
      <c r="C531" s="10"/>
    </row>
    <row r="532" spans="1:3" ht="12.5" x14ac:dyDescent="0.25">
      <c r="A532" s="7"/>
      <c r="B532" s="7"/>
      <c r="C532" s="7"/>
    </row>
    <row r="533" spans="1:3" ht="12.5" x14ac:dyDescent="0.25">
      <c r="A533" s="7"/>
      <c r="B533" s="10"/>
      <c r="C533" s="10"/>
    </row>
    <row r="534" spans="1:3" ht="12.5" x14ac:dyDescent="0.25">
      <c r="A534" s="7"/>
      <c r="B534" s="7"/>
      <c r="C534" s="7"/>
    </row>
    <row r="535" spans="1:3" ht="12.5" x14ac:dyDescent="0.25">
      <c r="A535" s="7"/>
      <c r="B535" s="10"/>
      <c r="C535" s="10"/>
    </row>
    <row r="536" spans="1:3" ht="12.5" x14ac:dyDescent="0.25">
      <c r="A536" s="7"/>
      <c r="B536" s="7"/>
      <c r="C536" s="7"/>
    </row>
    <row r="537" spans="1:3" ht="12.5" x14ac:dyDescent="0.25">
      <c r="A537" s="7"/>
      <c r="B537" s="10"/>
      <c r="C537" s="10"/>
    </row>
    <row r="538" spans="1:3" ht="12.5" x14ac:dyDescent="0.25">
      <c r="A538" s="7"/>
      <c r="B538" s="7"/>
      <c r="C538" s="7"/>
    </row>
    <row r="539" spans="1:3" ht="12.5" x14ac:dyDescent="0.25">
      <c r="A539" s="7"/>
      <c r="B539" s="10"/>
      <c r="C539" s="10"/>
    </row>
    <row r="540" spans="1:3" ht="12.5" x14ac:dyDescent="0.25">
      <c r="A540" s="7"/>
      <c r="B540" s="7"/>
      <c r="C540" s="7"/>
    </row>
    <row r="541" spans="1:3" ht="12.5" x14ac:dyDescent="0.25">
      <c r="A541" s="7"/>
      <c r="B541" s="10"/>
      <c r="C541" s="10"/>
    </row>
    <row r="542" spans="1:3" ht="12.5" x14ac:dyDescent="0.25">
      <c r="A542" s="7"/>
      <c r="B542" s="7"/>
      <c r="C542" s="7"/>
    </row>
    <row r="543" spans="1:3" ht="12.5" x14ac:dyDescent="0.25">
      <c r="A543" s="7"/>
      <c r="B543" s="10"/>
      <c r="C543" s="10"/>
    </row>
    <row r="544" spans="1:3" ht="12.5" x14ac:dyDescent="0.25">
      <c r="A544" s="7"/>
      <c r="B544" s="7"/>
      <c r="C544" s="7"/>
    </row>
    <row r="545" spans="1:3" ht="12.5" x14ac:dyDescent="0.25">
      <c r="A545" s="7"/>
      <c r="B545" s="10"/>
      <c r="C545" s="10"/>
    </row>
    <row r="546" spans="1:3" ht="12.5" x14ac:dyDescent="0.25">
      <c r="A546" s="7"/>
      <c r="B546" s="7"/>
      <c r="C546" s="7"/>
    </row>
    <row r="547" spans="1:3" ht="12.5" x14ac:dyDescent="0.25">
      <c r="A547" s="7"/>
      <c r="B547" s="10"/>
      <c r="C547" s="10"/>
    </row>
    <row r="548" spans="1:3" ht="12.5" x14ac:dyDescent="0.25">
      <c r="A548" s="7"/>
      <c r="B548" s="7"/>
      <c r="C548" s="7"/>
    </row>
    <row r="549" spans="1:3" ht="12.5" x14ac:dyDescent="0.25">
      <c r="A549" s="7"/>
      <c r="B549" s="10"/>
      <c r="C549" s="10"/>
    </row>
    <row r="550" spans="1:3" ht="12.5" x14ac:dyDescent="0.25">
      <c r="A550" s="7"/>
      <c r="B550" s="7"/>
      <c r="C550" s="7"/>
    </row>
    <row r="551" spans="1:3" ht="12.5" x14ac:dyDescent="0.25">
      <c r="A551" s="7"/>
      <c r="B551" s="10"/>
      <c r="C551" s="10"/>
    </row>
    <row r="552" spans="1:3" ht="12.5" x14ac:dyDescent="0.25">
      <c r="A552" s="7"/>
      <c r="B552" s="7"/>
      <c r="C552" s="7"/>
    </row>
    <row r="553" spans="1:3" ht="12.5" x14ac:dyDescent="0.25">
      <c r="A553" s="7"/>
      <c r="B553" s="10"/>
      <c r="C553" s="10"/>
    </row>
    <row r="554" spans="1:3" ht="12.5" x14ac:dyDescent="0.25">
      <c r="A554" s="7"/>
      <c r="B554" s="7"/>
      <c r="C554" s="7"/>
    </row>
    <row r="555" spans="1:3" ht="12.5" x14ac:dyDescent="0.25">
      <c r="A555" s="7"/>
      <c r="B555" s="10"/>
      <c r="C555" s="10"/>
    </row>
    <row r="556" spans="1:3" ht="12.5" x14ac:dyDescent="0.25">
      <c r="A556" s="7"/>
      <c r="B556" s="7"/>
      <c r="C556" s="7"/>
    </row>
    <row r="557" spans="1:3" ht="12.5" x14ac:dyDescent="0.25">
      <c r="A557" s="7"/>
      <c r="B557" s="10"/>
      <c r="C557" s="10"/>
    </row>
    <row r="558" spans="1:3" ht="12.5" x14ac:dyDescent="0.25">
      <c r="A558" s="7"/>
      <c r="B558" s="7"/>
      <c r="C558" s="7"/>
    </row>
    <row r="559" spans="1:3" ht="12.5" x14ac:dyDescent="0.25">
      <c r="A559" s="7"/>
      <c r="B559" s="10"/>
      <c r="C559" s="10"/>
    </row>
    <row r="560" spans="1:3" ht="12.5" x14ac:dyDescent="0.25">
      <c r="A560" s="7"/>
      <c r="B560" s="7"/>
      <c r="C560" s="7"/>
    </row>
    <row r="561" spans="1:3" ht="12.5" x14ac:dyDescent="0.25">
      <c r="A561" s="7"/>
      <c r="B561" s="10"/>
      <c r="C561" s="10"/>
    </row>
    <row r="562" spans="1:3" ht="12.5" x14ac:dyDescent="0.25">
      <c r="A562" s="7"/>
      <c r="B562" s="7"/>
      <c r="C562" s="7"/>
    </row>
    <row r="563" spans="1:3" ht="12.5" x14ac:dyDescent="0.25">
      <c r="A563" s="7"/>
      <c r="B563" s="10"/>
      <c r="C563" s="10"/>
    </row>
    <row r="564" spans="1:3" ht="12.5" x14ac:dyDescent="0.25">
      <c r="A564" s="7"/>
      <c r="B564" s="7"/>
      <c r="C564" s="7"/>
    </row>
    <row r="565" spans="1:3" ht="12.5" x14ac:dyDescent="0.25">
      <c r="A565" s="7"/>
      <c r="B565" s="10"/>
      <c r="C565" s="10"/>
    </row>
    <row r="566" spans="1:3" ht="12.5" x14ac:dyDescent="0.25">
      <c r="A566" s="7"/>
      <c r="B566" s="7"/>
      <c r="C566" s="7"/>
    </row>
    <row r="567" spans="1:3" ht="12.5" x14ac:dyDescent="0.25">
      <c r="A567" s="7"/>
      <c r="B567" s="10"/>
      <c r="C567" s="10"/>
    </row>
    <row r="568" spans="1:3" ht="12.5" x14ac:dyDescent="0.25">
      <c r="A568" s="7"/>
      <c r="B568" s="7"/>
      <c r="C568" s="7"/>
    </row>
    <row r="569" spans="1:3" ht="12.5" x14ac:dyDescent="0.25">
      <c r="A569" s="7"/>
      <c r="B569" s="10"/>
      <c r="C569" s="10"/>
    </row>
    <row r="570" spans="1:3" ht="12.5" x14ac:dyDescent="0.25">
      <c r="A570" s="7"/>
      <c r="B570" s="7"/>
      <c r="C570" s="7"/>
    </row>
    <row r="571" spans="1:3" ht="12.5" x14ac:dyDescent="0.25">
      <c r="A571" s="7"/>
      <c r="B571" s="10"/>
      <c r="C571" s="10"/>
    </row>
    <row r="572" spans="1:3" ht="12.5" x14ac:dyDescent="0.25">
      <c r="A572" s="7"/>
      <c r="B572" s="7"/>
      <c r="C572" s="7"/>
    </row>
    <row r="573" spans="1:3" ht="12.5" x14ac:dyDescent="0.25">
      <c r="A573" s="7"/>
      <c r="B573" s="10"/>
      <c r="C573" s="10"/>
    </row>
    <row r="574" spans="1:3" ht="12.5" x14ac:dyDescent="0.25">
      <c r="A574" s="7"/>
      <c r="B574" s="7"/>
      <c r="C574" s="7"/>
    </row>
    <row r="575" spans="1:3" ht="12.5" x14ac:dyDescent="0.25">
      <c r="A575" s="7"/>
      <c r="B575" s="10"/>
      <c r="C575" s="10"/>
    </row>
    <row r="576" spans="1:3" ht="12.5" x14ac:dyDescent="0.25">
      <c r="A576" s="7"/>
      <c r="B576" s="7"/>
      <c r="C576" s="7"/>
    </row>
    <row r="577" spans="1:3" ht="12.5" x14ac:dyDescent="0.25">
      <c r="A577" s="7"/>
      <c r="B577" s="10"/>
      <c r="C577" s="10"/>
    </row>
    <row r="578" spans="1:3" ht="12.5" x14ac:dyDescent="0.25">
      <c r="A578" s="7"/>
      <c r="B578" s="7"/>
      <c r="C578" s="7"/>
    </row>
    <row r="579" spans="1:3" ht="12.5" x14ac:dyDescent="0.25">
      <c r="A579" s="7"/>
      <c r="B579" s="10"/>
      <c r="C579" s="10"/>
    </row>
    <row r="580" spans="1:3" ht="12.5" x14ac:dyDescent="0.25">
      <c r="A580" s="7"/>
      <c r="B580" s="7"/>
      <c r="C580" s="7"/>
    </row>
    <row r="581" spans="1:3" ht="12.5" x14ac:dyDescent="0.25">
      <c r="A581" s="7"/>
      <c r="B581" s="10"/>
      <c r="C581" s="10"/>
    </row>
    <row r="582" spans="1:3" ht="12.5" x14ac:dyDescent="0.25">
      <c r="A582" s="7"/>
      <c r="B582" s="7"/>
      <c r="C582" s="7"/>
    </row>
    <row r="583" spans="1:3" ht="12.5" x14ac:dyDescent="0.25">
      <c r="A583" s="7"/>
      <c r="B583" s="10"/>
      <c r="C583" s="10"/>
    </row>
    <row r="584" spans="1:3" ht="12.5" x14ac:dyDescent="0.25">
      <c r="A584" s="7"/>
      <c r="B584" s="7"/>
      <c r="C584" s="7"/>
    </row>
    <row r="585" spans="1:3" ht="12.5" x14ac:dyDescent="0.25">
      <c r="A585" s="7"/>
      <c r="B585" s="10"/>
      <c r="C585" s="10"/>
    </row>
    <row r="586" spans="1:3" ht="12.5" x14ac:dyDescent="0.25">
      <c r="A586" s="7"/>
      <c r="B586" s="7"/>
      <c r="C586" s="7"/>
    </row>
    <row r="587" spans="1:3" ht="12.5" x14ac:dyDescent="0.25">
      <c r="A587" s="7"/>
      <c r="B587" s="10"/>
      <c r="C587" s="10"/>
    </row>
    <row r="588" spans="1:3" ht="12.5" x14ac:dyDescent="0.25">
      <c r="A588" s="7"/>
      <c r="B588" s="7"/>
      <c r="C588" s="7"/>
    </row>
    <row r="589" spans="1:3" ht="12.5" x14ac:dyDescent="0.25">
      <c r="A589" s="7"/>
      <c r="B589" s="10"/>
      <c r="C589" s="10"/>
    </row>
    <row r="590" spans="1:3" ht="12.5" x14ac:dyDescent="0.25">
      <c r="A590" s="7"/>
      <c r="B590" s="7"/>
      <c r="C590" s="7"/>
    </row>
    <row r="591" spans="1:3" ht="12.5" x14ac:dyDescent="0.25">
      <c r="A591" s="7"/>
      <c r="B591" s="10"/>
      <c r="C591" s="10"/>
    </row>
    <row r="592" spans="1:3" ht="12.5" x14ac:dyDescent="0.25">
      <c r="A592" s="7"/>
      <c r="B592" s="7"/>
      <c r="C592" s="7"/>
    </row>
    <row r="593" spans="1:3" ht="12.5" x14ac:dyDescent="0.25">
      <c r="A593" s="7"/>
      <c r="B593" s="10"/>
      <c r="C593" s="10"/>
    </row>
    <row r="594" spans="1:3" ht="12.5" x14ac:dyDescent="0.25">
      <c r="A594" s="7"/>
      <c r="B594" s="7"/>
      <c r="C594" s="7"/>
    </row>
    <row r="595" spans="1:3" ht="12.5" x14ac:dyDescent="0.25">
      <c r="A595" s="7"/>
      <c r="B595" s="10"/>
      <c r="C595" s="10"/>
    </row>
    <row r="596" spans="1:3" ht="12.5" x14ac:dyDescent="0.25">
      <c r="A596" s="7"/>
      <c r="B596" s="7"/>
      <c r="C596" s="7"/>
    </row>
    <row r="597" spans="1:3" ht="12.5" x14ac:dyDescent="0.25">
      <c r="A597" s="7"/>
      <c r="B597" s="10"/>
      <c r="C597" s="10"/>
    </row>
    <row r="598" spans="1:3" ht="12.5" x14ac:dyDescent="0.25">
      <c r="A598" s="7"/>
      <c r="B598" s="7"/>
      <c r="C598" s="7"/>
    </row>
    <row r="599" spans="1:3" ht="12.5" x14ac:dyDescent="0.25">
      <c r="A599" s="7"/>
      <c r="B599" s="10"/>
      <c r="C599" s="10"/>
    </row>
    <row r="600" spans="1:3" ht="12.5" x14ac:dyDescent="0.25">
      <c r="A600" s="7"/>
      <c r="B600" s="7"/>
      <c r="C600" s="7"/>
    </row>
    <row r="601" spans="1:3" ht="12.5" x14ac:dyDescent="0.25">
      <c r="A601" s="7"/>
      <c r="B601" s="10"/>
      <c r="C601" s="10"/>
    </row>
    <row r="602" spans="1:3" ht="12.5" x14ac:dyDescent="0.25">
      <c r="A602" s="7"/>
      <c r="B602" s="7"/>
      <c r="C602" s="7"/>
    </row>
    <row r="603" spans="1:3" ht="12.5" x14ac:dyDescent="0.25">
      <c r="A603" s="7"/>
      <c r="B603" s="10"/>
      <c r="C603" s="10"/>
    </row>
    <row r="604" spans="1:3" ht="12.5" x14ac:dyDescent="0.25">
      <c r="A604" s="7"/>
      <c r="B604" s="7"/>
      <c r="C604" s="7"/>
    </row>
    <row r="605" spans="1:3" ht="12.5" x14ac:dyDescent="0.25">
      <c r="A605" s="7"/>
      <c r="B605" s="10"/>
      <c r="C605" s="10"/>
    </row>
    <row r="606" spans="1:3" ht="12.5" x14ac:dyDescent="0.25">
      <c r="A606" s="7"/>
      <c r="B606" s="7"/>
      <c r="C606" s="7"/>
    </row>
    <row r="607" spans="1:3" ht="12.5" x14ac:dyDescent="0.25">
      <c r="A607" s="7"/>
      <c r="B607" s="10"/>
      <c r="C607" s="10"/>
    </row>
    <row r="608" spans="1:3" ht="12.5" x14ac:dyDescent="0.25">
      <c r="A608" s="7"/>
      <c r="B608" s="7"/>
      <c r="C608" s="7"/>
    </row>
    <row r="609" spans="1:3" ht="12.5" x14ac:dyDescent="0.25">
      <c r="A609" s="7"/>
      <c r="B609" s="10"/>
      <c r="C609" s="10"/>
    </row>
    <row r="610" spans="1:3" ht="12.5" x14ac:dyDescent="0.25">
      <c r="A610" s="7"/>
      <c r="B610" s="7"/>
      <c r="C610" s="7"/>
    </row>
    <row r="611" spans="1:3" ht="12.5" x14ac:dyDescent="0.25">
      <c r="A611" s="7"/>
      <c r="B611" s="10"/>
      <c r="C611" s="10"/>
    </row>
    <row r="612" spans="1:3" ht="12.5" x14ac:dyDescent="0.25">
      <c r="A612" s="7"/>
      <c r="B612" s="7"/>
      <c r="C612" s="7"/>
    </row>
    <row r="613" spans="1:3" ht="12.5" x14ac:dyDescent="0.25">
      <c r="A613" s="7"/>
      <c r="B613" s="10"/>
      <c r="C613" s="10"/>
    </row>
    <row r="614" spans="1:3" ht="12.5" x14ac:dyDescent="0.25">
      <c r="A614" s="7"/>
      <c r="B614" s="7"/>
      <c r="C614" s="7"/>
    </row>
    <row r="615" spans="1:3" ht="12.5" x14ac:dyDescent="0.25">
      <c r="A615" s="7"/>
      <c r="B615" s="10"/>
      <c r="C615" s="10"/>
    </row>
    <row r="616" spans="1:3" ht="12.5" x14ac:dyDescent="0.25">
      <c r="A616" s="7"/>
      <c r="B616" s="7"/>
      <c r="C616" s="7"/>
    </row>
    <row r="617" spans="1:3" ht="12.5" x14ac:dyDescent="0.25">
      <c r="A617" s="7"/>
      <c r="B617" s="10"/>
      <c r="C617" s="10"/>
    </row>
    <row r="618" spans="1:3" ht="12.5" x14ac:dyDescent="0.25">
      <c r="A618" s="7"/>
      <c r="B618" s="7"/>
      <c r="C618" s="7"/>
    </row>
    <row r="619" spans="1:3" ht="12.5" x14ac:dyDescent="0.25">
      <c r="A619" s="7"/>
      <c r="B619" s="10"/>
      <c r="C619" s="10"/>
    </row>
    <row r="620" spans="1:3" ht="12.5" x14ac:dyDescent="0.25">
      <c r="A620" s="7"/>
      <c r="B620" s="7"/>
      <c r="C620" s="7"/>
    </row>
    <row r="621" spans="1:3" ht="12.5" x14ac:dyDescent="0.25">
      <c r="A621" s="7"/>
      <c r="B621" s="10"/>
      <c r="C621" s="10"/>
    </row>
    <row r="622" spans="1:3" ht="12.5" x14ac:dyDescent="0.25">
      <c r="A622" s="7"/>
      <c r="B622" s="7"/>
      <c r="C622" s="7"/>
    </row>
    <row r="623" spans="1:3" ht="12.5" x14ac:dyDescent="0.25">
      <c r="A623" s="7"/>
      <c r="B623" s="10"/>
      <c r="C623" s="10"/>
    </row>
    <row r="624" spans="1:3" ht="12.5" x14ac:dyDescent="0.25">
      <c r="A624" s="7"/>
      <c r="B624" s="7"/>
      <c r="C624" s="7"/>
    </row>
    <row r="625" spans="1:3" ht="12.5" x14ac:dyDescent="0.25">
      <c r="A625" s="7"/>
      <c r="B625" s="10"/>
      <c r="C625" s="10"/>
    </row>
    <row r="626" spans="1:3" ht="12.5" x14ac:dyDescent="0.25">
      <c r="A626" s="7"/>
      <c r="B626" s="7"/>
      <c r="C626" s="7"/>
    </row>
    <row r="627" spans="1:3" ht="12.5" x14ac:dyDescent="0.25">
      <c r="A627" s="7"/>
      <c r="B627" s="10"/>
      <c r="C627" s="10"/>
    </row>
    <row r="628" spans="1:3" ht="12.5" x14ac:dyDescent="0.25">
      <c r="A628" s="7"/>
      <c r="B628" s="7"/>
      <c r="C628" s="7"/>
    </row>
    <row r="629" spans="1:3" ht="12.5" x14ac:dyDescent="0.25">
      <c r="A629" s="7"/>
      <c r="B629" s="10"/>
      <c r="C629" s="10"/>
    </row>
    <row r="630" spans="1:3" ht="12.5" x14ac:dyDescent="0.25">
      <c r="A630" s="7"/>
      <c r="B630" s="7"/>
      <c r="C630" s="7"/>
    </row>
    <row r="631" spans="1:3" ht="12.5" x14ac:dyDescent="0.25">
      <c r="A631" s="7"/>
      <c r="B631" s="10"/>
      <c r="C631" s="10"/>
    </row>
    <row r="632" spans="1:3" ht="12.5" x14ac:dyDescent="0.25">
      <c r="A632" s="7"/>
      <c r="B632" s="7"/>
      <c r="C632" s="7"/>
    </row>
    <row r="633" spans="1:3" ht="12.5" x14ac:dyDescent="0.25">
      <c r="A633" s="7"/>
      <c r="B633" s="10"/>
      <c r="C633" s="10"/>
    </row>
    <row r="634" spans="1:3" ht="12.5" x14ac:dyDescent="0.25">
      <c r="A634" s="7"/>
      <c r="B634" s="7"/>
      <c r="C634" s="7"/>
    </row>
    <row r="635" spans="1:3" ht="12.5" x14ac:dyDescent="0.25">
      <c r="A635" s="7"/>
      <c r="B635" s="10"/>
      <c r="C635" s="10"/>
    </row>
    <row r="636" spans="1:3" ht="12.5" x14ac:dyDescent="0.25">
      <c r="A636" s="7"/>
      <c r="B636" s="7"/>
      <c r="C636" s="7"/>
    </row>
    <row r="637" spans="1:3" ht="12.5" x14ac:dyDescent="0.25">
      <c r="A637" s="7"/>
      <c r="B637" s="10"/>
      <c r="C637" s="10"/>
    </row>
    <row r="638" spans="1:3" ht="12.5" x14ac:dyDescent="0.25">
      <c r="A638" s="7"/>
      <c r="B638" s="7"/>
      <c r="C638" s="7"/>
    </row>
    <row r="639" spans="1:3" ht="12.5" x14ac:dyDescent="0.25">
      <c r="A639" s="7"/>
      <c r="B639" s="10"/>
      <c r="C639" s="10"/>
    </row>
    <row r="640" spans="1:3" ht="12.5" x14ac:dyDescent="0.25">
      <c r="A640" s="7"/>
      <c r="B640" s="7"/>
      <c r="C640" s="7"/>
    </row>
    <row r="641" spans="1:3" ht="12.5" x14ac:dyDescent="0.25">
      <c r="A641" s="7"/>
      <c r="B641" s="10"/>
      <c r="C641" s="10"/>
    </row>
    <row r="642" spans="1:3" ht="12.5" x14ac:dyDescent="0.25">
      <c r="A642" s="7"/>
      <c r="B642" s="7"/>
      <c r="C642" s="7"/>
    </row>
    <row r="643" spans="1:3" ht="12.5" x14ac:dyDescent="0.25">
      <c r="A643" s="7"/>
      <c r="B643" s="10"/>
      <c r="C643" s="10"/>
    </row>
    <row r="644" spans="1:3" ht="12.5" x14ac:dyDescent="0.25">
      <c r="A644" s="7"/>
      <c r="B644" s="7"/>
      <c r="C644" s="7"/>
    </row>
    <row r="645" spans="1:3" ht="12.5" x14ac:dyDescent="0.25">
      <c r="A645" s="7"/>
      <c r="B645" s="10"/>
      <c r="C645" s="10"/>
    </row>
    <row r="646" spans="1:3" ht="12.5" x14ac:dyDescent="0.25">
      <c r="A646" s="7"/>
      <c r="B646" s="7"/>
      <c r="C646" s="7"/>
    </row>
    <row r="647" spans="1:3" ht="12.5" x14ac:dyDescent="0.25">
      <c r="A647" s="7"/>
      <c r="B647" s="10"/>
      <c r="C647" s="10"/>
    </row>
    <row r="648" spans="1:3" ht="12.5" x14ac:dyDescent="0.25">
      <c r="A648" s="7"/>
      <c r="B648" s="7"/>
      <c r="C648" s="7"/>
    </row>
    <row r="649" spans="1:3" ht="12.5" x14ac:dyDescent="0.25">
      <c r="A649" s="7"/>
      <c r="B649" s="10"/>
      <c r="C649" s="10"/>
    </row>
    <row r="650" spans="1:3" ht="12.5" x14ac:dyDescent="0.25">
      <c r="A650" s="7"/>
      <c r="B650" s="7"/>
      <c r="C650" s="7"/>
    </row>
    <row r="651" spans="1:3" ht="12.5" x14ac:dyDescent="0.25">
      <c r="A651" s="7"/>
      <c r="B651" s="10"/>
      <c r="C651" s="10"/>
    </row>
    <row r="652" spans="1:3" ht="12.5" x14ac:dyDescent="0.25">
      <c r="A652" s="7"/>
      <c r="B652" s="7"/>
      <c r="C652" s="7"/>
    </row>
    <row r="653" spans="1:3" ht="12.5" x14ac:dyDescent="0.25">
      <c r="A653" s="7"/>
      <c r="B653" s="10"/>
      <c r="C653" s="10"/>
    </row>
    <row r="654" spans="1:3" ht="12.5" x14ac:dyDescent="0.25">
      <c r="A654" s="7"/>
      <c r="B654" s="7"/>
      <c r="C654" s="7"/>
    </row>
    <row r="655" spans="1:3" ht="12.5" x14ac:dyDescent="0.25">
      <c r="A655" s="7"/>
      <c r="B655" s="10"/>
      <c r="C655" s="10"/>
    </row>
    <row r="656" spans="1:3" ht="12.5" x14ac:dyDescent="0.25">
      <c r="A656" s="7"/>
      <c r="B656" s="7"/>
      <c r="C656" s="7"/>
    </row>
    <row r="657" spans="1:3" ht="12.5" x14ac:dyDescent="0.25">
      <c r="A657" s="7"/>
      <c r="B657" s="10"/>
      <c r="C657" s="10"/>
    </row>
    <row r="658" spans="1:3" ht="12.5" x14ac:dyDescent="0.25">
      <c r="A658" s="7"/>
      <c r="B658" s="7"/>
      <c r="C658" s="7"/>
    </row>
    <row r="659" spans="1:3" ht="12.5" x14ac:dyDescent="0.25">
      <c r="A659" s="7"/>
      <c r="B659" s="10"/>
      <c r="C659" s="10"/>
    </row>
    <row r="660" spans="1:3" ht="12.5" x14ac:dyDescent="0.25">
      <c r="A660" s="7"/>
      <c r="B660" s="7"/>
      <c r="C660" s="7"/>
    </row>
    <row r="661" spans="1:3" ht="12.5" x14ac:dyDescent="0.25">
      <c r="A661" s="7"/>
      <c r="B661" s="10"/>
      <c r="C661" s="10"/>
    </row>
    <row r="662" spans="1:3" ht="12.5" x14ac:dyDescent="0.25">
      <c r="A662" s="7"/>
      <c r="B662" s="7"/>
      <c r="C662" s="7"/>
    </row>
    <row r="663" spans="1:3" ht="12.5" x14ac:dyDescent="0.25">
      <c r="A663" s="7"/>
      <c r="B663" s="10"/>
      <c r="C663" s="10"/>
    </row>
    <row r="664" spans="1:3" ht="12.5" x14ac:dyDescent="0.25">
      <c r="A664" s="7"/>
      <c r="B664" s="7"/>
      <c r="C664" s="7"/>
    </row>
    <row r="665" spans="1:3" ht="12.5" x14ac:dyDescent="0.25">
      <c r="A665" s="7"/>
      <c r="B665" s="10"/>
      <c r="C665" s="10"/>
    </row>
    <row r="666" spans="1:3" ht="12.5" x14ac:dyDescent="0.25">
      <c r="A666" s="7"/>
      <c r="B666" s="7"/>
      <c r="C666" s="7"/>
    </row>
    <row r="667" spans="1:3" ht="12.5" x14ac:dyDescent="0.25">
      <c r="A667" s="7"/>
      <c r="B667" s="10"/>
      <c r="C667" s="10"/>
    </row>
    <row r="668" spans="1:3" ht="12.5" x14ac:dyDescent="0.25">
      <c r="A668" s="7"/>
      <c r="B668" s="7"/>
      <c r="C668" s="7"/>
    </row>
    <row r="669" spans="1:3" ht="12.5" x14ac:dyDescent="0.25">
      <c r="A669" s="7"/>
      <c r="B669" s="8"/>
      <c r="C669" s="8"/>
    </row>
    <row r="670" spans="1:3" ht="12.5" x14ac:dyDescent="0.25">
      <c r="A670" s="7"/>
      <c r="B670" s="5"/>
      <c r="C670" s="5"/>
    </row>
    <row r="671" spans="1:3" ht="12.5" x14ac:dyDescent="0.25">
      <c r="A671" s="7"/>
      <c r="B671" s="8"/>
      <c r="C671" s="8"/>
    </row>
    <row r="672" spans="1:3" ht="12.5" x14ac:dyDescent="0.25">
      <c r="A672" s="7"/>
      <c r="B672" s="5"/>
      <c r="C672" s="5"/>
    </row>
    <row r="673" spans="1:3" ht="12.5" x14ac:dyDescent="0.25">
      <c r="A673" s="7"/>
      <c r="B673" s="8"/>
      <c r="C673" s="8"/>
    </row>
    <row r="674" spans="1:3" ht="12.5" x14ac:dyDescent="0.25">
      <c r="A674" s="7"/>
      <c r="B674" s="5"/>
      <c r="C674" s="5"/>
    </row>
    <row r="675" spans="1:3" ht="12.5" x14ac:dyDescent="0.25">
      <c r="A675" s="7"/>
      <c r="B675" s="8"/>
      <c r="C675" s="8"/>
    </row>
    <row r="676" spans="1:3" ht="12.5" x14ac:dyDescent="0.25">
      <c r="A676" s="7"/>
      <c r="B676" s="5"/>
      <c r="C676" s="5"/>
    </row>
    <row r="677" spans="1:3" ht="12.5" x14ac:dyDescent="0.25">
      <c r="A677" s="7"/>
      <c r="B677" s="8"/>
      <c r="C677" s="8"/>
    </row>
    <row r="678" spans="1:3" ht="12.5" x14ac:dyDescent="0.25">
      <c r="A678" s="7"/>
      <c r="B678" s="5"/>
      <c r="C678" s="5"/>
    </row>
    <row r="679" spans="1:3" ht="12.5" x14ac:dyDescent="0.25">
      <c r="A679" s="7"/>
      <c r="B679" s="8"/>
      <c r="C679" s="8"/>
    </row>
    <row r="680" spans="1:3" ht="12.5" x14ac:dyDescent="0.25">
      <c r="A680" s="7"/>
      <c r="B680" s="5"/>
      <c r="C680" s="5"/>
    </row>
    <row r="681" spans="1:3" ht="12.5" x14ac:dyDescent="0.25">
      <c r="A681" s="7"/>
      <c r="B681" s="10"/>
      <c r="C681" s="10"/>
    </row>
    <row r="682" spans="1:3" ht="12.5" x14ac:dyDescent="0.25">
      <c r="A682" s="7"/>
      <c r="B682" s="7"/>
      <c r="C682" s="7"/>
    </row>
    <row r="683" spans="1:3" ht="12.5" x14ac:dyDescent="0.25">
      <c r="A683" s="7"/>
      <c r="B683" s="10"/>
      <c r="C683" s="10"/>
    </row>
    <row r="684" spans="1:3" ht="12.5" x14ac:dyDescent="0.25">
      <c r="A684" s="7"/>
      <c r="B684" s="7"/>
      <c r="C684" s="7"/>
    </row>
    <row r="685" spans="1:3" ht="12.5" x14ac:dyDescent="0.25">
      <c r="A685" s="7"/>
      <c r="B685" s="10"/>
      <c r="C685" s="10"/>
    </row>
    <row r="686" spans="1:3" ht="12.5" x14ac:dyDescent="0.25">
      <c r="A686" s="7"/>
      <c r="B686" s="7"/>
      <c r="C686" s="7"/>
    </row>
    <row r="687" spans="1:3" ht="12.5" x14ac:dyDescent="0.25">
      <c r="A687" s="7"/>
      <c r="B687" s="10"/>
      <c r="C687" s="10"/>
    </row>
    <row r="688" spans="1:3" ht="12.5" x14ac:dyDescent="0.25">
      <c r="A688" s="7"/>
      <c r="B688" s="7"/>
      <c r="C688" s="7"/>
    </row>
    <row r="689" spans="1:3" ht="12.5" x14ac:dyDescent="0.25">
      <c r="A689" s="7"/>
      <c r="B689" s="10"/>
      <c r="C689" s="10"/>
    </row>
    <row r="690" spans="1:3" ht="12.5" x14ac:dyDescent="0.25">
      <c r="A690" s="7"/>
      <c r="B690" s="7"/>
      <c r="C690" s="7"/>
    </row>
    <row r="691" spans="1:3" ht="12.5" x14ac:dyDescent="0.25">
      <c r="A691" s="7"/>
      <c r="B691" s="10"/>
      <c r="C691" s="10"/>
    </row>
    <row r="692" spans="1:3" ht="12.5" x14ac:dyDescent="0.25">
      <c r="A692" s="7"/>
      <c r="B692" s="7"/>
      <c r="C692" s="7"/>
    </row>
    <row r="693" spans="1:3" ht="12.5" x14ac:dyDescent="0.25">
      <c r="A693" s="7"/>
      <c r="B693" s="10"/>
      <c r="C693" s="10"/>
    </row>
    <row r="694" spans="1:3" ht="12.5" x14ac:dyDescent="0.25">
      <c r="A694" s="7"/>
      <c r="B694" s="7"/>
      <c r="C694" s="7"/>
    </row>
    <row r="695" spans="1:3" ht="12.5" x14ac:dyDescent="0.25">
      <c r="A695" s="7"/>
      <c r="B695" s="10"/>
      <c r="C695" s="10"/>
    </row>
    <row r="696" spans="1:3" ht="12.5" x14ac:dyDescent="0.25">
      <c r="A696" s="7"/>
      <c r="B696" s="7"/>
      <c r="C696" s="7"/>
    </row>
    <row r="697" spans="1:3" ht="12.5" x14ac:dyDescent="0.25">
      <c r="A697" s="7"/>
      <c r="B697" s="10"/>
      <c r="C697" s="10"/>
    </row>
    <row r="698" spans="1:3" ht="12.5" x14ac:dyDescent="0.25">
      <c r="A698" s="7"/>
      <c r="B698" s="7"/>
      <c r="C698" s="7"/>
    </row>
    <row r="699" spans="1:3" ht="12.5" x14ac:dyDescent="0.25">
      <c r="A699" s="7"/>
      <c r="B699" s="10"/>
      <c r="C699" s="10"/>
    </row>
    <row r="700" spans="1:3" ht="12.5" x14ac:dyDescent="0.25">
      <c r="A700" s="7"/>
      <c r="B700" s="7"/>
      <c r="C700" s="7"/>
    </row>
    <row r="701" spans="1:3" ht="12.5" x14ac:dyDescent="0.25">
      <c r="A701" s="7"/>
      <c r="B701" s="10"/>
      <c r="C701" s="10"/>
    </row>
    <row r="702" spans="1:3" ht="12.5" x14ac:dyDescent="0.25">
      <c r="A702" s="7"/>
      <c r="B702" s="7"/>
      <c r="C702" s="7"/>
    </row>
    <row r="703" spans="1:3" ht="12.5" x14ac:dyDescent="0.25">
      <c r="A703" s="7"/>
      <c r="B703" s="10"/>
      <c r="C703" s="10"/>
    </row>
    <row r="704" spans="1:3" ht="12.5" x14ac:dyDescent="0.25">
      <c r="A704" s="7"/>
      <c r="B704" s="7"/>
      <c r="C704" s="7"/>
    </row>
    <row r="705" spans="1:3" ht="12.5" x14ac:dyDescent="0.25">
      <c r="A705" s="7"/>
      <c r="B705" s="10"/>
      <c r="C705" s="10"/>
    </row>
    <row r="706" spans="1:3" ht="12.5" x14ac:dyDescent="0.25">
      <c r="A706" s="7"/>
      <c r="B706" s="7"/>
      <c r="C706" s="7"/>
    </row>
    <row r="707" spans="1:3" ht="12.5" x14ac:dyDescent="0.25">
      <c r="A707" s="7"/>
      <c r="B707" s="10"/>
      <c r="C707" s="10"/>
    </row>
    <row r="708" spans="1:3" ht="12.5" x14ac:dyDescent="0.25">
      <c r="A708" s="7"/>
      <c r="B708" s="7"/>
      <c r="C708" s="7"/>
    </row>
    <row r="709" spans="1:3" ht="12.5" x14ac:dyDescent="0.25">
      <c r="A709" s="7"/>
      <c r="B709" s="10"/>
      <c r="C709" s="10"/>
    </row>
    <row r="710" spans="1:3" ht="12.5" x14ac:dyDescent="0.25">
      <c r="A710" s="7"/>
      <c r="B710" s="7"/>
      <c r="C710" s="7"/>
    </row>
    <row r="711" spans="1:3" ht="12.5" x14ac:dyDescent="0.25">
      <c r="A711" s="7"/>
      <c r="B711" s="10"/>
      <c r="C711" s="10"/>
    </row>
    <row r="712" spans="1:3" ht="12.5" x14ac:dyDescent="0.25">
      <c r="A712" s="7"/>
      <c r="B712" s="7"/>
      <c r="C712" s="7"/>
    </row>
    <row r="713" spans="1:3" ht="12.5" x14ac:dyDescent="0.25">
      <c r="A713" s="7"/>
      <c r="B713" s="10"/>
      <c r="C713" s="10"/>
    </row>
    <row r="714" spans="1:3" ht="12.5" x14ac:dyDescent="0.25">
      <c r="A714" s="7"/>
      <c r="B714" s="7"/>
      <c r="C714" s="7"/>
    </row>
    <row r="715" spans="1:3" ht="12.5" x14ac:dyDescent="0.25">
      <c r="A715" s="7"/>
      <c r="B715" s="10"/>
      <c r="C715" s="10"/>
    </row>
    <row r="716" spans="1:3" ht="12.5" x14ac:dyDescent="0.25">
      <c r="A716" s="7"/>
      <c r="B716" s="7"/>
      <c r="C716" s="7"/>
    </row>
    <row r="717" spans="1:3" ht="12.5" x14ac:dyDescent="0.25">
      <c r="A717" s="7"/>
      <c r="B717" s="10"/>
      <c r="C717" s="10"/>
    </row>
    <row r="718" spans="1:3" ht="12.5" x14ac:dyDescent="0.25">
      <c r="A718" s="7"/>
      <c r="B718" s="7"/>
      <c r="C718" s="7"/>
    </row>
    <row r="719" spans="1:3" ht="12.5" x14ac:dyDescent="0.25">
      <c r="A719" s="7"/>
      <c r="B719" s="10"/>
      <c r="C719" s="10"/>
    </row>
    <row r="720" spans="1:3" ht="12.5" x14ac:dyDescent="0.25">
      <c r="A720" s="7"/>
      <c r="B720" s="7"/>
      <c r="C720" s="7"/>
    </row>
    <row r="721" spans="1:3" ht="12.5" x14ac:dyDescent="0.25">
      <c r="A721" s="7"/>
      <c r="B721" s="10"/>
      <c r="C721" s="10"/>
    </row>
    <row r="722" spans="1:3" ht="12.5" x14ac:dyDescent="0.25">
      <c r="A722" s="7"/>
      <c r="B722" s="7"/>
      <c r="C722" s="7"/>
    </row>
    <row r="723" spans="1:3" ht="12.5" x14ac:dyDescent="0.25">
      <c r="A723" s="7"/>
      <c r="B723" s="10"/>
      <c r="C723" s="10"/>
    </row>
    <row r="724" spans="1:3" ht="12.5" x14ac:dyDescent="0.25">
      <c r="A724" s="7"/>
      <c r="B724" s="7"/>
      <c r="C724" s="7"/>
    </row>
    <row r="725" spans="1:3" ht="12.5" x14ac:dyDescent="0.25">
      <c r="A725" s="7"/>
      <c r="B725" s="10"/>
      <c r="C725" s="10"/>
    </row>
    <row r="726" spans="1:3" ht="12.5" x14ac:dyDescent="0.25">
      <c r="A726" s="7"/>
      <c r="B726" s="7"/>
      <c r="C726" s="7"/>
    </row>
    <row r="727" spans="1:3" ht="12.5" x14ac:dyDescent="0.25">
      <c r="A727" s="7"/>
      <c r="B727" s="10"/>
      <c r="C727" s="10"/>
    </row>
    <row r="728" spans="1:3" ht="12.5" x14ac:dyDescent="0.25">
      <c r="A728" s="7"/>
      <c r="B728" s="7"/>
      <c r="C728" s="7"/>
    </row>
    <row r="729" spans="1:3" ht="12.5" x14ac:dyDescent="0.25">
      <c r="A729" s="7"/>
      <c r="B729" s="10"/>
      <c r="C729" s="10"/>
    </row>
    <row r="730" spans="1:3" ht="12.5" x14ac:dyDescent="0.25">
      <c r="A730" s="7"/>
      <c r="B730" s="7"/>
      <c r="C730" s="7"/>
    </row>
    <row r="731" spans="1:3" ht="12.5" x14ac:dyDescent="0.25">
      <c r="A731" s="7"/>
      <c r="B731" s="10"/>
      <c r="C731" s="10"/>
    </row>
    <row r="732" spans="1:3" ht="12.5" x14ac:dyDescent="0.25">
      <c r="A732" s="7"/>
      <c r="B732" s="7"/>
      <c r="C732" s="7"/>
    </row>
    <row r="733" spans="1:3" ht="12.5" x14ac:dyDescent="0.25">
      <c r="A733" s="7"/>
      <c r="B733" s="10"/>
      <c r="C733" s="10"/>
    </row>
    <row r="734" spans="1:3" ht="12.5" x14ac:dyDescent="0.25">
      <c r="A734" s="7"/>
      <c r="B734" s="7"/>
      <c r="C734" s="7"/>
    </row>
    <row r="735" spans="1:3" ht="12.5" x14ac:dyDescent="0.25">
      <c r="A735" s="7"/>
      <c r="B735" s="10"/>
      <c r="C735" s="10"/>
    </row>
    <row r="736" spans="1:3" ht="12.5" x14ac:dyDescent="0.25">
      <c r="A736" s="7"/>
      <c r="B736" s="7"/>
      <c r="C736" s="7"/>
    </row>
    <row r="737" spans="1:3" ht="12.5" x14ac:dyDescent="0.25">
      <c r="A737" s="7"/>
      <c r="B737" s="10"/>
      <c r="C737" s="10"/>
    </row>
    <row r="738" spans="1:3" ht="12.5" x14ac:dyDescent="0.25">
      <c r="A738" s="7"/>
      <c r="B738" s="7"/>
      <c r="C738" s="7"/>
    </row>
    <row r="739" spans="1:3" ht="12.5" x14ac:dyDescent="0.25">
      <c r="A739" s="7"/>
      <c r="B739" s="10"/>
      <c r="C739" s="10"/>
    </row>
    <row r="740" spans="1:3" ht="12.5" x14ac:dyDescent="0.25">
      <c r="A740" s="7"/>
      <c r="B740" s="7"/>
      <c r="C740" s="7"/>
    </row>
    <row r="741" spans="1:3" ht="12.5" x14ac:dyDescent="0.25">
      <c r="A741" s="7"/>
      <c r="B741" s="10"/>
      <c r="C741" s="10"/>
    </row>
    <row r="742" spans="1:3" ht="12.5" x14ac:dyDescent="0.25">
      <c r="A742" s="7"/>
      <c r="B742" s="7"/>
      <c r="C742" s="7"/>
    </row>
    <row r="743" spans="1:3" ht="12.5" x14ac:dyDescent="0.25">
      <c r="A743" s="7"/>
      <c r="B743" s="10"/>
      <c r="C743" s="10"/>
    </row>
    <row r="744" spans="1:3" ht="12.5" x14ac:dyDescent="0.25">
      <c r="A744" s="7"/>
      <c r="B744" s="7"/>
      <c r="C744" s="7"/>
    </row>
    <row r="745" spans="1:3" ht="12.5" x14ac:dyDescent="0.25">
      <c r="A745" s="7"/>
      <c r="B745" s="10"/>
      <c r="C745" s="10"/>
    </row>
    <row r="746" spans="1:3" ht="12.5" x14ac:dyDescent="0.25">
      <c r="A746" s="7"/>
      <c r="B746" s="7"/>
      <c r="C746" s="7"/>
    </row>
    <row r="747" spans="1:3" ht="12.5" x14ac:dyDescent="0.25">
      <c r="A747" s="7"/>
      <c r="B747" s="10"/>
      <c r="C747" s="10"/>
    </row>
    <row r="748" spans="1:3" ht="12.5" x14ac:dyDescent="0.25">
      <c r="A748" s="7"/>
      <c r="B748" s="7"/>
      <c r="C748" s="7"/>
    </row>
    <row r="749" spans="1:3" ht="12.5" x14ac:dyDescent="0.25">
      <c r="A749" s="7"/>
      <c r="B749" s="10"/>
      <c r="C749" s="10"/>
    </row>
    <row r="750" spans="1:3" ht="12.5" x14ac:dyDescent="0.25">
      <c r="A750" s="7"/>
      <c r="B750" s="7"/>
      <c r="C750" s="7"/>
    </row>
    <row r="751" spans="1:3" ht="12.5" x14ac:dyDescent="0.25">
      <c r="A751" s="7"/>
      <c r="B751" s="10"/>
      <c r="C751" s="10"/>
    </row>
    <row r="752" spans="1:3" ht="12.5" x14ac:dyDescent="0.25">
      <c r="A752" s="7"/>
      <c r="B752" s="7"/>
      <c r="C752" s="7"/>
    </row>
    <row r="753" spans="1:3" ht="12.5" x14ac:dyDescent="0.25">
      <c r="A753" s="7"/>
      <c r="B753" s="10"/>
      <c r="C753" s="10"/>
    </row>
    <row r="754" spans="1:3" ht="12.5" x14ac:dyDescent="0.25">
      <c r="A754" s="7"/>
      <c r="B754" s="7"/>
      <c r="C754" s="7"/>
    </row>
    <row r="755" spans="1:3" ht="12.5" x14ac:dyDescent="0.25">
      <c r="A755" s="7"/>
      <c r="B755" s="10"/>
      <c r="C755" s="10"/>
    </row>
    <row r="756" spans="1:3" ht="12.5" x14ac:dyDescent="0.25">
      <c r="A756" s="7"/>
      <c r="B756" s="7"/>
      <c r="C756" s="7"/>
    </row>
    <row r="757" spans="1:3" ht="12.5" x14ac:dyDescent="0.25">
      <c r="A757" s="7"/>
      <c r="B757" s="10"/>
      <c r="C757" s="10"/>
    </row>
    <row r="758" spans="1:3" ht="12.5" x14ac:dyDescent="0.25">
      <c r="A758" s="7"/>
      <c r="B758" s="7"/>
      <c r="C758" s="7"/>
    </row>
    <row r="759" spans="1:3" ht="12.5" x14ac:dyDescent="0.25">
      <c r="A759" s="7"/>
      <c r="B759" s="10"/>
      <c r="C759" s="10"/>
    </row>
    <row r="760" spans="1:3" ht="12.5" x14ac:dyDescent="0.25">
      <c r="A760" s="7"/>
      <c r="B760" s="7"/>
      <c r="C760" s="7"/>
    </row>
    <row r="761" spans="1:3" ht="12.5" x14ac:dyDescent="0.25">
      <c r="A761" s="7"/>
      <c r="B761" s="10"/>
      <c r="C761" s="10"/>
    </row>
    <row r="762" spans="1:3" ht="12.5" x14ac:dyDescent="0.25">
      <c r="A762" s="7"/>
      <c r="B762" s="7"/>
      <c r="C762" s="7"/>
    </row>
    <row r="763" spans="1:3" ht="12.5" x14ac:dyDescent="0.25">
      <c r="A763" s="7"/>
      <c r="B763" s="10"/>
      <c r="C763" s="10"/>
    </row>
    <row r="764" spans="1:3" ht="12.5" x14ac:dyDescent="0.25">
      <c r="A764" s="7"/>
      <c r="B764" s="7"/>
      <c r="C764" s="7"/>
    </row>
    <row r="765" spans="1:3" ht="12.5" x14ac:dyDescent="0.25">
      <c r="A765" s="7"/>
      <c r="B765" s="10"/>
      <c r="C765" s="10"/>
    </row>
    <row r="766" spans="1:3" ht="12.5" x14ac:dyDescent="0.25">
      <c r="A766" s="7"/>
      <c r="B766" s="7"/>
      <c r="C766" s="7"/>
    </row>
    <row r="767" spans="1:3" ht="12.5" x14ac:dyDescent="0.25">
      <c r="A767" s="7"/>
      <c r="B767" s="10"/>
      <c r="C767" s="10"/>
    </row>
    <row r="768" spans="1:3" ht="12.5" x14ac:dyDescent="0.25">
      <c r="A768" s="7"/>
      <c r="B768" s="7"/>
      <c r="C768" s="7"/>
    </row>
    <row r="769" spans="1:3" ht="12.5" x14ac:dyDescent="0.25">
      <c r="A769" s="7"/>
      <c r="B769" s="10"/>
      <c r="C769" s="10"/>
    </row>
    <row r="770" spans="1:3" ht="12.5" x14ac:dyDescent="0.25">
      <c r="A770" s="7"/>
      <c r="B770" s="7"/>
      <c r="C770" s="7"/>
    </row>
    <row r="771" spans="1:3" ht="12.5" x14ac:dyDescent="0.25">
      <c r="A771" s="7"/>
      <c r="B771" s="10"/>
      <c r="C771" s="10"/>
    </row>
    <row r="772" spans="1:3" ht="12.5" x14ac:dyDescent="0.25">
      <c r="A772" s="7"/>
      <c r="B772" s="7"/>
      <c r="C772" s="7"/>
    </row>
    <row r="773" spans="1:3" ht="12.5" x14ac:dyDescent="0.25">
      <c r="A773" s="7"/>
      <c r="B773" s="10"/>
      <c r="C773" s="10"/>
    </row>
    <row r="774" spans="1:3" ht="12.5" x14ac:dyDescent="0.25">
      <c r="A774" s="7"/>
      <c r="B774" s="7"/>
      <c r="C774" s="7"/>
    </row>
    <row r="775" spans="1:3" ht="12.5" x14ac:dyDescent="0.25">
      <c r="A775" s="7"/>
      <c r="B775" s="10"/>
      <c r="C775" s="10"/>
    </row>
    <row r="776" spans="1:3" ht="12.5" x14ac:dyDescent="0.25">
      <c r="A776" s="7"/>
      <c r="B776" s="7"/>
      <c r="C776" s="7"/>
    </row>
    <row r="777" spans="1:3" ht="12.5" x14ac:dyDescent="0.25">
      <c r="A777" s="7"/>
      <c r="B777" s="10"/>
      <c r="C777" s="10"/>
    </row>
    <row r="778" spans="1:3" ht="12.5" x14ac:dyDescent="0.25">
      <c r="A778" s="7"/>
      <c r="B778" s="7"/>
      <c r="C778" s="7"/>
    </row>
    <row r="779" spans="1:3" ht="12.5" x14ac:dyDescent="0.25">
      <c r="A779" s="7"/>
      <c r="B779" s="10"/>
      <c r="C779" s="10"/>
    </row>
    <row r="780" spans="1:3" ht="12.5" x14ac:dyDescent="0.25">
      <c r="A780" s="7"/>
      <c r="B780" s="7"/>
      <c r="C780" s="7"/>
    </row>
    <row r="781" spans="1:3" ht="12.5" x14ac:dyDescent="0.25">
      <c r="A781" s="7"/>
      <c r="B781" s="10"/>
      <c r="C781" s="10"/>
    </row>
    <row r="782" spans="1:3" ht="12.5" x14ac:dyDescent="0.25">
      <c r="A782" s="7"/>
      <c r="B782" s="7"/>
      <c r="C782" s="7"/>
    </row>
    <row r="783" spans="1:3" ht="12.5" x14ac:dyDescent="0.25">
      <c r="A783" s="7"/>
      <c r="B783" s="10"/>
      <c r="C783" s="10"/>
    </row>
    <row r="784" spans="1:3" ht="12.5" x14ac:dyDescent="0.25">
      <c r="A784" s="7"/>
      <c r="B784" s="7"/>
      <c r="C784" s="7"/>
    </row>
    <row r="785" spans="1:3" ht="12.5" x14ac:dyDescent="0.25">
      <c r="A785" s="7"/>
      <c r="B785" s="10"/>
      <c r="C785" s="10"/>
    </row>
    <row r="786" spans="1:3" ht="12.5" x14ac:dyDescent="0.25">
      <c r="A786" s="7"/>
      <c r="B786" s="7"/>
      <c r="C786" s="7"/>
    </row>
    <row r="787" spans="1:3" ht="12.5" x14ac:dyDescent="0.25">
      <c r="A787" s="7"/>
      <c r="B787" s="10"/>
      <c r="C787" s="10"/>
    </row>
    <row r="788" spans="1:3" ht="12.5" x14ac:dyDescent="0.25">
      <c r="A788" s="7"/>
      <c r="B788" s="7"/>
      <c r="C788" s="7"/>
    </row>
    <row r="789" spans="1:3" ht="12.5" x14ac:dyDescent="0.25">
      <c r="A789" s="7"/>
      <c r="B789" s="10"/>
      <c r="C789" s="10"/>
    </row>
    <row r="790" spans="1:3" ht="12.5" x14ac:dyDescent="0.25">
      <c r="A790" s="7"/>
      <c r="B790" s="7"/>
      <c r="C790" s="7"/>
    </row>
    <row r="791" spans="1:3" ht="12.5" x14ac:dyDescent="0.25">
      <c r="A791" s="7"/>
      <c r="B791" s="10"/>
      <c r="C791" s="10"/>
    </row>
    <row r="792" spans="1:3" ht="12.5" x14ac:dyDescent="0.25">
      <c r="A792" s="7"/>
      <c r="B792" s="7"/>
      <c r="C792" s="7"/>
    </row>
    <row r="793" spans="1:3" ht="12.5" x14ac:dyDescent="0.25">
      <c r="A793" s="7"/>
      <c r="B793" s="10"/>
      <c r="C793" s="10"/>
    </row>
    <row r="794" spans="1:3" ht="12.5" x14ac:dyDescent="0.25">
      <c r="A794" s="7"/>
      <c r="B794" s="7"/>
      <c r="C794" s="7"/>
    </row>
    <row r="795" spans="1:3" ht="12.5" x14ac:dyDescent="0.25">
      <c r="A795" s="7"/>
      <c r="B795" s="10"/>
      <c r="C795" s="10"/>
    </row>
    <row r="796" spans="1:3" ht="12.5" x14ac:dyDescent="0.25">
      <c r="A796" s="7"/>
      <c r="B796" s="7"/>
      <c r="C796" s="7"/>
    </row>
    <row r="797" spans="1:3" ht="12.5" x14ac:dyDescent="0.25">
      <c r="A797" s="7"/>
      <c r="B797" s="10"/>
      <c r="C797" s="10"/>
    </row>
    <row r="798" spans="1:3" ht="12.5" x14ac:dyDescent="0.25">
      <c r="A798" s="7"/>
      <c r="B798" s="7"/>
      <c r="C798" s="7"/>
    </row>
    <row r="799" spans="1:3" ht="12.5" x14ac:dyDescent="0.25">
      <c r="A799" s="7"/>
      <c r="B799" s="10"/>
      <c r="C799" s="10"/>
    </row>
    <row r="800" spans="1:3" ht="12.5" x14ac:dyDescent="0.25">
      <c r="A800" s="7"/>
      <c r="B800" s="7"/>
      <c r="C800" s="7"/>
    </row>
    <row r="801" spans="1:3" ht="12.5" x14ac:dyDescent="0.25">
      <c r="A801" s="7"/>
      <c r="B801" s="10"/>
      <c r="C801" s="10"/>
    </row>
    <row r="802" spans="1:3" ht="12.5" x14ac:dyDescent="0.25">
      <c r="A802" s="7"/>
      <c r="B802" s="7"/>
      <c r="C802" s="7"/>
    </row>
    <row r="803" spans="1:3" ht="12.5" x14ac:dyDescent="0.25">
      <c r="A803" s="7"/>
      <c r="B803" s="10"/>
      <c r="C803" s="10"/>
    </row>
    <row r="804" spans="1:3" ht="12.5" x14ac:dyDescent="0.25">
      <c r="A804" s="7"/>
      <c r="B804" s="7"/>
      <c r="C804" s="7"/>
    </row>
    <row r="805" spans="1:3" ht="12.5" x14ac:dyDescent="0.25">
      <c r="A805" s="7"/>
      <c r="B805" s="10"/>
      <c r="C805" s="10"/>
    </row>
    <row r="806" spans="1:3" ht="12.5" x14ac:dyDescent="0.25">
      <c r="A806" s="7"/>
      <c r="B806" s="7"/>
      <c r="C806" s="7"/>
    </row>
    <row r="807" spans="1:3" ht="12.5" x14ac:dyDescent="0.25">
      <c r="A807" s="7"/>
      <c r="B807" s="10"/>
      <c r="C807" s="10"/>
    </row>
    <row r="808" spans="1:3" ht="12.5" x14ac:dyDescent="0.25">
      <c r="A808" s="7"/>
      <c r="B808" s="7"/>
      <c r="C808" s="7"/>
    </row>
    <row r="809" spans="1:3" ht="12.5" x14ac:dyDescent="0.25">
      <c r="A809" s="7"/>
      <c r="B809" s="10"/>
      <c r="C809" s="10"/>
    </row>
    <row r="810" spans="1:3" ht="12.5" x14ac:dyDescent="0.25">
      <c r="A810" s="7"/>
      <c r="B810" s="7"/>
      <c r="C810" s="7"/>
    </row>
    <row r="811" spans="1:3" ht="12.5" x14ac:dyDescent="0.25">
      <c r="A811" s="7"/>
      <c r="B811" s="10"/>
      <c r="C811" s="10"/>
    </row>
    <row r="812" spans="1:3" ht="12.5" x14ac:dyDescent="0.25">
      <c r="A812" s="7"/>
      <c r="B812" s="7"/>
      <c r="C812" s="7"/>
    </row>
    <row r="813" spans="1:3" ht="12.5" x14ac:dyDescent="0.25">
      <c r="A813" s="7"/>
      <c r="B813" s="10"/>
      <c r="C813" s="10"/>
    </row>
    <row r="814" spans="1:3" ht="12.5" x14ac:dyDescent="0.25">
      <c r="A814" s="7"/>
      <c r="B814" s="7"/>
      <c r="C814" s="7"/>
    </row>
    <row r="815" spans="1:3" ht="12.5" x14ac:dyDescent="0.25">
      <c r="A815" s="7"/>
      <c r="B815" s="10"/>
      <c r="C815" s="10"/>
    </row>
    <row r="816" spans="1:3" ht="12.5" x14ac:dyDescent="0.25">
      <c r="A816" s="7"/>
      <c r="B816" s="7"/>
      <c r="C816" s="7"/>
    </row>
    <row r="817" spans="1:3" ht="12.5" x14ac:dyDescent="0.25">
      <c r="A817" s="7"/>
      <c r="B817" s="10"/>
      <c r="C817" s="10"/>
    </row>
    <row r="818" spans="1:3" ht="12.5" x14ac:dyDescent="0.25">
      <c r="A818" s="7"/>
      <c r="B818" s="7"/>
      <c r="C818" s="7"/>
    </row>
    <row r="819" spans="1:3" ht="12.5" x14ac:dyDescent="0.25">
      <c r="A819" s="7"/>
      <c r="B819" s="10"/>
      <c r="C819" s="10"/>
    </row>
    <row r="820" spans="1:3" ht="12.5" x14ac:dyDescent="0.25">
      <c r="A820" s="7"/>
      <c r="B820" s="7"/>
      <c r="C820" s="7"/>
    </row>
    <row r="821" spans="1:3" ht="12.5" x14ac:dyDescent="0.25">
      <c r="A821" s="7"/>
      <c r="B821" s="10"/>
      <c r="C821" s="10"/>
    </row>
    <row r="822" spans="1:3" ht="12.5" x14ac:dyDescent="0.25">
      <c r="A822" s="7"/>
      <c r="B822" s="7"/>
      <c r="C822" s="7"/>
    </row>
    <row r="823" spans="1:3" ht="12.5" x14ac:dyDescent="0.25">
      <c r="A823" s="7"/>
      <c r="B823" s="10"/>
      <c r="C823" s="10"/>
    </row>
    <row r="824" spans="1:3" ht="12.5" x14ac:dyDescent="0.25">
      <c r="A824" s="7"/>
      <c r="B824" s="7"/>
      <c r="C824" s="7"/>
    </row>
    <row r="825" spans="1:3" ht="12.5" x14ac:dyDescent="0.25">
      <c r="A825" s="7"/>
      <c r="B825" s="10"/>
      <c r="C825" s="10"/>
    </row>
    <row r="826" spans="1:3" ht="12.5" x14ac:dyDescent="0.25">
      <c r="A826" s="7"/>
      <c r="B826" s="7"/>
      <c r="C826" s="7"/>
    </row>
    <row r="827" spans="1:3" ht="12.5" x14ac:dyDescent="0.25">
      <c r="A827" s="7"/>
      <c r="B827" s="10"/>
      <c r="C827" s="10"/>
    </row>
    <row r="828" spans="1:3" ht="12.5" x14ac:dyDescent="0.25">
      <c r="A828" s="7"/>
      <c r="B828" s="7"/>
      <c r="C828" s="7"/>
    </row>
    <row r="829" spans="1:3" ht="12.5" x14ac:dyDescent="0.25">
      <c r="A829" s="7"/>
      <c r="B829" s="10"/>
      <c r="C829" s="10"/>
    </row>
    <row r="830" spans="1:3" ht="12.5" x14ac:dyDescent="0.25">
      <c r="A830" s="7"/>
      <c r="B830" s="7"/>
      <c r="C830" s="7"/>
    </row>
    <row r="831" spans="1:3" ht="12.5" x14ac:dyDescent="0.25">
      <c r="A831" s="7"/>
      <c r="B831" s="10"/>
      <c r="C831" s="10"/>
    </row>
    <row r="832" spans="1:3" ht="12.5" x14ac:dyDescent="0.25">
      <c r="A832" s="7"/>
      <c r="B832" s="7"/>
      <c r="C832" s="7"/>
    </row>
    <row r="833" spans="1:3" ht="12.5" x14ac:dyDescent="0.25">
      <c r="A833" s="7"/>
      <c r="B833" s="10"/>
      <c r="C833" s="10"/>
    </row>
    <row r="834" spans="1:3" ht="12.5" x14ac:dyDescent="0.25">
      <c r="A834" s="7"/>
      <c r="B834" s="7"/>
      <c r="C834" s="7"/>
    </row>
    <row r="835" spans="1:3" ht="12.5" x14ac:dyDescent="0.25">
      <c r="A835" s="7"/>
      <c r="B835" s="10"/>
      <c r="C835" s="10"/>
    </row>
    <row r="836" spans="1:3" ht="12.5" x14ac:dyDescent="0.25">
      <c r="A836" s="7"/>
      <c r="B836" s="7"/>
      <c r="C836" s="7"/>
    </row>
    <row r="837" spans="1:3" ht="12.5" x14ac:dyDescent="0.25">
      <c r="A837" s="7"/>
      <c r="B837" s="10"/>
      <c r="C837" s="10"/>
    </row>
    <row r="838" spans="1:3" ht="12.5" x14ac:dyDescent="0.25">
      <c r="A838" s="7"/>
      <c r="B838" s="7"/>
      <c r="C838" s="7"/>
    </row>
    <row r="839" spans="1:3" ht="12.5" x14ac:dyDescent="0.25">
      <c r="A839" s="7"/>
      <c r="B839" s="10"/>
      <c r="C839" s="10"/>
    </row>
    <row r="840" spans="1:3" ht="12.5" x14ac:dyDescent="0.25">
      <c r="A840" s="7"/>
      <c r="B840" s="7"/>
      <c r="C840" s="7"/>
    </row>
    <row r="841" spans="1:3" ht="12.5" x14ac:dyDescent="0.25">
      <c r="A841" s="7"/>
      <c r="B841" s="10"/>
      <c r="C841" s="10"/>
    </row>
    <row r="842" spans="1:3" ht="12.5" x14ac:dyDescent="0.25">
      <c r="A842" s="7"/>
      <c r="B842" s="7"/>
      <c r="C842" s="7"/>
    </row>
    <row r="843" spans="1:3" ht="12.5" x14ac:dyDescent="0.25">
      <c r="A843" s="7"/>
      <c r="B843" s="10"/>
      <c r="C843" s="10"/>
    </row>
    <row r="844" spans="1:3" ht="12.5" x14ac:dyDescent="0.25">
      <c r="A844" s="7"/>
      <c r="B844" s="7"/>
      <c r="C844" s="7"/>
    </row>
    <row r="845" spans="1:3" ht="12.5" x14ac:dyDescent="0.25">
      <c r="A845" s="7"/>
      <c r="B845" s="10"/>
      <c r="C845" s="10"/>
    </row>
    <row r="846" spans="1:3" ht="12.5" x14ac:dyDescent="0.25">
      <c r="A846" s="7"/>
      <c r="B846" s="7"/>
      <c r="C846" s="7"/>
    </row>
    <row r="847" spans="1:3" ht="12.5" x14ac:dyDescent="0.25">
      <c r="A847" s="7"/>
      <c r="B847" s="10"/>
      <c r="C847" s="10"/>
    </row>
    <row r="848" spans="1:3" ht="12.5" x14ac:dyDescent="0.25">
      <c r="A848" s="7"/>
      <c r="B848" s="7"/>
      <c r="C848" s="7"/>
    </row>
    <row r="849" spans="1:3" ht="12.5" x14ac:dyDescent="0.25">
      <c r="A849" s="7"/>
      <c r="B849" s="10"/>
      <c r="C849" s="10"/>
    </row>
    <row r="850" spans="1:3" ht="12.5" x14ac:dyDescent="0.25">
      <c r="A850" s="7"/>
      <c r="B850" s="7"/>
      <c r="C850" s="7"/>
    </row>
    <row r="851" spans="1:3" ht="12.5" x14ac:dyDescent="0.25">
      <c r="A851" s="7"/>
      <c r="B851" s="10"/>
      <c r="C851" s="10"/>
    </row>
    <row r="852" spans="1:3" ht="12.5" x14ac:dyDescent="0.25">
      <c r="A852" s="7"/>
      <c r="B852" s="7"/>
      <c r="C852" s="7"/>
    </row>
    <row r="853" spans="1:3" ht="12.5" x14ac:dyDescent="0.25">
      <c r="A853" s="7"/>
      <c r="B853" s="10"/>
      <c r="C853" s="10"/>
    </row>
    <row r="854" spans="1:3" ht="12.5" x14ac:dyDescent="0.25">
      <c r="A854" s="7"/>
      <c r="B854" s="7"/>
      <c r="C854" s="7"/>
    </row>
    <row r="855" spans="1:3" ht="12.5" x14ac:dyDescent="0.25">
      <c r="A855" s="7"/>
      <c r="B855" s="10"/>
      <c r="C855" s="10"/>
    </row>
    <row r="856" spans="1:3" ht="12.5" x14ac:dyDescent="0.25">
      <c r="A856" s="7"/>
      <c r="B856" s="7"/>
      <c r="C856" s="7"/>
    </row>
    <row r="857" spans="1:3" ht="12.5" x14ac:dyDescent="0.25">
      <c r="A857" s="7"/>
      <c r="B857" s="10"/>
      <c r="C857" s="10"/>
    </row>
    <row r="858" spans="1:3" ht="12.5" x14ac:dyDescent="0.25">
      <c r="A858" s="7"/>
      <c r="B858" s="7"/>
      <c r="C858" s="7"/>
    </row>
    <row r="859" spans="1:3" ht="12.5" x14ac:dyDescent="0.25">
      <c r="A859" s="7"/>
      <c r="B859" s="10"/>
      <c r="C859" s="10"/>
    </row>
    <row r="860" spans="1:3" ht="12.5" x14ac:dyDescent="0.25">
      <c r="A860" s="7"/>
      <c r="B860" s="7"/>
      <c r="C860" s="7"/>
    </row>
    <row r="861" spans="1:3" ht="12.5" x14ac:dyDescent="0.25">
      <c r="A861" s="7"/>
      <c r="B861" s="10"/>
      <c r="C861" s="10"/>
    </row>
    <row r="862" spans="1:3" ht="12.5" x14ac:dyDescent="0.25">
      <c r="A862" s="7"/>
      <c r="B862" s="7"/>
      <c r="C862" s="7"/>
    </row>
    <row r="863" spans="1:3" ht="12.5" x14ac:dyDescent="0.25">
      <c r="A863" s="7"/>
      <c r="B863" s="10"/>
      <c r="C863" s="10"/>
    </row>
    <row r="864" spans="1:3" ht="12.5" x14ac:dyDescent="0.25">
      <c r="A864" s="7"/>
      <c r="B864" s="7"/>
      <c r="C864" s="7"/>
    </row>
    <row r="865" spans="1:3" ht="12.5" x14ac:dyDescent="0.25">
      <c r="A865" s="7"/>
      <c r="B865" s="10"/>
      <c r="C865" s="10"/>
    </row>
    <row r="866" spans="1:3" ht="12.5" x14ac:dyDescent="0.25">
      <c r="A866" s="7"/>
      <c r="B866" s="7"/>
      <c r="C866" s="7"/>
    </row>
    <row r="867" spans="1:3" ht="12.5" x14ac:dyDescent="0.25">
      <c r="A867" s="7"/>
      <c r="B867" s="10"/>
      <c r="C867" s="10"/>
    </row>
    <row r="868" spans="1:3" ht="12.5" x14ac:dyDescent="0.25">
      <c r="A868" s="7"/>
      <c r="B868" s="7"/>
      <c r="C868" s="7"/>
    </row>
    <row r="869" spans="1:3" ht="12.5" x14ac:dyDescent="0.25">
      <c r="A869" s="7"/>
      <c r="B869" s="10"/>
      <c r="C869" s="10"/>
    </row>
    <row r="870" spans="1:3" ht="12.5" x14ac:dyDescent="0.25">
      <c r="A870" s="7"/>
      <c r="B870" s="7"/>
      <c r="C870" s="7"/>
    </row>
    <row r="871" spans="1:3" ht="12.5" x14ac:dyDescent="0.25">
      <c r="A871" s="7"/>
      <c r="B871" s="10"/>
      <c r="C871" s="10"/>
    </row>
    <row r="872" spans="1:3" ht="12.5" x14ac:dyDescent="0.25">
      <c r="A872" s="7"/>
      <c r="B872" s="7"/>
      <c r="C872" s="7"/>
    </row>
    <row r="873" spans="1:3" ht="12.5" x14ac:dyDescent="0.25">
      <c r="A873" s="7"/>
      <c r="B873" s="10"/>
      <c r="C873" s="10"/>
    </row>
    <row r="874" spans="1:3" ht="12.5" x14ac:dyDescent="0.25">
      <c r="A874" s="7"/>
      <c r="B874" s="7"/>
      <c r="C874" s="7"/>
    </row>
    <row r="875" spans="1:3" ht="12.5" x14ac:dyDescent="0.25">
      <c r="A875" s="7"/>
      <c r="B875" s="10"/>
      <c r="C875" s="10"/>
    </row>
    <row r="876" spans="1:3" ht="12.5" x14ac:dyDescent="0.25">
      <c r="A876" s="7"/>
      <c r="B876" s="7"/>
      <c r="C876" s="7"/>
    </row>
    <row r="877" spans="1:3" ht="12.5" x14ac:dyDescent="0.25">
      <c r="A877" s="7"/>
      <c r="B877" s="10"/>
      <c r="C877" s="10"/>
    </row>
    <row r="878" spans="1:3" ht="12.5" x14ac:dyDescent="0.25">
      <c r="A878" s="7"/>
      <c r="B878" s="7"/>
      <c r="C878" s="7"/>
    </row>
    <row r="879" spans="1:3" ht="12.5" x14ac:dyDescent="0.25">
      <c r="A879" s="7"/>
      <c r="B879" s="10"/>
      <c r="C879" s="10"/>
    </row>
    <row r="880" spans="1:3" ht="12.5" x14ac:dyDescent="0.25">
      <c r="A880" s="7"/>
      <c r="B880" s="7"/>
      <c r="C880" s="7"/>
    </row>
    <row r="881" spans="1:3" ht="12.5" x14ac:dyDescent="0.25">
      <c r="A881" s="7"/>
      <c r="B881" s="10"/>
      <c r="C881" s="10"/>
    </row>
    <row r="882" spans="1:3" ht="12.5" x14ac:dyDescent="0.25">
      <c r="A882" s="7"/>
      <c r="B882" s="7"/>
      <c r="C882" s="7"/>
    </row>
    <row r="883" spans="1:3" ht="12.5" x14ac:dyDescent="0.25">
      <c r="A883" s="7"/>
      <c r="B883" s="10"/>
      <c r="C883" s="10"/>
    </row>
    <row r="884" spans="1:3" ht="12.5" x14ac:dyDescent="0.25">
      <c r="A884" s="7"/>
      <c r="B884" s="7"/>
      <c r="C884" s="7"/>
    </row>
    <row r="885" spans="1:3" ht="12.5" x14ac:dyDescent="0.25">
      <c r="A885" s="7"/>
      <c r="B885" s="10"/>
      <c r="C885" s="10"/>
    </row>
    <row r="886" spans="1:3" ht="12.5" x14ac:dyDescent="0.25">
      <c r="A886" s="7"/>
      <c r="B886" s="7"/>
      <c r="C886" s="7"/>
    </row>
    <row r="887" spans="1:3" ht="12.5" x14ac:dyDescent="0.25">
      <c r="A887" s="7"/>
      <c r="B887" s="10"/>
      <c r="C887" s="10"/>
    </row>
    <row r="888" spans="1:3" ht="12.5" x14ac:dyDescent="0.25">
      <c r="A888" s="7"/>
      <c r="B888" s="7"/>
      <c r="C888" s="7"/>
    </row>
    <row r="889" spans="1:3" ht="12.5" x14ac:dyDescent="0.25">
      <c r="A889" s="7"/>
      <c r="B889" s="10"/>
      <c r="C889" s="10"/>
    </row>
    <row r="890" spans="1:3" ht="12.5" x14ac:dyDescent="0.25">
      <c r="A890" s="7"/>
      <c r="B890" s="7"/>
      <c r="C890" s="7"/>
    </row>
    <row r="891" spans="1:3" ht="12.5" x14ac:dyDescent="0.25">
      <c r="A891" s="7"/>
      <c r="B891" s="10"/>
      <c r="C891" s="10"/>
    </row>
    <row r="892" spans="1:3" ht="12.5" x14ac:dyDescent="0.25">
      <c r="A892" s="7"/>
      <c r="B892" s="7"/>
      <c r="C892" s="7"/>
    </row>
    <row r="893" spans="1:3" ht="12.5" x14ac:dyDescent="0.25">
      <c r="A893" s="7"/>
      <c r="B893" s="10"/>
      <c r="C893" s="10"/>
    </row>
    <row r="894" spans="1:3" ht="12.5" x14ac:dyDescent="0.25">
      <c r="A894" s="7"/>
      <c r="B894" s="7"/>
      <c r="C894" s="7"/>
    </row>
    <row r="895" spans="1:3" ht="12.5" x14ac:dyDescent="0.25">
      <c r="A895" s="7"/>
      <c r="B895" s="10"/>
      <c r="C895" s="10"/>
    </row>
    <row r="896" spans="1:3" ht="12.5" x14ac:dyDescent="0.25">
      <c r="A896" s="7"/>
      <c r="B896" s="7"/>
      <c r="C896" s="7"/>
    </row>
    <row r="897" spans="1:3" ht="12.5" x14ac:dyDescent="0.25">
      <c r="A897" s="7"/>
      <c r="B897" s="10"/>
      <c r="C897" s="10"/>
    </row>
    <row r="898" spans="1:3" ht="12.5" x14ac:dyDescent="0.25">
      <c r="A898" s="7"/>
      <c r="B898" s="7"/>
      <c r="C898" s="7"/>
    </row>
    <row r="899" spans="1:3" ht="12.5" x14ac:dyDescent="0.25">
      <c r="A899" s="7"/>
      <c r="B899" s="10"/>
      <c r="C899" s="10"/>
    </row>
    <row r="900" spans="1:3" ht="12.5" x14ac:dyDescent="0.25">
      <c r="A900" s="7"/>
      <c r="B900" s="7"/>
      <c r="C900" s="7"/>
    </row>
    <row r="901" spans="1:3" ht="12.5" x14ac:dyDescent="0.25">
      <c r="A901" s="7"/>
      <c r="B901" s="10"/>
      <c r="C901" s="10"/>
    </row>
    <row r="902" spans="1:3" ht="12.5" x14ac:dyDescent="0.25">
      <c r="A902" s="7"/>
      <c r="B902" s="7"/>
      <c r="C902" s="7"/>
    </row>
    <row r="903" spans="1:3" ht="12.5" x14ac:dyDescent="0.25">
      <c r="A903" s="7"/>
      <c r="B903" s="10"/>
      <c r="C903" s="10"/>
    </row>
    <row r="904" spans="1:3" ht="12.5" x14ac:dyDescent="0.25">
      <c r="A904" s="7"/>
      <c r="B904" s="7"/>
      <c r="C904" s="7"/>
    </row>
    <row r="905" spans="1:3" ht="12.5" x14ac:dyDescent="0.25">
      <c r="A905" s="7"/>
      <c r="B905" s="10"/>
      <c r="C905" s="10"/>
    </row>
    <row r="906" spans="1:3" ht="12.5" x14ac:dyDescent="0.25">
      <c r="A906" s="7"/>
      <c r="B906" s="7"/>
      <c r="C906" s="7"/>
    </row>
    <row r="907" spans="1:3" ht="12.5" x14ac:dyDescent="0.25">
      <c r="A907" s="7"/>
      <c r="B907" s="10"/>
      <c r="C907" s="10"/>
    </row>
    <row r="908" spans="1:3" ht="12.5" x14ac:dyDescent="0.25">
      <c r="A908" s="7"/>
      <c r="B908" s="7"/>
      <c r="C908" s="7"/>
    </row>
    <row r="909" spans="1:3" ht="12.5" x14ac:dyDescent="0.25">
      <c r="A909" s="7"/>
      <c r="B909" s="10"/>
      <c r="C909" s="10"/>
    </row>
    <row r="910" spans="1:3" ht="12.5" x14ac:dyDescent="0.25">
      <c r="A910" s="7"/>
      <c r="B910" s="7"/>
      <c r="C910" s="7"/>
    </row>
    <row r="911" spans="1:3" ht="12.5" x14ac:dyDescent="0.25">
      <c r="A911" s="7"/>
      <c r="B911" s="10"/>
      <c r="C911" s="10"/>
    </row>
    <row r="912" spans="1:3" ht="12.5" x14ac:dyDescent="0.25">
      <c r="A912" s="7"/>
      <c r="B912" s="7"/>
      <c r="C912" s="7"/>
    </row>
    <row r="913" spans="1:3" ht="12.5" x14ac:dyDescent="0.25">
      <c r="A913" s="7"/>
      <c r="B913" s="10"/>
      <c r="C913" s="10"/>
    </row>
    <row r="914" spans="1:3" ht="12.5" x14ac:dyDescent="0.25">
      <c r="A914" s="7"/>
      <c r="B914" s="7"/>
      <c r="C914" s="7"/>
    </row>
    <row r="915" spans="1:3" ht="12.5" x14ac:dyDescent="0.25">
      <c r="A915" s="7"/>
      <c r="B915" s="10"/>
      <c r="C915" s="10"/>
    </row>
    <row r="916" spans="1:3" ht="12.5" x14ac:dyDescent="0.25">
      <c r="A916" s="7"/>
      <c r="B916" s="7"/>
      <c r="C916" s="7"/>
    </row>
    <row r="917" spans="1:3" ht="12.5" x14ac:dyDescent="0.25">
      <c r="A917" s="7"/>
      <c r="B917" s="10"/>
      <c r="C917" s="10"/>
    </row>
    <row r="918" spans="1:3" ht="12.5" x14ac:dyDescent="0.25">
      <c r="A918" s="7"/>
      <c r="B918" s="7"/>
      <c r="C918" s="7"/>
    </row>
    <row r="919" spans="1:3" ht="12.5" x14ac:dyDescent="0.25">
      <c r="A919" s="7"/>
      <c r="B919" s="10"/>
      <c r="C919" s="10"/>
    </row>
    <row r="920" spans="1:3" ht="12.5" x14ac:dyDescent="0.25">
      <c r="A920" s="7"/>
      <c r="B920" s="7"/>
      <c r="C920" s="7"/>
    </row>
    <row r="921" spans="1:3" ht="12.5" x14ac:dyDescent="0.25">
      <c r="A921" s="7"/>
      <c r="B921" s="10"/>
      <c r="C921" s="10"/>
    </row>
    <row r="922" spans="1:3" ht="12.5" x14ac:dyDescent="0.25">
      <c r="A922" s="7"/>
      <c r="B922" s="7"/>
      <c r="C922" s="7"/>
    </row>
    <row r="923" spans="1:3" ht="12.5" x14ac:dyDescent="0.25">
      <c r="A923" s="7"/>
      <c r="B923" s="10"/>
      <c r="C923" s="10"/>
    </row>
    <row r="924" spans="1:3" ht="12.5" x14ac:dyDescent="0.25">
      <c r="A924" s="7"/>
      <c r="B924" s="7"/>
      <c r="C924" s="7"/>
    </row>
    <row r="925" spans="1:3" ht="12.5" x14ac:dyDescent="0.25">
      <c r="A925" s="7"/>
      <c r="B925" s="10"/>
      <c r="C925" s="10"/>
    </row>
    <row r="926" spans="1:3" ht="12.5" x14ac:dyDescent="0.25">
      <c r="A926" s="7"/>
      <c r="B926" s="7"/>
      <c r="C926" s="7"/>
    </row>
    <row r="927" spans="1:3" ht="12.5" x14ac:dyDescent="0.25">
      <c r="A927" s="7"/>
      <c r="B927" s="10"/>
      <c r="C927" s="10"/>
    </row>
    <row r="928" spans="1:3" ht="12.5" x14ac:dyDescent="0.25">
      <c r="A928" s="7"/>
      <c r="B928" s="7"/>
      <c r="C928" s="7"/>
    </row>
    <row r="929" spans="1:3" ht="12.5" x14ac:dyDescent="0.25">
      <c r="A929" s="7"/>
      <c r="B929" s="10"/>
      <c r="C929" s="10"/>
    </row>
    <row r="930" spans="1:3" ht="12.5" x14ac:dyDescent="0.25">
      <c r="A930" s="7"/>
      <c r="B930" s="7"/>
      <c r="C930" s="7"/>
    </row>
    <row r="931" spans="1:3" ht="12.5" x14ac:dyDescent="0.25">
      <c r="A931" s="7"/>
      <c r="B931" s="10"/>
      <c r="C931" s="10"/>
    </row>
    <row r="932" spans="1:3" ht="12.5" x14ac:dyDescent="0.25">
      <c r="A932" s="7"/>
      <c r="B932" s="7"/>
      <c r="C932" s="7"/>
    </row>
    <row r="933" spans="1:3" ht="12.5" x14ac:dyDescent="0.25">
      <c r="A933" s="7"/>
      <c r="B933" s="10"/>
      <c r="C933" s="10"/>
    </row>
    <row r="934" spans="1:3" ht="12.5" x14ac:dyDescent="0.25">
      <c r="A934" s="7"/>
      <c r="B934" s="7"/>
      <c r="C934" s="7"/>
    </row>
    <row r="935" spans="1:3" ht="12.5" x14ac:dyDescent="0.25">
      <c r="A935" s="7"/>
      <c r="B935" s="10"/>
      <c r="C935" s="10"/>
    </row>
    <row r="936" spans="1:3" ht="12.5" x14ac:dyDescent="0.25">
      <c r="A936" s="7"/>
      <c r="B936" s="7"/>
      <c r="C936" s="7"/>
    </row>
    <row r="937" spans="1:3" ht="12.5" x14ac:dyDescent="0.25">
      <c r="A937" s="7"/>
      <c r="B937" s="10"/>
      <c r="C937" s="10"/>
    </row>
    <row r="938" spans="1:3" ht="12.5" x14ac:dyDescent="0.25">
      <c r="A938" s="7"/>
      <c r="B938" s="7"/>
      <c r="C938" s="7"/>
    </row>
    <row r="939" spans="1:3" ht="12.5" x14ac:dyDescent="0.25">
      <c r="A939" s="7"/>
      <c r="B939" s="10"/>
      <c r="C939" s="10"/>
    </row>
    <row r="940" spans="1:3" ht="12.5" x14ac:dyDescent="0.25">
      <c r="A940" s="7"/>
      <c r="B940" s="7"/>
      <c r="C940" s="7"/>
    </row>
    <row r="941" spans="1:3" ht="12.5" x14ac:dyDescent="0.25">
      <c r="A941" s="7"/>
      <c r="B941" s="10"/>
      <c r="C941" s="10"/>
    </row>
    <row r="942" spans="1:3" ht="12.5" x14ac:dyDescent="0.25">
      <c r="A942" s="7"/>
      <c r="B942" s="7"/>
      <c r="C942" s="7"/>
    </row>
    <row r="943" spans="1:3" ht="12.5" x14ac:dyDescent="0.25">
      <c r="A943" s="7"/>
      <c r="B943" s="10"/>
      <c r="C943" s="10"/>
    </row>
    <row r="944" spans="1:3" ht="12.5" x14ac:dyDescent="0.25">
      <c r="A944" s="7"/>
      <c r="B944" s="7"/>
      <c r="C944" s="7"/>
    </row>
    <row r="945" spans="1:3" ht="12.5" x14ac:dyDescent="0.25">
      <c r="A945" s="7"/>
      <c r="B945" s="10"/>
      <c r="C945" s="10"/>
    </row>
    <row r="946" spans="1:3" ht="12.5" x14ac:dyDescent="0.25">
      <c r="A946" s="7"/>
      <c r="B946" s="7"/>
      <c r="C946" s="7"/>
    </row>
    <row r="947" spans="1:3" ht="12.5" x14ac:dyDescent="0.25">
      <c r="A947" s="7"/>
      <c r="B947" s="10"/>
      <c r="C947" s="10"/>
    </row>
    <row r="948" spans="1:3" ht="12.5" x14ac:dyDescent="0.25">
      <c r="A948" s="7"/>
      <c r="B948" s="7"/>
      <c r="C948" s="7"/>
    </row>
    <row r="949" spans="1:3" ht="12.5" x14ac:dyDescent="0.25">
      <c r="A949" s="7"/>
      <c r="B949" s="10"/>
      <c r="C949" s="10"/>
    </row>
    <row r="950" spans="1:3" ht="12.5" x14ac:dyDescent="0.25">
      <c r="A950" s="7"/>
      <c r="B950" s="7"/>
      <c r="C950" s="7"/>
    </row>
    <row r="951" spans="1:3" ht="12.5" x14ac:dyDescent="0.25">
      <c r="A951" s="7"/>
      <c r="B951" s="10"/>
      <c r="C951" s="10"/>
    </row>
    <row r="952" spans="1:3" ht="12.5" x14ac:dyDescent="0.25">
      <c r="A952" s="7"/>
      <c r="B952" s="7"/>
      <c r="C952" s="7"/>
    </row>
    <row r="953" spans="1:3" ht="12.5" x14ac:dyDescent="0.25">
      <c r="A953" s="7"/>
      <c r="B953" s="10"/>
      <c r="C953" s="10"/>
    </row>
    <row r="954" spans="1:3" ht="12.5" x14ac:dyDescent="0.25">
      <c r="A954" s="7"/>
      <c r="B954" s="7"/>
      <c r="C954" s="7"/>
    </row>
    <row r="955" spans="1:3" ht="12.5" x14ac:dyDescent="0.25">
      <c r="A955" s="7"/>
      <c r="B955" s="10"/>
      <c r="C955" s="10"/>
    </row>
    <row r="956" spans="1:3" ht="12.5" x14ac:dyDescent="0.25">
      <c r="A956" s="7"/>
      <c r="B956" s="7"/>
      <c r="C956" s="7"/>
    </row>
    <row r="957" spans="1:3" ht="12.5" x14ac:dyDescent="0.25">
      <c r="A957" s="7"/>
      <c r="B957" s="10"/>
      <c r="C957" s="10"/>
    </row>
    <row r="958" spans="1:3" ht="12.5" x14ac:dyDescent="0.25">
      <c r="A958" s="7"/>
      <c r="B958" s="7"/>
      <c r="C958" s="7"/>
    </row>
    <row r="959" spans="1:3" ht="12.5" x14ac:dyDescent="0.25">
      <c r="A959" s="7"/>
      <c r="B959" s="10"/>
      <c r="C959" s="10"/>
    </row>
    <row r="960" spans="1:3" ht="12.5" x14ac:dyDescent="0.25">
      <c r="A960" s="7"/>
      <c r="B960" s="7"/>
      <c r="C960" s="7"/>
    </row>
    <row r="961" spans="1:3" ht="12.5" x14ac:dyDescent="0.25">
      <c r="A961" s="7"/>
      <c r="B961" s="10"/>
      <c r="C961" s="10"/>
    </row>
    <row r="962" spans="1:3" ht="12.5" x14ac:dyDescent="0.25">
      <c r="A962" s="7"/>
      <c r="B962" s="7"/>
      <c r="C962" s="7"/>
    </row>
    <row r="963" spans="1:3" ht="12.5" x14ac:dyDescent="0.25">
      <c r="A963" s="7"/>
      <c r="B963" s="10"/>
      <c r="C963" s="10"/>
    </row>
    <row r="964" spans="1:3" ht="12.5" x14ac:dyDescent="0.25">
      <c r="A964" s="7"/>
      <c r="B964" s="7"/>
      <c r="C964" s="7"/>
    </row>
    <row r="965" spans="1:3" ht="12.5" x14ac:dyDescent="0.25">
      <c r="A965" s="7"/>
      <c r="B965" s="10"/>
      <c r="C965" s="10"/>
    </row>
    <row r="966" spans="1:3" ht="12.5" x14ac:dyDescent="0.25">
      <c r="A966" s="7"/>
      <c r="B966" s="7"/>
      <c r="C966" s="7"/>
    </row>
    <row r="967" spans="1:3" ht="12.5" x14ac:dyDescent="0.25">
      <c r="A967" s="7"/>
      <c r="B967" s="10"/>
      <c r="C967" s="10"/>
    </row>
    <row r="968" spans="1:3" ht="12.5" x14ac:dyDescent="0.25">
      <c r="A968" s="7"/>
      <c r="B968" s="7"/>
      <c r="C968" s="7"/>
    </row>
    <row r="969" spans="1:3" ht="12.5" x14ac:dyDescent="0.25">
      <c r="A969" s="7"/>
      <c r="B969" s="10"/>
      <c r="C969" s="10"/>
    </row>
    <row r="970" spans="1:3" ht="12.5" x14ac:dyDescent="0.25">
      <c r="A970" s="7"/>
      <c r="B970" s="7"/>
      <c r="C970" s="7"/>
    </row>
    <row r="971" spans="1:3" ht="12.5" x14ac:dyDescent="0.25">
      <c r="A971" s="7"/>
      <c r="B971" s="10"/>
      <c r="C971" s="10"/>
    </row>
    <row r="972" spans="1:3" ht="12.5" x14ac:dyDescent="0.25">
      <c r="A972" s="7"/>
      <c r="B972" s="7"/>
      <c r="C972" s="7"/>
    </row>
    <row r="973" spans="1:3" ht="12.5" x14ac:dyDescent="0.25">
      <c r="A973" s="7"/>
      <c r="B973" s="10"/>
      <c r="C973" s="10"/>
    </row>
    <row r="974" spans="1:3" ht="12.5" x14ac:dyDescent="0.25">
      <c r="A974" s="7"/>
      <c r="B974" s="7"/>
      <c r="C974" s="7"/>
    </row>
    <row r="975" spans="1:3" ht="12.5" x14ac:dyDescent="0.25">
      <c r="A975" s="7"/>
      <c r="B975" s="10"/>
      <c r="C975" s="10"/>
    </row>
    <row r="976" spans="1:3" ht="12.5" x14ac:dyDescent="0.25">
      <c r="A976" s="7"/>
      <c r="B976" s="7"/>
      <c r="C976" s="7"/>
    </row>
    <row r="977" spans="1:3" ht="12.5" x14ac:dyDescent="0.25">
      <c r="A977" s="7"/>
      <c r="B977" s="10"/>
      <c r="C977" s="10"/>
    </row>
    <row r="978" spans="1:3" ht="12.5" x14ac:dyDescent="0.25">
      <c r="A978" s="7"/>
      <c r="B978" s="7"/>
      <c r="C978" s="7"/>
    </row>
    <row r="979" spans="1:3" ht="12.5" x14ac:dyDescent="0.25">
      <c r="A979" s="7"/>
      <c r="B979" s="10"/>
      <c r="C979" s="10"/>
    </row>
    <row r="980" spans="1:3" ht="12.5" x14ac:dyDescent="0.25">
      <c r="A980" s="7"/>
      <c r="B980" s="7"/>
      <c r="C980" s="7"/>
    </row>
    <row r="981" spans="1:3" ht="12.5" x14ac:dyDescent="0.25">
      <c r="A981" s="7"/>
      <c r="B981" s="10"/>
      <c r="C981" s="10"/>
    </row>
    <row r="982" spans="1:3" ht="12.5" x14ac:dyDescent="0.25">
      <c r="A982" s="7"/>
      <c r="B982" s="7"/>
      <c r="C982" s="7"/>
    </row>
    <row r="983" spans="1:3" ht="12.5" x14ac:dyDescent="0.25">
      <c r="A983" s="7"/>
      <c r="B983" s="10"/>
      <c r="C983" s="10"/>
    </row>
    <row r="984" spans="1:3" ht="12.5" x14ac:dyDescent="0.25">
      <c r="A984" s="7"/>
      <c r="B984" s="7"/>
      <c r="C984" s="7"/>
    </row>
    <row r="985" spans="1:3" ht="12.5" x14ac:dyDescent="0.25">
      <c r="A985" s="7"/>
      <c r="B985" s="10"/>
      <c r="C985" s="10"/>
    </row>
    <row r="986" spans="1:3" ht="12.5" x14ac:dyDescent="0.25">
      <c r="A986" s="7"/>
      <c r="B986" s="7"/>
      <c r="C986" s="7"/>
    </row>
    <row r="987" spans="1:3" ht="12.5" x14ac:dyDescent="0.25">
      <c r="A987" s="7"/>
      <c r="B987" s="10"/>
      <c r="C987" s="10"/>
    </row>
    <row r="988" spans="1:3" ht="12.5" x14ac:dyDescent="0.25">
      <c r="A988" s="7"/>
      <c r="B988" s="7"/>
      <c r="C988" s="7"/>
    </row>
    <row r="989" spans="1:3" ht="12.5" x14ac:dyDescent="0.25">
      <c r="A989" s="7"/>
      <c r="B989" s="10"/>
      <c r="C989" s="10"/>
    </row>
    <row r="990" spans="1:3" ht="12.5" x14ac:dyDescent="0.25">
      <c r="A990" s="7"/>
      <c r="B990" s="7"/>
      <c r="C990" s="7"/>
    </row>
    <row r="991" spans="1:3" ht="12.5" x14ac:dyDescent="0.25">
      <c r="A991" s="7"/>
      <c r="B991" s="10"/>
      <c r="C991" s="10"/>
    </row>
    <row r="992" spans="1:3" ht="12.5" x14ac:dyDescent="0.25">
      <c r="A992" s="7"/>
      <c r="B992" s="7"/>
      <c r="C992" s="7"/>
    </row>
    <row r="993" spans="1:3" ht="12.5" x14ac:dyDescent="0.25">
      <c r="A993" s="7"/>
      <c r="B993" s="10"/>
      <c r="C993" s="10"/>
    </row>
    <row r="994" spans="1:3" ht="12.5" x14ac:dyDescent="0.25">
      <c r="A994" s="7"/>
      <c r="B994" s="7"/>
      <c r="C994" s="7"/>
    </row>
    <row r="995" spans="1:3" ht="12.5" x14ac:dyDescent="0.25">
      <c r="A995" s="7"/>
      <c r="B995" s="10"/>
      <c r="C995" s="10"/>
    </row>
    <row r="996" spans="1:3" ht="12.5" x14ac:dyDescent="0.25">
      <c r="A996" s="7"/>
      <c r="B996" s="7"/>
      <c r="C996" s="7"/>
    </row>
    <row r="997" spans="1:3" ht="12.5" x14ac:dyDescent="0.25">
      <c r="A997" s="7"/>
      <c r="B997" s="10"/>
      <c r="C997" s="10"/>
    </row>
    <row r="998" spans="1:3" ht="12.5" x14ac:dyDescent="0.25">
      <c r="A998" s="7"/>
      <c r="B998" s="7"/>
      <c r="C998" s="7"/>
    </row>
    <row r="999" spans="1:3" ht="12.5" x14ac:dyDescent="0.25">
      <c r="A999" s="7"/>
      <c r="B999" s="10"/>
      <c r="C999" s="10"/>
    </row>
    <row r="1000" spans="1:3" ht="12.5" x14ac:dyDescent="0.25">
      <c r="A1000" s="7"/>
      <c r="B1000" s="7"/>
      <c r="C1000" s="7"/>
    </row>
    <row r="1001" spans="1:3" ht="12.5" x14ac:dyDescent="0.25">
      <c r="A1001" s="7"/>
      <c r="B1001" s="10"/>
      <c r="C1001" s="10"/>
    </row>
    <row r="1002" spans="1:3" ht="12.5" x14ac:dyDescent="0.25">
      <c r="A1002" s="7"/>
      <c r="B1002" s="7"/>
      <c r="C1002" s="7"/>
    </row>
    <row r="1003" spans="1:3" ht="12.5" x14ac:dyDescent="0.25">
      <c r="A1003" s="7"/>
      <c r="B1003" s="10"/>
      <c r="C1003" s="10"/>
    </row>
    <row r="1004" spans="1:3" ht="12.5" x14ac:dyDescent="0.25">
      <c r="A1004" s="7"/>
      <c r="B1004" s="7"/>
      <c r="C1004" s="7"/>
    </row>
    <row r="1005" spans="1:3" ht="12.5" x14ac:dyDescent="0.25">
      <c r="A1005" s="7"/>
      <c r="B1005" s="10"/>
      <c r="C1005" s="10"/>
    </row>
    <row r="1006" spans="1:3" ht="12.5" x14ac:dyDescent="0.25">
      <c r="A1006" s="7"/>
      <c r="B1006" s="7"/>
      <c r="C1006" s="7"/>
    </row>
    <row r="1007" spans="1:3" ht="12.5" x14ac:dyDescent="0.25">
      <c r="A1007" s="7"/>
      <c r="B1007" s="10"/>
      <c r="C1007" s="10"/>
    </row>
    <row r="1008" spans="1:3" ht="12.5" x14ac:dyDescent="0.25">
      <c r="A1008" s="7"/>
      <c r="B1008" s="7"/>
      <c r="C1008" s="7"/>
    </row>
    <row r="1009" spans="1:3" ht="12.5" x14ac:dyDescent="0.25">
      <c r="A1009" s="7"/>
      <c r="B1009" s="10"/>
      <c r="C1009" s="10"/>
    </row>
    <row r="1010" spans="1:3" ht="12.5" x14ac:dyDescent="0.25">
      <c r="A1010" s="7"/>
      <c r="B1010" s="7"/>
      <c r="C1010" s="7"/>
    </row>
    <row r="1011" spans="1:3" ht="12.5" x14ac:dyDescent="0.25">
      <c r="A1011" s="7"/>
      <c r="B1011" s="10"/>
      <c r="C1011" s="10"/>
    </row>
    <row r="1012" spans="1:3" ht="12.5" x14ac:dyDescent="0.25">
      <c r="A1012" s="7"/>
      <c r="B1012" s="7"/>
      <c r="C1012" s="7"/>
    </row>
    <row r="1013" spans="1:3" ht="12.5" x14ac:dyDescent="0.25">
      <c r="A1013" s="7"/>
      <c r="B1013" s="10"/>
      <c r="C1013" s="10"/>
    </row>
    <row r="1014" spans="1:3" ht="12.5" x14ac:dyDescent="0.25">
      <c r="A1014" s="7"/>
      <c r="B1014" s="7"/>
      <c r="C1014" s="7"/>
    </row>
    <row r="1015" spans="1:3" ht="12.5" x14ac:dyDescent="0.25">
      <c r="A1015" s="7"/>
      <c r="B1015" s="10"/>
      <c r="C1015" s="10"/>
    </row>
    <row r="1016" spans="1:3" ht="12.5" x14ac:dyDescent="0.25">
      <c r="A1016" s="7"/>
      <c r="B1016" s="7"/>
      <c r="C1016" s="7"/>
    </row>
    <row r="1017" spans="1:3" ht="12.5" x14ac:dyDescent="0.25">
      <c r="A1017" s="7"/>
      <c r="B1017" s="10"/>
      <c r="C1017" s="10"/>
    </row>
    <row r="1018" spans="1:3" ht="12.5" x14ac:dyDescent="0.25">
      <c r="A1018" s="7"/>
      <c r="B1018" s="7"/>
      <c r="C1018" s="7"/>
    </row>
    <row r="1019" spans="1:3" ht="12.5" x14ac:dyDescent="0.25">
      <c r="A1019" s="7"/>
      <c r="B1019" s="10"/>
      <c r="C1019" s="10"/>
    </row>
    <row r="1020" spans="1:3" ht="12.5" x14ac:dyDescent="0.25">
      <c r="A1020" s="7"/>
      <c r="B1020" s="7"/>
      <c r="C1020" s="7"/>
    </row>
    <row r="1021" spans="1:3" ht="12.5" x14ac:dyDescent="0.25">
      <c r="A1021" s="7"/>
      <c r="B1021" s="10"/>
      <c r="C1021" s="10"/>
    </row>
    <row r="1022" spans="1:3" ht="12.5" x14ac:dyDescent="0.25">
      <c r="A1022" s="7"/>
      <c r="B1022" s="7"/>
      <c r="C1022" s="7"/>
    </row>
    <row r="1023" spans="1:3" ht="12.5" x14ac:dyDescent="0.25">
      <c r="A1023" s="7"/>
      <c r="B1023" s="10"/>
      <c r="C1023" s="10"/>
    </row>
    <row r="1024" spans="1:3" ht="12.5" x14ac:dyDescent="0.25">
      <c r="A1024" s="7"/>
      <c r="B1024" s="7"/>
      <c r="C1024" s="7"/>
    </row>
    <row r="1025" spans="1:3" ht="12.5" x14ac:dyDescent="0.25">
      <c r="A1025" s="7"/>
      <c r="B1025" s="10"/>
      <c r="C1025" s="10"/>
    </row>
    <row r="1026" spans="1:3" ht="12.5" x14ac:dyDescent="0.25">
      <c r="A1026" s="7"/>
      <c r="B1026" s="7"/>
      <c r="C1026" s="7"/>
    </row>
    <row r="1027" spans="1:3" ht="12.5" x14ac:dyDescent="0.25">
      <c r="A1027" s="7"/>
      <c r="B1027" s="10"/>
      <c r="C1027" s="10"/>
    </row>
    <row r="1028" spans="1:3" ht="12.5" x14ac:dyDescent="0.25">
      <c r="A1028" s="7"/>
      <c r="B1028" s="7"/>
      <c r="C1028" s="7"/>
    </row>
    <row r="1029" spans="1:3" ht="12.5" x14ac:dyDescent="0.25">
      <c r="A1029" s="7"/>
      <c r="B1029" s="10"/>
      <c r="C1029" s="10"/>
    </row>
    <row r="1030" spans="1:3" ht="12.5" x14ac:dyDescent="0.25">
      <c r="A1030" s="7"/>
      <c r="B1030" s="7"/>
      <c r="C1030" s="7"/>
    </row>
    <row r="1031" spans="1:3" ht="12.5" x14ac:dyDescent="0.25">
      <c r="A1031" s="7"/>
      <c r="B1031" s="10"/>
      <c r="C1031" s="10"/>
    </row>
    <row r="1032" spans="1:3" ht="12.5" x14ac:dyDescent="0.25">
      <c r="A1032" s="7"/>
      <c r="B1032" s="7"/>
      <c r="C1032" s="7"/>
    </row>
    <row r="1033" spans="1:3" ht="12.5" x14ac:dyDescent="0.25">
      <c r="A1033" s="7"/>
      <c r="B1033" s="10"/>
      <c r="C1033" s="10"/>
    </row>
    <row r="1034" spans="1:3" ht="12.5" x14ac:dyDescent="0.25">
      <c r="A1034" s="7"/>
      <c r="B1034" s="7"/>
      <c r="C1034" s="7"/>
    </row>
    <row r="1035" spans="1:3" ht="12.5" x14ac:dyDescent="0.25">
      <c r="A1035" s="7"/>
      <c r="B1035" s="10"/>
      <c r="C1035" s="10"/>
    </row>
    <row r="1036" spans="1:3" ht="12.5" x14ac:dyDescent="0.25">
      <c r="A1036" s="7"/>
      <c r="B1036" s="7"/>
      <c r="C1036" s="7"/>
    </row>
    <row r="1037" spans="1:3" ht="12.5" x14ac:dyDescent="0.25">
      <c r="A1037" s="7"/>
      <c r="B1037" s="10"/>
      <c r="C1037" s="10"/>
    </row>
    <row r="1038" spans="1:3" ht="12.5" x14ac:dyDescent="0.25">
      <c r="A1038" s="7"/>
      <c r="B1038" s="7"/>
      <c r="C1038" s="7"/>
    </row>
    <row r="1039" spans="1:3" ht="12.5" x14ac:dyDescent="0.25">
      <c r="A1039" s="7"/>
      <c r="B1039" s="10"/>
      <c r="C1039" s="10"/>
    </row>
    <row r="1040" spans="1:3" ht="12.5" x14ac:dyDescent="0.25">
      <c r="A1040" s="7"/>
      <c r="B1040" s="7"/>
      <c r="C1040" s="7"/>
    </row>
    <row r="1041" spans="1:3" ht="12.5" x14ac:dyDescent="0.25">
      <c r="A1041" s="7"/>
      <c r="B1041" s="10"/>
      <c r="C1041" s="10"/>
    </row>
    <row r="1042" spans="1:3" ht="12.5" x14ac:dyDescent="0.25">
      <c r="A1042" s="7"/>
      <c r="B1042" s="7"/>
      <c r="C1042" s="7"/>
    </row>
    <row r="1043" spans="1:3" ht="12.5" x14ac:dyDescent="0.25">
      <c r="A1043" s="7"/>
      <c r="B1043" s="10"/>
      <c r="C1043" s="10"/>
    </row>
    <row r="1044" spans="1:3" ht="12.5" x14ac:dyDescent="0.25">
      <c r="A1044" s="7"/>
      <c r="B1044" s="7"/>
      <c r="C1044" s="7"/>
    </row>
    <row r="1045" spans="1:3" ht="12.5" x14ac:dyDescent="0.25">
      <c r="A1045" s="7"/>
      <c r="B1045" s="10"/>
      <c r="C1045" s="10"/>
    </row>
    <row r="1046" spans="1:3" ht="12.5" x14ac:dyDescent="0.25">
      <c r="A1046" s="7"/>
      <c r="B1046" s="7"/>
      <c r="C1046" s="7"/>
    </row>
    <row r="1047" spans="1:3" ht="12.5" x14ac:dyDescent="0.25">
      <c r="A1047" s="7"/>
      <c r="B1047" s="10"/>
      <c r="C1047" s="10"/>
    </row>
    <row r="1048" spans="1:3" ht="12.5" x14ac:dyDescent="0.25">
      <c r="A1048" s="7"/>
      <c r="B1048" s="7"/>
      <c r="C1048" s="7"/>
    </row>
    <row r="1049" spans="1:3" ht="12.5" x14ac:dyDescent="0.25">
      <c r="A1049" s="7"/>
      <c r="B1049" s="10"/>
      <c r="C1049" s="10"/>
    </row>
    <row r="1050" spans="1:3" ht="12.5" x14ac:dyDescent="0.25">
      <c r="A1050" s="7"/>
      <c r="B1050" s="7"/>
      <c r="C1050" s="7"/>
    </row>
    <row r="1051" spans="1:3" ht="12.5" x14ac:dyDescent="0.25">
      <c r="A1051" s="7"/>
      <c r="B1051" s="10"/>
      <c r="C1051" s="10"/>
    </row>
    <row r="1052" spans="1:3" ht="12.5" x14ac:dyDescent="0.25">
      <c r="A1052" s="7"/>
      <c r="B1052" s="7"/>
      <c r="C1052" s="7"/>
    </row>
    <row r="1053" spans="1:3" ht="12.5" x14ac:dyDescent="0.25">
      <c r="A1053" s="7"/>
      <c r="B1053" s="10"/>
      <c r="C1053" s="10"/>
    </row>
    <row r="1054" spans="1:3" ht="12.5" x14ac:dyDescent="0.25">
      <c r="A1054" s="7"/>
      <c r="B1054" s="7"/>
      <c r="C1054" s="7"/>
    </row>
    <row r="1055" spans="1:3" ht="12.5" x14ac:dyDescent="0.25">
      <c r="A1055" s="7"/>
      <c r="B1055" s="10"/>
      <c r="C1055" s="10"/>
    </row>
    <row r="1056" spans="1:3" ht="12.5" x14ac:dyDescent="0.25">
      <c r="A1056" s="7"/>
      <c r="B1056" s="7"/>
      <c r="C1056" s="7"/>
    </row>
    <row r="1057" spans="1:3" ht="12.5" x14ac:dyDescent="0.25">
      <c r="A1057" s="7"/>
      <c r="B1057" s="10"/>
      <c r="C1057" s="10"/>
    </row>
    <row r="1058" spans="1:3" ht="12.5" x14ac:dyDescent="0.25">
      <c r="A1058" s="7"/>
      <c r="B1058" s="7"/>
      <c r="C1058" s="7"/>
    </row>
    <row r="1059" spans="1:3" ht="12.5" x14ac:dyDescent="0.25">
      <c r="A1059" s="7"/>
      <c r="B1059" s="10"/>
      <c r="C1059" s="10"/>
    </row>
    <row r="1060" spans="1:3" ht="12.5" x14ac:dyDescent="0.25">
      <c r="A1060" s="7"/>
      <c r="B1060" s="7"/>
      <c r="C1060" s="7"/>
    </row>
    <row r="1061" spans="1:3" ht="12.5" x14ac:dyDescent="0.25">
      <c r="A1061" s="7"/>
      <c r="B1061" s="10"/>
      <c r="C1061" s="10"/>
    </row>
    <row r="1062" spans="1:3" ht="12.5" x14ac:dyDescent="0.25">
      <c r="A1062" s="7"/>
      <c r="B1062" s="7"/>
      <c r="C1062" s="7"/>
    </row>
  </sheetData>
  <autoFilter ref="A1:B106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49"/>
  <sheetViews>
    <sheetView workbookViewId="0"/>
  </sheetViews>
  <sheetFormatPr defaultColWidth="14.453125" defaultRowHeight="15.75" customHeight="1" x14ac:dyDescent="0.25"/>
  <sheetData>
    <row r="1" spans="1:13" ht="15.75" customHeight="1" x14ac:dyDescent="0.25">
      <c r="A1" t="str">
        <f ca="1">IFERROR(__xludf.DUMMYFUNCTION("unique('Penjualan Kopi 2016-2018'!A1:M1062)"),"Nama Depan")</f>
        <v>Nama Depan</v>
      </c>
      <c r="B1" t="str">
        <f ca="1">IFERROR(__xludf.DUMMYFUNCTION("""COMPUTED_VALUE"""),"Nama Belakang")</f>
        <v>Nama Belakang</v>
      </c>
      <c r="C1" t="str">
        <f ca="1">IFERROR(__xludf.DUMMYFUNCTION("""COMPUTED_VALUE"""),"Email")</f>
        <v>Email</v>
      </c>
      <c r="D1" t="str">
        <f ca="1">IFERROR(__xludf.DUMMYFUNCTION("""COMPUTED_VALUE"""),"Kota")</f>
        <v>Kota</v>
      </c>
      <c r="E1" s="12" t="str">
        <f ca="1">IFERROR(__xludf.DUMMYFUNCTION("""COMPUTED_VALUE"""),"Tanggal Pembelian")</f>
        <v>Tanggal Pembelian</v>
      </c>
      <c r="F1" t="str">
        <f ca="1">IFERROR(__xludf.DUMMYFUNCTION("""COMPUTED_VALUE"""),"Produk Yang Dibeli")</f>
        <v>Produk Yang Dibeli</v>
      </c>
      <c r="G1" t="str">
        <f ca="1">IFERROR(__xludf.DUMMYFUNCTION("""COMPUTED_VALUE"""),"Total Penjualan")</f>
        <v>Total Penjualan</v>
      </c>
      <c r="H1" t="str">
        <f ca="1">IFERROR(__xludf.DUMMYFUNCTION("""COMPUTED_VALUE"""),"Nomor Penjualan")</f>
        <v>Nomor Penjualan</v>
      </c>
      <c r="I1" t="str">
        <f ca="1">IFERROR(__xludf.DUMMYFUNCTION("""COMPUTED_VALUE"""),"Jumlah Pembelian")</f>
        <v>Jumlah Pembelian</v>
      </c>
      <c r="J1" t="str">
        <f ca="1">IFERROR(__xludf.DUMMYFUNCTION("""COMPUTED_VALUE"""),"Rating")</f>
        <v>Rating</v>
      </c>
      <c r="K1" t="str">
        <f ca="1">IFERROR(__xludf.DUMMYFUNCTION("""COMPUTED_VALUE"""),"Jasa Pengiriman")</f>
        <v>Jasa Pengiriman</v>
      </c>
      <c r="L1" t="str">
        <f ca="1">IFERROR(__xludf.DUMMYFUNCTION("""COMPUTED_VALUE"""),"Customer Baru")</f>
        <v>Customer Baru</v>
      </c>
      <c r="M1" t="str">
        <f ca="1">IFERROR(__xludf.DUMMYFUNCTION("""COMPUTED_VALUE"""),"Sales Person")</f>
        <v>Sales Person</v>
      </c>
    </row>
    <row r="2" spans="1:13" ht="15.75" customHeight="1" x14ac:dyDescent="0.25">
      <c r="A2" t="str">
        <f ca="1">IFERROR(__xludf.DUMMYFUNCTION("""COMPUTED_VALUE"""),"Bambang")</f>
        <v>Bambang</v>
      </c>
      <c r="B2" t="str">
        <f ca="1">IFERROR(__xludf.DUMMYFUNCTION("""COMPUTED_VALUE"""),"Satya")</f>
        <v>Satya</v>
      </c>
      <c r="C2" t="str">
        <f ca="1">IFERROR(__xludf.DUMMYFUNCTION("""COMPUTED_VALUE"""),"Satya@gmailx.com")</f>
        <v>Satya@gmailx.com</v>
      </c>
      <c r="D2" t="str">
        <f ca="1">IFERROR(__xludf.DUMMYFUNCTION("""COMPUTED_VALUE"""),"Bogor")</f>
        <v>Bogor</v>
      </c>
      <c r="E2" s="12">
        <f ca="1">IFERROR(__xludf.DUMMYFUNCTION("""COMPUTED_VALUE"""),43462)</f>
        <v>43462</v>
      </c>
      <c r="F2" t="str">
        <f ca="1">IFERROR(__xludf.DUMMYFUNCTION("""COMPUTED_VALUE"""),"KP0425CB")</f>
        <v>KP0425CB</v>
      </c>
      <c r="G2" s="11">
        <f ca="1">IFERROR(__xludf.DUMMYFUNCTION("""COMPUTED_VALUE"""),136250000)</f>
        <v>136250000</v>
      </c>
      <c r="H2">
        <f ca="1">IFERROR(__xludf.DUMMYFUNCTION("""COMPUTED_VALUE"""),36897)</f>
        <v>36897</v>
      </c>
      <c r="I2">
        <f ca="1">IFERROR(__xludf.DUMMYFUNCTION("""COMPUTED_VALUE"""),5)</f>
        <v>5</v>
      </c>
      <c r="J2" t="str">
        <f ca="1">IFERROR(__xludf.DUMMYFUNCTION("""COMPUTED_VALUE"""),"N/A")</f>
        <v>N/A</v>
      </c>
      <c r="K2" t="str">
        <f ca="1">IFERROR(__xludf.DUMMYFUNCTION("""COMPUTED_VALUE"""),"Wakanda Express")</f>
        <v>Wakanda Express</v>
      </c>
      <c r="L2" t="str">
        <f ca="1">IFERROR(__xludf.DUMMYFUNCTION("""COMPUTED_VALUE"""),"Y")</f>
        <v>Y</v>
      </c>
      <c r="M2" t="str">
        <f ca="1">IFERROR(__xludf.DUMMYFUNCTION("""COMPUTED_VALUE"""),"Ll-409")</f>
        <v>Ll-409</v>
      </c>
    </row>
    <row r="3" spans="1:13" ht="15.75" customHeight="1" x14ac:dyDescent="0.25">
      <c r="A3" t="str">
        <f ca="1">IFERROR(__xludf.DUMMYFUNCTION("""COMPUTED_VALUE"""),"Rachmat")</f>
        <v>Rachmat</v>
      </c>
      <c r="B3" t="str">
        <f ca="1">IFERROR(__xludf.DUMMYFUNCTION("""COMPUTED_VALUE"""),"P.")</f>
        <v>P.</v>
      </c>
      <c r="C3" t="str">
        <f ca="1">IFERROR(__xludf.DUMMYFUNCTION("""COMPUTED_VALUE"""),"Rachmat@icloudx.com")</f>
        <v>Rachmat@icloudx.com</v>
      </c>
      <c r="D3" t="str">
        <f ca="1">IFERROR(__xludf.DUMMYFUNCTION("""COMPUTED_VALUE"""),"Banjar")</f>
        <v>Banjar</v>
      </c>
      <c r="E3" s="12">
        <f ca="1">IFERROR(__xludf.DUMMYFUNCTION("""COMPUTED_VALUE"""),43462)</f>
        <v>43462</v>
      </c>
      <c r="F3" t="str">
        <f ca="1">IFERROR(__xludf.DUMMYFUNCTION("""COMPUTED_VALUE"""),"KP0925SG")</f>
        <v>KP0925SG</v>
      </c>
      <c r="G3" s="11">
        <f ca="1">IFERROR(__xludf.DUMMYFUNCTION("""COMPUTED_VALUE"""),45000000)</f>
        <v>45000000</v>
      </c>
      <c r="H3" t="str">
        <f ca="1">IFERROR(__xludf.DUMMYFUNCTION("""COMPUTED_VALUE"""),"35624")</f>
        <v>35624</v>
      </c>
      <c r="I3">
        <f ca="1">IFERROR(__xludf.DUMMYFUNCTION("""COMPUTED_VALUE"""),3)</f>
        <v>3</v>
      </c>
      <c r="J3" t="str">
        <f ca="1">IFERROR(__xludf.DUMMYFUNCTION("""COMPUTED_VALUE"""),"N/A")</f>
        <v>N/A</v>
      </c>
      <c r="K3" t="str">
        <f ca="1">IFERROR(__xludf.DUMMYFUNCTION("""COMPUTED_VALUE"""),"Wakanda Express")</f>
        <v>Wakanda Express</v>
      </c>
      <c r="L3" t="str">
        <f ca="1">IFERROR(__xludf.DUMMYFUNCTION("""COMPUTED_VALUE"""),"N")</f>
        <v>N</v>
      </c>
      <c r="M3" t="str">
        <f ca="1">IFERROR(__xludf.DUMMYFUNCTION("""COMPUTED_VALUE"""),"Do-409")</f>
        <v>Do-409</v>
      </c>
    </row>
    <row r="4" spans="1:13" ht="15.75" customHeight="1" x14ac:dyDescent="0.25">
      <c r="A4" t="str">
        <f ca="1">IFERROR(__xludf.DUMMYFUNCTION("""COMPUTED_VALUE"""),"Lie")</f>
        <v>Lie</v>
      </c>
      <c r="B4" t="str">
        <f ca="1">IFERROR(__xludf.DUMMYFUNCTION("""COMPUTED_VALUE"""),"Arsil")</f>
        <v>Arsil</v>
      </c>
      <c r="C4" t="str">
        <f ca="1">IFERROR(__xludf.DUMMYFUNCTION("""COMPUTED_VALUE"""),"LIE@ymailx.com")</f>
        <v>LIE@ymailx.com</v>
      </c>
      <c r="D4" t="str">
        <f ca="1">IFERROR(__xludf.DUMMYFUNCTION("""COMPUTED_VALUE"""),"Gorontalo")</f>
        <v>Gorontalo</v>
      </c>
      <c r="E4" s="12">
        <f ca="1">IFERROR(__xludf.DUMMYFUNCTION("""COMPUTED_VALUE"""),43460)</f>
        <v>43460</v>
      </c>
      <c r="F4" t="str">
        <f ca="1">IFERROR(__xludf.DUMMYFUNCTION("""COMPUTED_VALUE"""),"KP0850FB")</f>
        <v>KP0850FB</v>
      </c>
      <c r="G4" s="11">
        <f ca="1">IFERROR(__xludf.DUMMYFUNCTION("""COMPUTED_VALUE"""),147000000)</f>
        <v>147000000</v>
      </c>
      <c r="H4">
        <f ca="1">IFERROR(__xludf.DUMMYFUNCTION("""COMPUTED_VALUE"""),35745)</f>
        <v>35745</v>
      </c>
      <c r="I4">
        <f ca="1">IFERROR(__xludf.DUMMYFUNCTION("""COMPUTED_VALUE"""),7)</f>
        <v>7</v>
      </c>
      <c r="J4" t="str">
        <f ca="1">IFERROR(__xludf.DUMMYFUNCTION("""COMPUTED_VALUE"""),"N/A")</f>
        <v>N/A</v>
      </c>
      <c r="K4" t="str">
        <f ca="1">IFERROR(__xludf.DUMMYFUNCTION("""COMPUTED_VALUE"""),"JENT")</f>
        <v>JENT</v>
      </c>
      <c r="L4" t="str">
        <f ca="1">IFERROR(__xludf.DUMMYFUNCTION("""COMPUTED_VALUE"""),"Y")</f>
        <v>Y</v>
      </c>
      <c r="M4" t="str">
        <f ca="1">IFERROR(__xludf.DUMMYFUNCTION("""COMPUTED_VALUE"""),"Bc-983")</f>
        <v>Bc-983</v>
      </c>
    </row>
    <row r="5" spans="1:13" ht="15.75" customHeight="1" x14ac:dyDescent="0.25">
      <c r="A5" t="str">
        <f ca="1">IFERROR(__xludf.DUMMYFUNCTION("""COMPUTED_VALUE"""),"Jimmy")</f>
        <v>Jimmy</v>
      </c>
      <c r="B5" t="str">
        <f ca="1">IFERROR(__xludf.DUMMYFUNCTION("""COMPUTED_VALUE"""),"Hardono")</f>
        <v>Hardono</v>
      </c>
      <c r="C5" t="str">
        <f ca="1">IFERROR(__xludf.DUMMYFUNCTION("""COMPUTED_VALUE"""),"Hardono@ymailx.com")</f>
        <v>Hardono@ymailx.com</v>
      </c>
      <c r="D5" t="str">
        <f ca="1">IFERROR(__xludf.DUMMYFUNCTION("""COMPUTED_VALUE"""),"Purwokerto")</f>
        <v>Purwokerto</v>
      </c>
      <c r="E5" s="12">
        <f ca="1">IFERROR(__xludf.DUMMYFUNCTION("""COMPUTED_VALUE"""),43459)</f>
        <v>43459</v>
      </c>
      <c r="F5" t="str">
        <f ca="1">IFERROR(__xludf.DUMMYFUNCTION("""COMPUTED_VALUE"""),"KP0750AJ")</f>
        <v>KP0750AJ</v>
      </c>
      <c r="G5" s="11">
        <f ca="1">IFERROR(__xludf.DUMMYFUNCTION("""COMPUTED_VALUE"""),162000000)</f>
        <v>162000000</v>
      </c>
      <c r="H5">
        <f ca="1">IFERROR(__xludf.DUMMYFUNCTION("""COMPUTED_VALUE"""),35432)</f>
        <v>35432</v>
      </c>
      <c r="I5">
        <f ca="1">IFERROR(__xludf.DUMMYFUNCTION("""COMPUTED_VALUE"""),9)</f>
        <v>9</v>
      </c>
      <c r="J5" t="str">
        <f ca="1">IFERROR(__xludf.DUMMYFUNCTION("""COMPUTED_VALUE"""),"N/A")</f>
        <v>N/A</v>
      </c>
      <c r="K5" t="str">
        <f ca="1">IFERROR(__xludf.DUMMYFUNCTION("""COMPUTED_VALUE"""),"Cepat Kirim")</f>
        <v>Cepat Kirim</v>
      </c>
      <c r="L5" t="str">
        <f ca="1">IFERROR(__xludf.DUMMYFUNCTION("""COMPUTED_VALUE"""),"Y")</f>
        <v>Y</v>
      </c>
      <c r="M5" t="str">
        <f ca="1">IFERROR(__xludf.DUMMYFUNCTION("""COMPUTED_VALUE"""),"Ng-410")</f>
        <v>Ng-410</v>
      </c>
    </row>
    <row r="6" spans="1:13" ht="15.75" customHeight="1" x14ac:dyDescent="0.25">
      <c r="A6" t="str">
        <f ca="1">IFERROR(__xludf.DUMMYFUNCTION("""COMPUTED_VALUE"""),"Sudjono")</f>
        <v>Sudjono</v>
      </c>
      <c r="B6" t="str">
        <f ca="1">IFERROR(__xludf.DUMMYFUNCTION("""COMPUTED_VALUE"""),"Hirawan")</f>
        <v>Hirawan</v>
      </c>
      <c r="C6" t="str">
        <f ca="1">IFERROR(__xludf.DUMMYFUNCTION("""COMPUTED_VALUE"""),"Hirawan@rocketmailx.com")</f>
        <v>Hirawan@rocketmailx.com</v>
      </c>
      <c r="D6" t="str">
        <f ca="1">IFERROR(__xludf.DUMMYFUNCTION("""COMPUTED_VALUE"""),"Pasuruan")</f>
        <v>Pasuruan</v>
      </c>
      <c r="E6" s="12">
        <f ca="1">IFERROR(__xludf.DUMMYFUNCTION("""COMPUTED_VALUE"""),43458)</f>
        <v>43458</v>
      </c>
      <c r="F6" t="str">
        <f ca="1">IFERROR(__xludf.DUMMYFUNCTION("""COMPUTED_VALUE"""),"KP0925SG")</f>
        <v>KP0925SG</v>
      </c>
      <c r="G6" s="11">
        <f ca="1">IFERROR(__xludf.DUMMYFUNCTION("""COMPUTED_VALUE"""),105000000)</f>
        <v>105000000</v>
      </c>
      <c r="H6">
        <f ca="1">IFERROR(__xludf.DUMMYFUNCTION("""COMPUTED_VALUE"""),35012)</f>
        <v>35012</v>
      </c>
      <c r="I6">
        <f ca="1">IFERROR(__xludf.DUMMYFUNCTION("""COMPUTED_VALUE"""),7)</f>
        <v>7</v>
      </c>
      <c r="J6" t="str">
        <f ca="1">IFERROR(__xludf.DUMMYFUNCTION("""COMPUTED_VALUE"""),"N/A")</f>
        <v>N/A</v>
      </c>
      <c r="K6" t="str">
        <f ca="1">IFERROR(__xludf.DUMMYFUNCTION("""COMPUTED_VALUE"""),"JENT")</f>
        <v>JENT</v>
      </c>
      <c r="L6" t="str">
        <f ca="1">IFERROR(__xludf.DUMMYFUNCTION("""COMPUTED_VALUE"""),"N")</f>
        <v>N</v>
      </c>
      <c r="M6" t="str">
        <f ca="1">IFERROR(__xludf.DUMMYFUNCTION("""COMPUTED_VALUE"""),"Ae-123")</f>
        <v>Ae-123</v>
      </c>
    </row>
    <row r="7" spans="1:13" ht="15.75" customHeight="1" x14ac:dyDescent="0.25">
      <c r="A7" t="str">
        <f ca="1">IFERROR(__xludf.DUMMYFUNCTION("""COMPUTED_VALUE"""),"Ari")</f>
        <v>Ari</v>
      </c>
      <c r="B7" t="str">
        <f ca="1">IFERROR(__xludf.DUMMYFUNCTION("""COMPUTED_VALUE"""),"Shahab")</f>
        <v>Shahab</v>
      </c>
      <c r="C7" t="str">
        <f ca="1">IFERROR(__xludf.DUMMYFUNCTION("""COMPUTED_VALUE"""),"Ari@ymailx.com")</f>
        <v>Ari@ymailx.com</v>
      </c>
      <c r="D7" t="str">
        <f ca="1">IFERROR(__xludf.DUMMYFUNCTION("""COMPUTED_VALUE"""),"Tarakan")</f>
        <v>Tarakan</v>
      </c>
      <c r="E7" s="12">
        <f ca="1">IFERROR(__xludf.DUMMYFUNCTION("""COMPUTED_VALUE"""),43457)</f>
        <v>43457</v>
      </c>
      <c r="F7" t="str">
        <f ca="1">IFERROR(__xludf.DUMMYFUNCTION("""COMPUTED_VALUE"""),"KP0625AF")</f>
        <v>KP0625AF</v>
      </c>
      <c r="G7" s="11">
        <f ca="1">IFERROR(__xludf.DUMMYFUNCTION("""COMPUTED_VALUE"""),96000000)</f>
        <v>96000000</v>
      </c>
      <c r="H7">
        <f ca="1">IFERROR(__xludf.DUMMYFUNCTION("""COMPUTED_VALUE"""),35226)</f>
        <v>35226</v>
      </c>
      <c r="I7">
        <f ca="1">IFERROR(__xludf.DUMMYFUNCTION("""COMPUTED_VALUE"""),8)</f>
        <v>8</v>
      </c>
      <c r="J7" t="str">
        <f ca="1">IFERROR(__xludf.DUMMYFUNCTION("""COMPUTED_VALUE"""),"N/A")</f>
        <v>N/A</v>
      </c>
      <c r="K7" t="str">
        <f ca="1">IFERROR(__xludf.DUMMYFUNCTION("""COMPUTED_VALUE"""),"Wakanda Express")</f>
        <v>Wakanda Express</v>
      </c>
      <c r="L7" t="str">
        <f ca="1">IFERROR(__xludf.DUMMYFUNCTION("""COMPUTED_VALUE"""),"Y")</f>
        <v>Y</v>
      </c>
      <c r="M7" t="str">
        <f ca="1">IFERROR(__xludf.DUMMYFUNCTION("""COMPUTED_VALUE"""),"Kn-994")</f>
        <v>Kn-994</v>
      </c>
    </row>
    <row r="8" spans="1:13" ht="15.75" customHeight="1" x14ac:dyDescent="0.25">
      <c r="A8" t="str">
        <f ca="1">IFERROR(__xludf.DUMMYFUNCTION("""COMPUTED_VALUE"""),"Indawan")</f>
        <v>Indawan</v>
      </c>
      <c r="B8" t="str">
        <f ca="1">IFERROR(__xludf.DUMMYFUNCTION("""COMPUTED_VALUE"""),"Arsyafira")</f>
        <v>Arsyafira</v>
      </c>
      <c r="C8" t="str">
        <f ca="1">IFERROR(__xludf.DUMMYFUNCTION("""COMPUTED_VALUE"""),"Arsyafira@ymailx.com")</f>
        <v>Arsyafira@ymailx.com</v>
      </c>
      <c r="D8" t="str">
        <f ca="1">IFERROR(__xludf.DUMMYFUNCTION("""COMPUTED_VALUE"""),"Palangkaraya")</f>
        <v>Palangkaraya</v>
      </c>
      <c r="E8" s="12">
        <f ca="1">IFERROR(__xludf.DUMMYFUNCTION("""COMPUTED_VALUE"""),43456)</f>
        <v>43456</v>
      </c>
      <c r="F8" t="str">
        <f ca="1">IFERROR(__xludf.DUMMYFUNCTION("""COMPUTED_VALUE"""),"KP0850FB")</f>
        <v>KP0850FB</v>
      </c>
      <c r="G8" s="11">
        <f ca="1">IFERROR(__xludf.DUMMYFUNCTION("""COMPUTED_VALUE"""),42000000)</f>
        <v>42000000</v>
      </c>
      <c r="H8">
        <f ca="1">IFERROR(__xludf.DUMMYFUNCTION("""COMPUTED_VALUE"""),36614)</f>
        <v>36614</v>
      </c>
      <c r="I8">
        <f ca="1">IFERROR(__xludf.DUMMYFUNCTION("""COMPUTED_VALUE"""),2)</f>
        <v>2</v>
      </c>
      <c r="J8" t="str">
        <f ca="1">IFERROR(__xludf.DUMMYFUNCTION("""COMPUTED_VALUE"""),"N/A")</f>
        <v>N/A</v>
      </c>
      <c r="K8" t="str">
        <f ca="1">IFERROR(__xludf.DUMMYFUNCTION("""COMPUTED_VALUE"""),"JENT")</f>
        <v>JENT</v>
      </c>
      <c r="L8" t="str">
        <f ca="1">IFERROR(__xludf.DUMMYFUNCTION("""COMPUTED_VALUE"""),"Y")</f>
        <v>Y</v>
      </c>
      <c r="M8" t="str">
        <f ca="1">IFERROR(__xludf.DUMMYFUNCTION("""COMPUTED_VALUE"""),"Tf-992")</f>
        <v>Tf-992</v>
      </c>
    </row>
    <row r="9" spans="1:13" ht="15.75" customHeight="1" x14ac:dyDescent="0.25">
      <c r="A9" t="str">
        <f ca="1">IFERROR(__xludf.DUMMYFUNCTION("""COMPUTED_VALUE"""),"Jayanti")</f>
        <v>Jayanti</v>
      </c>
      <c r="B9" t="str">
        <f ca="1">IFERROR(__xludf.DUMMYFUNCTION("""COMPUTED_VALUE"""),"F.")</f>
        <v>F.</v>
      </c>
      <c r="C9" t="str">
        <f ca="1">IFERROR(__xludf.DUMMYFUNCTION("""COMPUTED_VALUE"""),"F.@gmailx.com")</f>
        <v>F.@gmailx.com</v>
      </c>
      <c r="D9" t="str">
        <f ca="1">IFERROR(__xludf.DUMMYFUNCTION("""COMPUTED_VALUE"""),"Tangerang Selatan")</f>
        <v>Tangerang Selatan</v>
      </c>
      <c r="E9" s="12">
        <f ca="1">IFERROR(__xludf.DUMMYFUNCTION("""COMPUTED_VALUE"""),43454)</f>
        <v>43454</v>
      </c>
      <c r="F9" t="str">
        <f ca="1">IFERROR(__xludf.DUMMYFUNCTION("""COMPUTED_VALUE"""),"KP0350CF")</f>
        <v>KP0350CF</v>
      </c>
      <c r="G9" s="11">
        <f ca="1">IFERROR(__xludf.DUMMYFUNCTION("""COMPUTED_VALUE"""),140000000)</f>
        <v>140000000</v>
      </c>
      <c r="H9">
        <f ca="1">IFERROR(__xludf.DUMMYFUNCTION("""COMPUTED_VALUE"""),36600)</f>
        <v>36600</v>
      </c>
      <c r="I9">
        <f ca="1">IFERROR(__xludf.DUMMYFUNCTION("""COMPUTED_VALUE"""),4)</f>
        <v>4</v>
      </c>
      <c r="J9" t="str">
        <f ca="1">IFERROR(__xludf.DUMMYFUNCTION("""COMPUTED_VALUE"""),"N/A")</f>
        <v>N/A</v>
      </c>
      <c r="K9" t="str">
        <f ca="1">IFERROR(__xludf.DUMMYFUNCTION("""COMPUTED_VALUE"""),"Wakanda Express")</f>
        <v>Wakanda Express</v>
      </c>
      <c r="L9" t="str">
        <f ca="1">IFERROR(__xludf.DUMMYFUNCTION("""COMPUTED_VALUE"""),"Y")</f>
        <v>Y</v>
      </c>
      <c r="M9" t="str">
        <f ca="1">IFERROR(__xludf.DUMMYFUNCTION("""COMPUTED_VALUE"""),"Sn-500")</f>
        <v>Sn-500</v>
      </c>
    </row>
    <row r="10" spans="1:13" ht="15.75" customHeight="1" x14ac:dyDescent="0.25">
      <c r="A10" t="str">
        <f ca="1">IFERROR(__xludf.DUMMYFUNCTION("""COMPUTED_VALUE"""),"Monalita")</f>
        <v>Monalita</v>
      </c>
      <c r="B10" t="str">
        <f ca="1">IFERROR(__xludf.DUMMYFUNCTION("""COMPUTED_VALUE"""),"Hermawan")</f>
        <v>Hermawan</v>
      </c>
      <c r="C10" t="str">
        <f ca="1">IFERROR(__xludf.DUMMYFUNCTION("""COMPUTED_VALUE"""),"Monalita@icloudx.com")</f>
        <v>Monalita@icloudx.com</v>
      </c>
      <c r="D10" t="str">
        <f ca="1">IFERROR(__xludf.DUMMYFUNCTION("""COMPUTED_VALUE"""),"Padang Sidempuan")</f>
        <v>Padang Sidempuan</v>
      </c>
      <c r="E10" s="12">
        <f ca="1">IFERROR(__xludf.DUMMYFUNCTION("""COMPUTED_VALUE"""),43453)</f>
        <v>43453</v>
      </c>
      <c r="F10" t="str">
        <f ca="1">IFERROR(__xludf.DUMMYFUNCTION("""COMPUTED_VALUE"""),"KP0925SG")</f>
        <v>KP0925SG</v>
      </c>
      <c r="G10" s="11">
        <f ca="1">IFERROR(__xludf.DUMMYFUNCTION("""COMPUTED_VALUE"""),90000000)</f>
        <v>90000000</v>
      </c>
      <c r="H10">
        <f ca="1">IFERROR(__xludf.DUMMYFUNCTION("""COMPUTED_VALUE"""),36249)</f>
        <v>36249</v>
      </c>
      <c r="I10">
        <f ca="1">IFERROR(__xludf.DUMMYFUNCTION("""COMPUTED_VALUE"""),6)</f>
        <v>6</v>
      </c>
      <c r="J10">
        <f ca="1">IFERROR(__xludf.DUMMYFUNCTION("""COMPUTED_VALUE"""),4)</f>
        <v>4</v>
      </c>
      <c r="K10" t="str">
        <f ca="1">IFERROR(__xludf.DUMMYFUNCTION("""COMPUTED_VALUE"""),"Wakanda Express")</f>
        <v>Wakanda Express</v>
      </c>
      <c r="L10" t="str">
        <f ca="1">IFERROR(__xludf.DUMMYFUNCTION("""COMPUTED_VALUE"""),"Y")</f>
        <v>Y</v>
      </c>
      <c r="M10" t="str">
        <f ca="1">IFERROR(__xludf.DUMMYFUNCTION("""COMPUTED_VALUE"""),"Yl-662")</f>
        <v>Yl-662</v>
      </c>
    </row>
    <row r="11" spans="1:13" ht="15.75" customHeight="1" x14ac:dyDescent="0.25">
      <c r="A11" t="str">
        <f ca="1">IFERROR(__xludf.DUMMYFUNCTION("""COMPUTED_VALUE"""),"Franky")</f>
        <v>Franky</v>
      </c>
      <c r="B11" t="str">
        <f ca="1">IFERROR(__xludf.DUMMYFUNCTION("""COMPUTED_VALUE"""),"Investama")</f>
        <v>Investama</v>
      </c>
      <c r="C11" t="str">
        <f ca="1">IFERROR(__xludf.DUMMYFUNCTION("""COMPUTED_VALUE"""),"Franky@gmailx.com")</f>
        <v>Franky@gmailx.com</v>
      </c>
      <c r="D11" t="str">
        <f ca="1">IFERROR(__xludf.DUMMYFUNCTION("""COMPUTED_VALUE"""),"Mojokerto")</f>
        <v>Mojokerto</v>
      </c>
      <c r="E11" s="12">
        <f ca="1">IFERROR(__xludf.DUMMYFUNCTION("""COMPUTED_VALUE"""),43451)</f>
        <v>43451</v>
      </c>
      <c r="F11" t="str">
        <f ca="1">IFERROR(__xludf.DUMMYFUNCTION("""COMPUTED_VALUE"""),"KP0925SG")</f>
        <v>KP0925SG</v>
      </c>
      <c r="G11" s="11">
        <f ca="1">IFERROR(__xludf.DUMMYFUNCTION("""COMPUTED_VALUE"""),90000000)</f>
        <v>90000000</v>
      </c>
      <c r="H11">
        <f ca="1">IFERROR(__xludf.DUMMYFUNCTION("""COMPUTED_VALUE"""),35442)</f>
        <v>35442</v>
      </c>
      <c r="I11">
        <f ca="1">IFERROR(__xludf.DUMMYFUNCTION("""COMPUTED_VALUE"""),6)</f>
        <v>6</v>
      </c>
      <c r="J11" t="str">
        <f ca="1">IFERROR(__xludf.DUMMYFUNCTION("""COMPUTED_VALUE"""),"N/A")</f>
        <v>N/A</v>
      </c>
      <c r="K11" t="str">
        <f ca="1">IFERROR(__xludf.DUMMYFUNCTION("""COMPUTED_VALUE"""),"Cepat Kirim")</f>
        <v>Cepat Kirim</v>
      </c>
      <c r="L11" t="str">
        <f ca="1">IFERROR(__xludf.DUMMYFUNCTION("""COMPUTED_VALUE"""),"Y")</f>
        <v>Y</v>
      </c>
      <c r="M11" t="str">
        <f ca="1">IFERROR(__xludf.DUMMYFUNCTION("""COMPUTED_VALUE"""),"Ta-123")</f>
        <v>Ta-123</v>
      </c>
    </row>
    <row r="12" spans="1:13" ht="15.75" customHeight="1" x14ac:dyDescent="0.25">
      <c r="A12" t="str">
        <f ca="1">IFERROR(__xludf.DUMMYFUNCTION("""COMPUTED_VALUE"""),"Lily")</f>
        <v>Lily</v>
      </c>
      <c r="B12" t="str">
        <f ca="1">IFERROR(__xludf.DUMMYFUNCTION("""COMPUTED_VALUE"""),"Holdings")</f>
        <v>Holdings</v>
      </c>
      <c r="C12" t="str">
        <f ca="1">IFERROR(__xludf.DUMMYFUNCTION("""COMPUTED_VALUE"""),"Holdings@rocketmailx.com")</f>
        <v>Holdings@rocketmailx.com</v>
      </c>
      <c r="D12" t="str">
        <f ca="1">IFERROR(__xludf.DUMMYFUNCTION("""COMPUTED_VALUE"""),"Lubuklinggau")</f>
        <v>Lubuklinggau</v>
      </c>
      <c r="E12" s="12">
        <f ca="1">IFERROR(__xludf.DUMMYFUNCTION("""COMPUTED_VALUE"""),43451)</f>
        <v>43451</v>
      </c>
      <c r="F12" t="str">
        <f ca="1">IFERROR(__xludf.DUMMYFUNCTION("""COMPUTED_VALUE"""),"KP0050AG")</f>
        <v>KP0050AG</v>
      </c>
      <c r="G12" s="11">
        <f ca="1">IFERROR(__xludf.DUMMYFUNCTION("""COMPUTED_VALUE"""),162500000)</f>
        <v>162500000</v>
      </c>
      <c r="H12">
        <f ca="1">IFERROR(__xludf.DUMMYFUNCTION("""COMPUTED_VALUE"""),35978)</f>
        <v>35978</v>
      </c>
      <c r="I12">
        <f ca="1">IFERROR(__xludf.DUMMYFUNCTION("""COMPUTED_VALUE"""),10)</f>
        <v>10</v>
      </c>
      <c r="J12" t="str">
        <f ca="1">IFERROR(__xludf.DUMMYFUNCTION("""COMPUTED_VALUE"""),"N/A")</f>
        <v>N/A</v>
      </c>
      <c r="K12" t="str">
        <f ca="1">IFERROR(__xludf.DUMMYFUNCTION("""COMPUTED_VALUE"""),"Swift Delivery")</f>
        <v>Swift Delivery</v>
      </c>
      <c r="L12" t="str">
        <f ca="1">IFERROR(__xludf.DUMMYFUNCTION("""COMPUTED_VALUE"""),"Y")</f>
        <v>Y</v>
      </c>
      <c r="M12" t="str">
        <f ca="1">IFERROR(__xludf.DUMMYFUNCTION("""COMPUTED_VALUE"""),"Yp-661")</f>
        <v>Yp-661</v>
      </c>
    </row>
    <row r="13" spans="1:13" ht="15.75" customHeight="1" x14ac:dyDescent="0.25">
      <c r="A13" t="str">
        <f ca="1">IFERROR(__xludf.DUMMYFUNCTION("""COMPUTED_VALUE"""),"Dadi")</f>
        <v>Dadi</v>
      </c>
      <c r="B13" t="str">
        <f ca="1">IFERROR(__xludf.DUMMYFUNCTION("""COMPUTED_VALUE"""),"Siddharta")</f>
        <v>Siddharta</v>
      </c>
      <c r="C13" t="str">
        <f ca="1">IFERROR(__xludf.DUMMYFUNCTION("""COMPUTED_VALUE"""),"Siddharta@outlookx.com")</f>
        <v>Siddharta@outlookx.com</v>
      </c>
      <c r="D13" t="str">
        <f ca="1">IFERROR(__xludf.DUMMYFUNCTION("""COMPUTED_VALUE"""),"Banjarbaru")</f>
        <v>Banjarbaru</v>
      </c>
      <c r="E13" s="12">
        <f ca="1">IFERROR(__xludf.DUMMYFUNCTION("""COMPUTED_VALUE"""),43450)</f>
        <v>43450</v>
      </c>
      <c r="F13" t="str">
        <f ca="1">IFERROR(__xludf.DUMMYFUNCTION("""COMPUTED_VALUE"""),"KP0925SG")</f>
        <v>KP0925SG</v>
      </c>
      <c r="G13" s="11">
        <f ca="1">IFERROR(__xludf.DUMMYFUNCTION("""COMPUTED_VALUE"""),135000000)</f>
        <v>135000000</v>
      </c>
      <c r="H13">
        <f ca="1">IFERROR(__xludf.DUMMYFUNCTION("""COMPUTED_VALUE"""),36047)</f>
        <v>36047</v>
      </c>
      <c r="I13">
        <f ca="1">IFERROR(__xludf.DUMMYFUNCTION("""COMPUTED_VALUE"""),9)</f>
        <v>9</v>
      </c>
      <c r="J13" t="str">
        <f ca="1">IFERROR(__xludf.DUMMYFUNCTION("""COMPUTED_VALUE"""),"N/A")</f>
        <v>N/A</v>
      </c>
      <c r="K13" t="str">
        <f ca="1">IFERROR(__xludf.DUMMYFUNCTION("""COMPUTED_VALUE"""),"JENT")</f>
        <v>JENT</v>
      </c>
      <c r="L13" t="str">
        <f ca="1">IFERROR(__xludf.DUMMYFUNCTION("""COMPUTED_VALUE"""),"Y")</f>
        <v>Y</v>
      </c>
      <c r="M13" t="str">
        <f ca="1">IFERROR(__xludf.DUMMYFUNCTION("""COMPUTED_VALUE"""),"Ka-991")</f>
        <v>Ka-991</v>
      </c>
    </row>
    <row r="14" spans="1:13" ht="15.75" customHeight="1" x14ac:dyDescent="0.25">
      <c r="A14" t="str">
        <f ca="1">IFERROR(__xludf.DUMMYFUNCTION("""COMPUTED_VALUE"""),"Benny")</f>
        <v>Benny</v>
      </c>
      <c r="B14" t="str">
        <f ca="1">IFERROR(__xludf.DUMMYFUNCTION("""COMPUTED_VALUE"""),"Atmadja")</f>
        <v>Atmadja</v>
      </c>
      <c r="C14" t="str">
        <f ca="1">IFERROR(__xludf.DUMMYFUNCTION("""COMPUTED_VALUE"""),"Benny@outlookx.com")</f>
        <v>Benny@outlookx.com</v>
      </c>
      <c r="D14" t="str">
        <f ca="1">IFERROR(__xludf.DUMMYFUNCTION("""COMPUTED_VALUE"""),"Jayapura")</f>
        <v>Jayapura</v>
      </c>
      <c r="E14" s="12">
        <f ca="1">IFERROR(__xludf.DUMMYFUNCTION("""COMPUTED_VALUE"""),43449)</f>
        <v>43449</v>
      </c>
      <c r="F14" t="str">
        <f ca="1">IFERROR(__xludf.DUMMYFUNCTION("""COMPUTED_VALUE"""),"KP0350CF")</f>
        <v>KP0350CF</v>
      </c>
      <c r="G14" s="11">
        <f ca="1">IFERROR(__xludf.DUMMYFUNCTION("""COMPUTED_VALUE"""),280000000)</f>
        <v>280000000</v>
      </c>
      <c r="H14">
        <f ca="1">IFERROR(__xludf.DUMMYFUNCTION("""COMPUTED_VALUE"""),36446)</f>
        <v>36446</v>
      </c>
      <c r="I14">
        <f ca="1">IFERROR(__xludf.DUMMYFUNCTION("""COMPUTED_VALUE"""),8)</f>
        <v>8</v>
      </c>
      <c r="J14" t="str">
        <f ca="1">IFERROR(__xludf.DUMMYFUNCTION("""COMPUTED_VALUE"""),"N/A")</f>
        <v>N/A</v>
      </c>
      <c r="K14" t="str">
        <f ca="1">IFERROR(__xludf.DUMMYFUNCTION("""COMPUTED_VALUE"""),"JENT")</f>
        <v>JENT</v>
      </c>
      <c r="L14" t="str">
        <f ca="1">IFERROR(__xludf.DUMMYFUNCTION("""COMPUTED_VALUE"""),"Y")</f>
        <v>Y</v>
      </c>
      <c r="M14" t="str">
        <f ca="1">IFERROR(__xludf.DUMMYFUNCTION("""COMPUTED_VALUE"""),"Tr-990")</f>
        <v>Tr-990</v>
      </c>
    </row>
    <row r="15" spans="1:13" ht="15.75" customHeight="1" x14ac:dyDescent="0.25">
      <c r="A15" t="str">
        <f ca="1">IFERROR(__xludf.DUMMYFUNCTION("""COMPUTED_VALUE"""),"Djoni")</f>
        <v>Djoni</v>
      </c>
      <c r="B15" t="str">
        <f ca="1">IFERROR(__xludf.DUMMYFUNCTION("""COMPUTED_VALUE"""),"Hadisurjo")</f>
        <v>Hadisurjo</v>
      </c>
      <c r="C15" t="str">
        <f ca="1">IFERROR(__xludf.DUMMYFUNCTION("""COMPUTED_VALUE"""),"Hadisurjo@icloudx.com")</f>
        <v>Hadisurjo@icloudx.com</v>
      </c>
      <c r="D15" t="str">
        <f ca="1">IFERROR(__xludf.DUMMYFUNCTION("""COMPUTED_VALUE"""),"Payakumbuh")</f>
        <v>Payakumbuh</v>
      </c>
      <c r="E15" s="12">
        <f ca="1">IFERROR(__xludf.DUMMYFUNCTION("""COMPUTED_VALUE"""),43448)</f>
        <v>43448</v>
      </c>
      <c r="F15" t="str">
        <f ca="1">IFERROR(__xludf.DUMMYFUNCTION("""COMPUTED_VALUE"""),"KP0350CF")</f>
        <v>KP0350CF</v>
      </c>
      <c r="G15" s="11">
        <f ca="1">IFERROR(__xludf.DUMMYFUNCTION("""COMPUTED_VALUE"""),140000000)</f>
        <v>140000000</v>
      </c>
      <c r="H15">
        <f ca="1">IFERROR(__xludf.DUMMYFUNCTION("""COMPUTED_VALUE"""),35398)</f>
        <v>35398</v>
      </c>
      <c r="I15">
        <f ca="1">IFERROR(__xludf.DUMMYFUNCTION("""COMPUTED_VALUE"""),4)</f>
        <v>4</v>
      </c>
      <c r="J15" t="str">
        <f ca="1">IFERROR(__xludf.DUMMYFUNCTION("""COMPUTED_VALUE"""),"N/A")</f>
        <v>N/A</v>
      </c>
      <c r="K15" t="str">
        <f ca="1">IFERROR(__xludf.DUMMYFUNCTION("""COMPUTED_VALUE"""),"Wakanda Express")</f>
        <v>Wakanda Express</v>
      </c>
      <c r="L15" t="str">
        <f ca="1">IFERROR(__xludf.DUMMYFUNCTION("""COMPUTED_VALUE"""),"Y")</f>
        <v>Y</v>
      </c>
      <c r="M15" t="str">
        <f ca="1">IFERROR(__xludf.DUMMYFUNCTION("""COMPUTED_VALUE"""),"Ze-559")</f>
        <v>Ze-559</v>
      </c>
    </row>
    <row r="16" spans="1:13" ht="15.75" customHeight="1" x14ac:dyDescent="0.25">
      <c r="A16" t="str">
        <f ca="1">IFERROR(__xludf.DUMMYFUNCTION("""COMPUTED_VALUE"""),"John")</f>
        <v>John</v>
      </c>
      <c r="B16" t="str">
        <f ca="1">IFERROR(__xludf.DUMMYFUNCTION("""COMPUTED_VALUE"""),"Sukarso")</f>
        <v>Sukarso</v>
      </c>
      <c r="C16" t="str">
        <f ca="1">IFERROR(__xludf.DUMMYFUNCTION("""COMPUTED_VALUE"""),"Sukarso@gmailx.com")</f>
        <v>Sukarso@gmailx.com</v>
      </c>
      <c r="D16" t="str">
        <f ca="1">IFERROR(__xludf.DUMMYFUNCTION("""COMPUTED_VALUE"""),"Semarang")</f>
        <v>Semarang</v>
      </c>
      <c r="E16" s="12">
        <f ca="1">IFERROR(__xludf.DUMMYFUNCTION("""COMPUTED_VALUE"""),43416)</f>
        <v>43416</v>
      </c>
      <c r="F16" t="str">
        <f ca="1">IFERROR(__xludf.DUMMYFUNCTION("""COMPUTED_VALUE"""),"KP0150BH")</f>
        <v>KP0150BH</v>
      </c>
      <c r="G16" s="11">
        <f ca="1">IFERROR(__xludf.DUMMYFUNCTION("""COMPUTED_VALUE"""),216000000)</f>
        <v>216000000</v>
      </c>
      <c r="H16">
        <f ca="1">IFERROR(__xludf.DUMMYFUNCTION("""COMPUTED_VALUE"""),35392)</f>
        <v>35392</v>
      </c>
      <c r="I16">
        <f ca="1">IFERROR(__xludf.DUMMYFUNCTION("""COMPUTED_VALUE"""),8)</f>
        <v>8</v>
      </c>
      <c r="J16" t="str">
        <f ca="1">IFERROR(__xludf.DUMMYFUNCTION("""COMPUTED_VALUE"""),"N/A")</f>
        <v>N/A</v>
      </c>
      <c r="K16" t="str">
        <f ca="1">IFERROR(__xludf.DUMMYFUNCTION("""COMPUTED_VALUE"""),"JENT")</f>
        <v>JENT</v>
      </c>
      <c r="L16" t="str">
        <f ca="1">IFERROR(__xludf.DUMMYFUNCTION("""COMPUTED_VALUE"""),"Y")</f>
        <v>Y</v>
      </c>
      <c r="M16" t="str">
        <f ca="1">IFERROR(__xludf.DUMMYFUNCTION("""COMPUTED_VALUE"""),"Ua-410")</f>
        <v>Ua-410</v>
      </c>
    </row>
    <row r="17" spans="1:13" ht="15.75" customHeight="1" x14ac:dyDescent="0.25">
      <c r="A17" t="str">
        <f ca="1">IFERROR(__xludf.DUMMYFUNCTION("""COMPUTED_VALUE"""),"David")</f>
        <v>David</v>
      </c>
      <c r="B17" t="str">
        <f ca="1">IFERROR(__xludf.DUMMYFUNCTION("""COMPUTED_VALUE"""),"Mellon")</f>
        <v>Mellon</v>
      </c>
      <c r="C17" t="str">
        <f ca="1">IFERROR(__xludf.DUMMYFUNCTION("""COMPUTED_VALUE"""),"Mellon@livex.com")</f>
        <v>Mellon@livex.com</v>
      </c>
      <c r="D17" t="str">
        <f ca="1">IFERROR(__xludf.DUMMYFUNCTION("""COMPUTED_VALUE"""),"Sabang")</f>
        <v>Sabang</v>
      </c>
      <c r="E17" s="12">
        <f ca="1">IFERROR(__xludf.DUMMYFUNCTION("""COMPUTED_VALUE"""),43416)</f>
        <v>43416</v>
      </c>
      <c r="F17" t="str">
        <f ca="1">IFERROR(__xludf.DUMMYFUNCTION("""COMPUTED_VALUE"""),"KP0350CF")</f>
        <v>KP0350CF</v>
      </c>
      <c r="G17" s="11">
        <f ca="1">IFERROR(__xludf.DUMMYFUNCTION("""COMPUTED_VALUE"""),105000000)</f>
        <v>105000000</v>
      </c>
      <c r="H17">
        <f ca="1">IFERROR(__xludf.DUMMYFUNCTION("""COMPUTED_VALUE"""),35204)</f>
        <v>35204</v>
      </c>
      <c r="I17">
        <f ca="1">IFERROR(__xludf.DUMMYFUNCTION("""COMPUTED_VALUE"""),3)</f>
        <v>3</v>
      </c>
      <c r="J17" t="str">
        <f ca="1">IFERROR(__xludf.DUMMYFUNCTION("""COMPUTED_VALUE"""),"N/A")</f>
        <v>N/A</v>
      </c>
      <c r="K17" t="str">
        <f ca="1">IFERROR(__xludf.DUMMYFUNCTION("""COMPUTED_VALUE"""),"Wakanda Express")</f>
        <v>Wakanda Express</v>
      </c>
      <c r="L17" t="str">
        <f ca="1">IFERROR(__xludf.DUMMYFUNCTION("""COMPUTED_VALUE"""),"Y")</f>
        <v>Y</v>
      </c>
      <c r="M17" t="str">
        <f ca="1">IFERROR(__xludf.DUMMYFUNCTION("""COMPUTED_VALUE"""),"Hi-101")</f>
        <v>Hi-101</v>
      </c>
    </row>
    <row r="18" spans="1:13" ht="15.75" customHeight="1" x14ac:dyDescent="0.25">
      <c r="A18" t="str">
        <f ca="1">IFERROR(__xludf.DUMMYFUNCTION("""COMPUTED_VALUE"""),"Kimberly")</f>
        <v>Kimberly</v>
      </c>
      <c r="B18" t="str">
        <f ca="1">IFERROR(__xludf.DUMMYFUNCTION("""COMPUTED_VALUE"""),"Natalia")</f>
        <v>Natalia</v>
      </c>
      <c r="C18" t="str">
        <f ca="1">IFERROR(__xludf.DUMMYFUNCTION("""COMPUTED_VALUE"""),"Natalia@ymailx.com")</f>
        <v>Natalia@ymailx.com</v>
      </c>
      <c r="D18" t="str">
        <f ca="1">IFERROR(__xludf.DUMMYFUNCTION("""COMPUTED_VALUE"""),"Langsa")</f>
        <v>Langsa</v>
      </c>
      <c r="E18" s="12">
        <f ca="1">IFERROR(__xludf.DUMMYFUNCTION("""COMPUTED_VALUE"""),43416)</f>
        <v>43416</v>
      </c>
      <c r="F18" t="str">
        <f ca="1">IFERROR(__xludf.DUMMYFUNCTION("""COMPUTED_VALUE"""),"KP0625AF")</f>
        <v>KP0625AF</v>
      </c>
      <c r="G18" s="11">
        <f ca="1">IFERROR(__xludf.DUMMYFUNCTION("""COMPUTED_VALUE"""),24000000)</f>
        <v>24000000</v>
      </c>
      <c r="H18">
        <f ca="1">IFERROR(__xludf.DUMMYFUNCTION("""COMPUTED_VALUE"""),35810)</f>
        <v>35810</v>
      </c>
      <c r="I18">
        <f ca="1">IFERROR(__xludf.DUMMYFUNCTION("""COMPUTED_VALUE"""),2)</f>
        <v>2</v>
      </c>
      <c r="J18" t="str">
        <f ca="1">IFERROR(__xludf.DUMMYFUNCTION("""COMPUTED_VALUE"""),"N/A")</f>
        <v>N/A</v>
      </c>
      <c r="K18" t="str">
        <f ca="1">IFERROR(__xludf.DUMMYFUNCTION("""COMPUTED_VALUE"""),"Cepat Kirim")</f>
        <v>Cepat Kirim</v>
      </c>
      <c r="L18" t="str">
        <f ca="1">IFERROR(__xludf.DUMMYFUNCTION("""COMPUTED_VALUE"""),"Y")</f>
        <v>Y</v>
      </c>
      <c r="M18" t="str">
        <f ca="1">IFERROR(__xludf.DUMMYFUNCTION("""COMPUTED_VALUE"""),"Cs-101")</f>
        <v>Cs-101</v>
      </c>
    </row>
    <row r="19" spans="1:13" ht="15.75" customHeight="1" x14ac:dyDescent="0.25">
      <c r="A19" t="str">
        <f ca="1">IFERROR(__xludf.DUMMYFUNCTION("""COMPUTED_VALUE"""),"Letty")</f>
        <v>Letty</v>
      </c>
      <c r="B19" t="str">
        <f ca="1">IFERROR(__xludf.DUMMYFUNCTION("""COMPUTED_VALUE"""),"Tamin")</f>
        <v>Tamin</v>
      </c>
      <c r="C19" t="str">
        <f ca="1">IFERROR(__xludf.DUMMYFUNCTION("""COMPUTED_VALUE"""),"Letty@rocketmailx.com")</f>
        <v>Letty@rocketmailx.com</v>
      </c>
      <c r="D19" t="str">
        <f ca="1">IFERROR(__xludf.DUMMYFUNCTION("""COMPUTED_VALUE"""),"Samarinda")</f>
        <v>Samarinda</v>
      </c>
      <c r="E19" s="12">
        <f ca="1">IFERROR(__xludf.DUMMYFUNCTION("""COMPUTED_VALUE"""),43416)</f>
        <v>43416</v>
      </c>
      <c r="F19" t="str">
        <f ca="1">IFERROR(__xludf.DUMMYFUNCTION("""COMPUTED_VALUE"""),"KP0425CB")</f>
        <v>KP0425CB</v>
      </c>
      <c r="G19" s="11">
        <f ca="1">IFERROR(__xludf.DUMMYFUNCTION("""COMPUTED_VALUE"""),272500000)</f>
        <v>272500000</v>
      </c>
      <c r="H19">
        <f ca="1">IFERROR(__xludf.DUMMYFUNCTION("""COMPUTED_VALUE"""),35809)</f>
        <v>35809</v>
      </c>
      <c r="I19">
        <f ca="1">IFERROR(__xludf.DUMMYFUNCTION("""COMPUTED_VALUE"""),10)</f>
        <v>10</v>
      </c>
      <c r="J19" t="str">
        <f ca="1">IFERROR(__xludf.DUMMYFUNCTION("""COMPUTED_VALUE"""),"N/A")</f>
        <v>N/A</v>
      </c>
      <c r="K19" t="str">
        <f ca="1">IFERROR(__xludf.DUMMYFUNCTION("""COMPUTED_VALUE"""),"JENT")</f>
        <v>JENT</v>
      </c>
      <c r="L19" t="str">
        <f ca="1">IFERROR(__xludf.DUMMYFUNCTION("""COMPUTED_VALUE"""),"Y")</f>
        <v>Y</v>
      </c>
      <c r="M19" t="str">
        <f ca="1">IFERROR(__xludf.DUMMYFUNCTION("""COMPUTED_VALUE"""),"Ld-993")</f>
        <v>Ld-993</v>
      </c>
    </row>
    <row r="20" spans="1:13" ht="15.75" customHeight="1" x14ac:dyDescent="0.25">
      <c r="A20" t="str">
        <f ca="1">IFERROR(__xludf.DUMMYFUNCTION("""COMPUTED_VALUE"""),"Lucas")</f>
        <v>Lucas</v>
      </c>
      <c r="B20" t="str">
        <f ca="1">IFERROR(__xludf.DUMMYFUNCTION("""COMPUTED_VALUE"""),"Barak")</f>
        <v>Barak</v>
      </c>
      <c r="C20" t="str">
        <f ca="1">IFERROR(__xludf.DUMMYFUNCTION("""COMPUTED_VALUE"""),"Lucas@ymailx.com")</f>
        <v>Lucas@ymailx.com</v>
      </c>
      <c r="D20" t="str">
        <f ca="1">IFERROR(__xludf.DUMMYFUNCTION("""COMPUTED_VALUE"""),"Denpasar")</f>
        <v>Denpasar</v>
      </c>
      <c r="E20" s="12">
        <f ca="1">IFERROR(__xludf.DUMMYFUNCTION("""COMPUTED_VALUE"""),43385)</f>
        <v>43385</v>
      </c>
      <c r="F20" t="str">
        <f ca="1">IFERROR(__xludf.DUMMYFUNCTION("""COMPUTED_VALUE"""),"KP0225BB")</f>
        <v>KP0225BB</v>
      </c>
      <c r="G20" s="11">
        <f ca="1">IFERROR(__xludf.DUMMYFUNCTION("""COMPUTED_VALUE"""),100000000)</f>
        <v>100000000</v>
      </c>
      <c r="H20">
        <f ca="1">IFERROR(__xludf.DUMMYFUNCTION("""COMPUTED_VALUE"""),36192)</f>
        <v>36192</v>
      </c>
      <c r="I20">
        <f ca="1">IFERROR(__xludf.DUMMYFUNCTION("""COMPUTED_VALUE"""),10)</f>
        <v>10</v>
      </c>
      <c r="J20" t="str">
        <f ca="1">IFERROR(__xludf.DUMMYFUNCTION("""COMPUTED_VALUE"""),"N/A")</f>
        <v>N/A</v>
      </c>
      <c r="K20" t="str">
        <f ca="1">IFERROR(__xludf.DUMMYFUNCTION("""COMPUTED_VALUE"""),"Pru Logistic")</f>
        <v>Pru Logistic</v>
      </c>
      <c r="L20" t="str">
        <f ca="1">IFERROR(__xludf.DUMMYFUNCTION("""COMPUTED_VALUE"""),"Y")</f>
        <v>Y</v>
      </c>
      <c r="M20" t="str">
        <f ca="1">IFERROR(__xludf.DUMMYFUNCTION("""COMPUTED_VALUE"""),"Wi-201")</f>
        <v>Wi-201</v>
      </c>
    </row>
    <row r="21" spans="1:13" ht="15.75" customHeight="1" x14ac:dyDescent="0.25">
      <c r="A21" t="str">
        <f ca="1">IFERROR(__xludf.DUMMYFUNCTION("""COMPUTED_VALUE"""),"Gunawan")</f>
        <v>Gunawan</v>
      </c>
      <c r="B21" t="str">
        <f ca="1">IFERROR(__xludf.DUMMYFUNCTION("""COMPUTED_VALUE"""),"Sukanda")</f>
        <v>Sukanda</v>
      </c>
      <c r="C21" t="str">
        <f ca="1">IFERROR(__xludf.DUMMYFUNCTION("""COMPUTED_VALUE"""),"Gunawan@gmailx.com")</f>
        <v>Gunawan@gmailx.com</v>
      </c>
      <c r="D21" t="str">
        <f ca="1">IFERROR(__xludf.DUMMYFUNCTION("""COMPUTED_VALUE"""),"Pagaralam")</f>
        <v>Pagaralam</v>
      </c>
      <c r="E21" s="12">
        <f ca="1">IFERROR(__xludf.DUMMYFUNCTION("""COMPUTED_VALUE"""),43385)</f>
        <v>43385</v>
      </c>
      <c r="F21" t="str">
        <f ca="1">IFERROR(__xludf.DUMMYFUNCTION("""COMPUTED_VALUE"""),"KP0625AF")</f>
        <v>KP0625AF</v>
      </c>
      <c r="G21" s="11">
        <f ca="1">IFERROR(__xludf.DUMMYFUNCTION("""COMPUTED_VALUE"""),84000000)</f>
        <v>84000000</v>
      </c>
      <c r="H21">
        <f ca="1">IFERROR(__xludf.DUMMYFUNCTION("""COMPUTED_VALUE"""),35490)</f>
        <v>35490</v>
      </c>
      <c r="I21">
        <f ca="1">IFERROR(__xludf.DUMMYFUNCTION("""COMPUTED_VALUE"""),7)</f>
        <v>7</v>
      </c>
      <c r="J21">
        <f ca="1">IFERROR(__xludf.DUMMYFUNCTION("""COMPUTED_VALUE"""),4)</f>
        <v>4</v>
      </c>
      <c r="K21" t="str">
        <f ca="1">IFERROR(__xludf.DUMMYFUNCTION("""COMPUTED_VALUE"""),"Wakanda Express")</f>
        <v>Wakanda Express</v>
      </c>
      <c r="L21" t="str">
        <f ca="1">IFERROR(__xludf.DUMMYFUNCTION("""COMPUTED_VALUE"""),"Y")</f>
        <v>Y</v>
      </c>
      <c r="M21" t="str">
        <f ca="1">IFERROR(__xludf.DUMMYFUNCTION("""COMPUTED_VALUE"""),"Hg-661")</f>
        <v>Hg-661</v>
      </c>
    </row>
    <row r="22" spans="1:13" ht="15.75" customHeight="1" x14ac:dyDescent="0.25">
      <c r="A22" t="str">
        <f ca="1">IFERROR(__xludf.DUMMYFUNCTION("""COMPUTED_VALUE"""),"Lanny")</f>
        <v>Lanny</v>
      </c>
      <c r="B22" t="str">
        <f ca="1">IFERROR(__xludf.DUMMYFUNCTION("""COMPUTED_VALUE"""),"Kongoasa")</f>
        <v>Kongoasa</v>
      </c>
      <c r="C22" t="str">
        <f ca="1">IFERROR(__xludf.DUMMYFUNCTION("""COMPUTED_VALUE"""),"Kongoasa@mex.com")</f>
        <v>Kongoasa@mex.com</v>
      </c>
      <c r="D22" t="str">
        <f ca="1">IFERROR(__xludf.DUMMYFUNCTION("""COMPUTED_VALUE"""),"Tanjungpinang")</f>
        <v>Tanjungpinang</v>
      </c>
      <c r="E22" s="12">
        <f ca="1">IFERROR(__xludf.DUMMYFUNCTION("""COMPUTED_VALUE"""),43355)</f>
        <v>43355</v>
      </c>
      <c r="F22" t="str">
        <f ca="1">IFERROR(__xludf.DUMMYFUNCTION("""COMPUTED_VALUE"""),"KP0850FB")</f>
        <v>KP0850FB</v>
      </c>
      <c r="G22" s="11">
        <f ca="1">IFERROR(__xludf.DUMMYFUNCTION("""COMPUTED_VALUE"""),63000000)</f>
        <v>63000000</v>
      </c>
      <c r="H22">
        <f ca="1">IFERROR(__xludf.DUMMYFUNCTION("""COMPUTED_VALUE"""),35081)</f>
        <v>35081</v>
      </c>
      <c r="I22">
        <f ca="1">IFERROR(__xludf.DUMMYFUNCTION("""COMPUTED_VALUE"""),3)</f>
        <v>3</v>
      </c>
      <c r="J22" t="str">
        <f ca="1">IFERROR(__xludf.DUMMYFUNCTION("""COMPUTED_VALUE"""),"N/A")</f>
        <v>N/A</v>
      </c>
      <c r="K22" t="str">
        <f ca="1">IFERROR(__xludf.DUMMYFUNCTION("""COMPUTED_VALUE"""),"Swift Delivery")</f>
        <v>Swift Delivery</v>
      </c>
      <c r="L22" t="str">
        <f ca="1">IFERROR(__xludf.DUMMYFUNCTION("""COMPUTED_VALUE"""),"Y")</f>
        <v>Y</v>
      </c>
      <c r="M22" t="str">
        <f ca="1">IFERROR(__xludf.DUMMYFUNCTION("""COMPUTED_VALUE"""),"Na-809")</f>
        <v>Na-809</v>
      </c>
    </row>
    <row r="23" spans="1:13" ht="12.5" x14ac:dyDescent="0.25">
      <c r="A23" t="str">
        <f ca="1">IFERROR(__xludf.DUMMYFUNCTION("""COMPUTED_VALUE"""),"Sherlly")</f>
        <v>Sherlly</v>
      </c>
      <c r="B23" t="str">
        <f ca="1">IFERROR(__xludf.DUMMYFUNCTION("""COMPUTED_VALUE"""),"Kusumawati")</f>
        <v>Kusumawati</v>
      </c>
      <c r="C23" t="str">
        <f ca="1">IFERROR(__xludf.DUMMYFUNCTION("""COMPUTED_VALUE"""),"Sherlly@gmailx.com")</f>
        <v>Sherlly@gmailx.com</v>
      </c>
      <c r="D23" t="str">
        <f ca="1">IFERROR(__xludf.DUMMYFUNCTION("""COMPUTED_VALUE"""),"Malang")</f>
        <v>Malang</v>
      </c>
      <c r="E23" s="12">
        <f ca="1">IFERROR(__xludf.DUMMYFUNCTION("""COMPUTED_VALUE"""),43355)</f>
        <v>43355</v>
      </c>
      <c r="F23" t="str">
        <f ca="1">IFERROR(__xludf.DUMMYFUNCTION("""COMPUTED_VALUE"""),"KP0350CF")</f>
        <v>KP0350CF</v>
      </c>
      <c r="G23" s="11">
        <f ca="1">IFERROR(__xludf.DUMMYFUNCTION("""COMPUTED_VALUE"""),140000000)</f>
        <v>140000000</v>
      </c>
      <c r="H23">
        <f ca="1">IFERROR(__xludf.DUMMYFUNCTION("""COMPUTED_VALUE"""),36357)</f>
        <v>36357</v>
      </c>
      <c r="I23">
        <f ca="1">IFERROR(__xludf.DUMMYFUNCTION("""COMPUTED_VALUE"""),4)</f>
        <v>4</v>
      </c>
      <c r="J23">
        <f ca="1">IFERROR(__xludf.DUMMYFUNCTION("""COMPUTED_VALUE"""),4)</f>
        <v>4</v>
      </c>
      <c r="K23" t="str">
        <f ca="1">IFERROR(__xludf.DUMMYFUNCTION("""COMPUTED_VALUE"""),"Wakanda Express")</f>
        <v>Wakanda Express</v>
      </c>
      <c r="L23" t="str">
        <f ca="1">IFERROR(__xludf.DUMMYFUNCTION("""COMPUTED_VALUE"""),"N")</f>
        <v>N</v>
      </c>
      <c r="M23" t="str">
        <f ca="1">IFERROR(__xludf.DUMMYFUNCTION("""COMPUTED_VALUE"""),"Uc-123")</f>
        <v>Uc-123</v>
      </c>
    </row>
    <row r="24" spans="1:13" ht="12.5" x14ac:dyDescent="0.25">
      <c r="A24" t="str">
        <f ca="1">IFERROR(__xludf.DUMMYFUNCTION("""COMPUTED_VALUE"""),"Nia")</f>
        <v>Nia</v>
      </c>
      <c r="B24" t="str">
        <f ca="1">IFERROR(__xludf.DUMMYFUNCTION("""COMPUTED_VALUE"""),"Husein")</f>
        <v>Husein</v>
      </c>
      <c r="C24" t="str">
        <f ca="1">IFERROR(__xludf.DUMMYFUNCTION("""COMPUTED_VALUE"""),"Nia@outlookx.com")</f>
        <v>Nia@outlookx.com</v>
      </c>
      <c r="D24" t="str">
        <f ca="1">IFERROR(__xludf.DUMMYFUNCTION("""COMPUTED_VALUE"""),"Banda Aceh")</f>
        <v>Banda Aceh</v>
      </c>
      <c r="E24" s="12">
        <f ca="1">IFERROR(__xludf.DUMMYFUNCTION("""COMPUTED_VALUE"""),43355)</f>
        <v>43355</v>
      </c>
      <c r="F24" t="str">
        <f ca="1">IFERROR(__xludf.DUMMYFUNCTION("""COMPUTED_VALUE"""),"KP0925SG")</f>
        <v>KP0925SG</v>
      </c>
      <c r="G24" s="11">
        <f ca="1">IFERROR(__xludf.DUMMYFUNCTION("""COMPUTED_VALUE"""),60000000)</f>
        <v>60000000</v>
      </c>
      <c r="H24">
        <f ca="1">IFERROR(__xludf.DUMMYFUNCTION("""COMPUTED_VALUE"""),35933)</f>
        <v>35933</v>
      </c>
      <c r="I24">
        <f ca="1">IFERROR(__xludf.DUMMYFUNCTION("""COMPUTED_VALUE"""),4)</f>
        <v>4</v>
      </c>
      <c r="J24" t="str">
        <f ca="1">IFERROR(__xludf.DUMMYFUNCTION("""COMPUTED_VALUE"""),"N/A")</f>
        <v>N/A</v>
      </c>
      <c r="K24" t="str">
        <f ca="1">IFERROR(__xludf.DUMMYFUNCTION("""COMPUTED_VALUE"""),"Wakanda Express")</f>
        <v>Wakanda Express</v>
      </c>
      <c r="L24" t="str">
        <f ca="1">IFERROR(__xludf.DUMMYFUNCTION("""COMPUTED_VALUE"""),"N")</f>
        <v>N</v>
      </c>
      <c r="M24" t="str">
        <f ca="1">IFERROR(__xludf.DUMMYFUNCTION("""COMPUTED_VALUE"""),"Dg-101")</f>
        <v>Dg-101</v>
      </c>
    </row>
    <row r="25" spans="1:13" ht="12.5" x14ac:dyDescent="0.25">
      <c r="A25" t="str">
        <f ca="1">IFERROR(__xludf.DUMMYFUNCTION("""COMPUTED_VALUE"""),"Budi")</f>
        <v>Budi</v>
      </c>
      <c r="B25" t="str">
        <f ca="1">IFERROR(__xludf.DUMMYFUNCTION("""COMPUTED_VALUE"""),"T.")</f>
        <v>T.</v>
      </c>
      <c r="C25" t="str">
        <f ca="1">IFERROR(__xludf.DUMMYFUNCTION("""COMPUTED_VALUE"""),"T.@ymailx.com")</f>
        <v>T.@ymailx.com</v>
      </c>
      <c r="D25" t="str">
        <f ca="1">IFERROR(__xludf.DUMMYFUNCTION("""COMPUTED_VALUE"""),"Probolinggo")</f>
        <v>Probolinggo</v>
      </c>
      <c r="E25" s="12">
        <f ca="1">IFERROR(__xludf.DUMMYFUNCTION("""COMPUTED_VALUE"""),43293)</f>
        <v>43293</v>
      </c>
      <c r="F25" t="str">
        <f ca="1">IFERROR(__xludf.DUMMYFUNCTION("""COMPUTED_VALUE"""),"KP0625AF")</f>
        <v>KP0625AF</v>
      </c>
      <c r="G25" s="11">
        <f ca="1">IFERROR(__xludf.DUMMYFUNCTION("""COMPUTED_VALUE"""),108000000)</f>
        <v>108000000</v>
      </c>
      <c r="H25">
        <f ca="1">IFERROR(__xludf.DUMMYFUNCTION("""COMPUTED_VALUE"""),35268)</f>
        <v>35268</v>
      </c>
      <c r="I25">
        <f ca="1">IFERROR(__xludf.DUMMYFUNCTION("""COMPUTED_VALUE"""),9)</f>
        <v>9</v>
      </c>
      <c r="J25">
        <f ca="1">IFERROR(__xludf.DUMMYFUNCTION("""COMPUTED_VALUE"""),3)</f>
        <v>3</v>
      </c>
      <c r="K25" t="str">
        <f ca="1">IFERROR(__xludf.DUMMYFUNCTION("""COMPUTED_VALUE"""),"Pru Logistic")</f>
        <v>Pru Logistic</v>
      </c>
      <c r="L25" t="str">
        <f ca="1">IFERROR(__xludf.DUMMYFUNCTION("""COMPUTED_VALUE"""),"Y")</f>
        <v>Y</v>
      </c>
      <c r="M25" t="str">
        <f ca="1">IFERROR(__xludf.DUMMYFUNCTION("""COMPUTED_VALUE"""),"By-123")</f>
        <v>By-123</v>
      </c>
    </row>
    <row r="26" spans="1:13" ht="12.5" x14ac:dyDescent="0.25">
      <c r="A26" t="str">
        <f ca="1">IFERROR(__xludf.DUMMYFUNCTION("""COMPUTED_VALUE"""),"Mohammad")</f>
        <v>Mohammad</v>
      </c>
      <c r="B26" t="str">
        <f ca="1">IFERROR(__xludf.DUMMYFUNCTION("""COMPUTED_VALUE"""),"Soniati")</f>
        <v>Soniati</v>
      </c>
      <c r="C26" t="str">
        <f ca="1">IFERROR(__xludf.DUMMYFUNCTION("""COMPUTED_VALUE"""),"Soniati@icloudx.com")</f>
        <v>Soniati@icloudx.com</v>
      </c>
      <c r="D26" t="str">
        <f ca="1">IFERROR(__xludf.DUMMYFUNCTION("""COMPUTED_VALUE"""),"Dumai")</f>
        <v>Dumai</v>
      </c>
      <c r="E26" s="12">
        <f ca="1">IFERROR(__xludf.DUMMYFUNCTION("""COMPUTED_VALUE"""),43232)</f>
        <v>43232</v>
      </c>
      <c r="F26" t="str">
        <f ca="1">IFERROR(__xludf.DUMMYFUNCTION("""COMPUTED_VALUE"""),"KP0050AG")</f>
        <v>KP0050AG</v>
      </c>
      <c r="G26" s="11">
        <f ca="1">IFERROR(__xludf.DUMMYFUNCTION("""COMPUTED_VALUE"""),81250000)</f>
        <v>81250000</v>
      </c>
      <c r="H26">
        <f ca="1">IFERROR(__xludf.DUMMYFUNCTION("""COMPUTED_VALUE"""),35273)</f>
        <v>35273</v>
      </c>
      <c r="I26">
        <f ca="1">IFERROR(__xludf.DUMMYFUNCTION("""COMPUTED_VALUE"""),5)</f>
        <v>5</v>
      </c>
      <c r="J26" t="str">
        <f ca="1">IFERROR(__xludf.DUMMYFUNCTION("""COMPUTED_VALUE"""),"N/A")</f>
        <v>N/A</v>
      </c>
      <c r="K26" t="str">
        <f ca="1">IFERROR(__xludf.DUMMYFUNCTION("""COMPUTED_VALUE"""),"Pru Logistic")</f>
        <v>Pru Logistic</v>
      </c>
      <c r="L26" t="str">
        <f ca="1">IFERROR(__xludf.DUMMYFUNCTION("""COMPUTED_VALUE"""),"Y")</f>
        <v>Y</v>
      </c>
      <c r="M26" t="str">
        <f ca="1">IFERROR(__xludf.DUMMYFUNCTION("""COMPUTED_VALUE"""),"Ek-222")</f>
        <v>Ek-222</v>
      </c>
    </row>
    <row r="27" spans="1:13" ht="12.5" x14ac:dyDescent="0.25">
      <c r="A27" t="str">
        <f ca="1">IFERROR(__xludf.DUMMYFUNCTION("""COMPUTED_VALUE"""),"Dani")</f>
        <v>Dani</v>
      </c>
      <c r="B27" t="str">
        <f ca="1">IFERROR(__xludf.DUMMYFUNCTION("""COMPUTED_VALUE"""),"Suginawan")</f>
        <v>Suginawan</v>
      </c>
      <c r="C27" t="str">
        <f ca="1">IFERROR(__xludf.DUMMYFUNCTION("""COMPUTED_VALUE"""),"Suginawan@ymailx.com")</f>
        <v>Suginawan@ymailx.com</v>
      </c>
      <c r="D27" t="str">
        <f ca="1">IFERROR(__xludf.DUMMYFUNCTION("""COMPUTED_VALUE"""),"Bandar Lampung")</f>
        <v>Bandar Lampung</v>
      </c>
      <c r="E27" s="12">
        <f ca="1">IFERROR(__xludf.DUMMYFUNCTION("""COMPUTED_VALUE"""),43232)</f>
        <v>43232</v>
      </c>
      <c r="F27" t="str">
        <f ca="1">IFERROR(__xludf.DUMMYFUNCTION("""COMPUTED_VALUE"""),"KP0750AJ")</f>
        <v>KP0750AJ</v>
      </c>
      <c r="G27" s="11">
        <f ca="1">IFERROR(__xludf.DUMMYFUNCTION("""COMPUTED_VALUE"""),162000000)</f>
        <v>162000000</v>
      </c>
      <c r="H27">
        <f ca="1">IFERROR(__xludf.DUMMYFUNCTION("""COMPUTED_VALUE"""),36154)</f>
        <v>36154</v>
      </c>
      <c r="I27">
        <f ca="1">IFERROR(__xludf.DUMMYFUNCTION("""COMPUTED_VALUE"""),9)</f>
        <v>9</v>
      </c>
      <c r="J27" t="str">
        <f ca="1">IFERROR(__xludf.DUMMYFUNCTION("""COMPUTED_VALUE"""),"N/A")</f>
        <v>N/A</v>
      </c>
      <c r="K27" t="str">
        <f ca="1">IFERROR(__xludf.DUMMYFUNCTION("""COMPUTED_VALUE"""),"Cepat Kirim")</f>
        <v>Cepat Kirim</v>
      </c>
      <c r="L27" t="str">
        <f ca="1">IFERROR(__xludf.DUMMYFUNCTION("""COMPUTED_VALUE"""),"Y")</f>
        <v>Y</v>
      </c>
      <c r="M27" t="str">
        <f ca="1">IFERROR(__xludf.DUMMYFUNCTION("""COMPUTED_VALUE"""),"An-150")</f>
        <v>An-150</v>
      </c>
    </row>
    <row r="28" spans="1:13" ht="12.5" x14ac:dyDescent="0.25">
      <c r="A28" t="str">
        <f ca="1">IFERROR(__xludf.DUMMYFUNCTION("""COMPUTED_VALUE"""),"Nurdin")</f>
        <v>Nurdin</v>
      </c>
      <c r="B28" t="str">
        <f ca="1">IFERROR(__xludf.DUMMYFUNCTION("""COMPUTED_VALUE"""),"Hiong")</f>
        <v>Hiong</v>
      </c>
      <c r="C28" t="str">
        <f ca="1">IFERROR(__xludf.DUMMYFUNCTION("""COMPUTED_VALUE"""),"Hiong@rocketmailx.com")</f>
        <v>Hiong@rocketmailx.com</v>
      </c>
      <c r="D28" t="str">
        <f ca="1">IFERROR(__xludf.DUMMYFUNCTION("""COMPUTED_VALUE"""),"Meulaboh")</f>
        <v>Meulaboh</v>
      </c>
      <c r="E28" s="12">
        <f ca="1">IFERROR(__xludf.DUMMYFUNCTION("""COMPUTED_VALUE"""),43202)</f>
        <v>43202</v>
      </c>
      <c r="F28" t="str">
        <f ca="1">IFERROR(__xludf.DUMMYFUNCTION("""COMPUTED_VALUE"""),"KP0350CF")</f>
        <v>KP0350CF</v>
      </c>
      <c r="G28" s="11">
        <f ca="1">IFERROR(__xludf.DUMMYFUNCTION("""COMPUTED_VALUE"""),105000000)</f>
        <v>105000000</v>
      </c>
      <c r="H28">
        <f ca="1">IFERROR(__xludf.DUMMYFUNCTION("""COMPUTED_VALUE"""),36728)</f>
        <v>36728</v>
      </c>
      <c r="I28">
        <f ca="1">IFERROR(__xludf.DUMMYFUNCTION("""COMPUTED_VALUE"""),3)</f>
        <v>3</v>
      </c>
      <c r="J28">
        <f ca="1">IFERROR(__xludf.DUMMYFUNCTION("""COMPUTED_VALUE"""),4)</f>
        <v>4</v>
      </c>
      <c r="K28" t="str">
        <f ca="1">IFERROR(__xludf.DUMMYFUNCTION("""COMPUTED_VALUE"""),"JENT")</f>
        <v>JENT</v>
      </c>
      <c r="L28" t="str">
        <f ca="1">IFERROR(__xludf.DUMMYFUNCTION("""COMPUTED_VALUE"""),"N")</f>
        <v>N</v>
      </c>
      <c r="M28" t="str">
        <f ca="1">IFERROR(__xludf.DUMMYFUNCTION("""COMPUTED_VALUE"""),"Fi-101")</f>
        <v>Fi-101</v>
      </c>
    </row>
    <row r="29" spans="1:13" ht="12.5" x14ac:dyDescent="0.25">
      <c r="A29" t="str">
        <f ca="1">IFERROR(__xludf.DUMMYFUNCTION("""COMPUTED_VALUE"""),"Erly")</f>
        <v>Erly</v>
      </c>
      <c r="B29" t="str">
        <f ca="1">IFERROR(__xludf.DUMMYFUNCTION("""COMPUTED_VALUE"""),"Tamin")</f>
        <v>Tamin</v>
      </c>
      <c r="C29" t="str">
        <f ca="1">IFERROR(__xludf.DUMMYFUNCTION("""COMPUTED_VALUE"""),"Tamin@gmailx.com")</f>
        <v>Tamin@gmailx.com</v>
      </c>
      <c r="D29" t="str">
        <f ca="1">IFERROR(__xludf.DUMMYFUNCTION("""COMPUTED_VALUE"""),"Medan")</f>
        <v>Medan</v>
      </c>
      <c r="E29" s="12">
        <f ca="1">IFERROR(__xludf.DUMMYFUNCTION("""COMPUTED_VALUE"""),43202)</f>
        <v>43202</v>
      </c>
      <c r="F29" t="str">
        <f ca="1">IFERROR(__xludf.DUMMYFUNCTION("""COMPUTED_VALUE"""),"KP0850FB")</f>
        <v>KP0850FB</v>
      </c>
      <c r="G29" s="11">
        <f ca="1">IFERROR(__xludf.DUMMYFUNCTION("""COMPUTED_VALUE"""),105000000)</f>
        <v>105000000</v>
      </c>
      <c r="H29">
        <f ca="1">IFERROR(__xludf.DUMMYFUNCTION("""COMPUTED_VALUE"""),36638)</f>
        <v>36638</v>
      </c>
      <c r="I29">
        <f ca="1">IFERROR(__xludf.DUMMYFUNCTION("""COMPUTED_VALUE"""),5)</f>
        <v>5</v>
      </c>
      <c r="J29" t="str">
        <f ca="1">IFERROR(__xludf.DUMMYFUNCTION("""COMPUTED_VALUE"""),"N/A")</f>
        <v>N/A</v>
      </c>
      <c r="K29" t="str">
        <f ca="1">IFERROR(__xludf.DUMMYFUNCTION("""COMPUTED_VALUE"""),"Swift Delivery")</f>
        <v>Swift Delivery</v>
      </c>
      <c r="L29" t="str">
        <f ca="1">IFERROR(__xludf.DUMMYFUNCTION("""COMPUTED_VALUE"""),"Y")</f>
        <v>Y</v>
      </c>
      <c r="M29" t="str">
        <f ca="1">IFERROR(__xludf.DUMMYFUNCTION("""COMPUTED_VALUE"""),"Wd-662")</f>
        <v>Wd-662</v>
      </c>
    </row>
    <row r="30" spans="1:13" ht="12.5" x14ac:dyDescent="0.25">
      <c r="A30" t="str">
        <f ca="1">IFERROR(__xludf.DUMMYFUNCTION("""COMPUTED_VALUE"""),"Roy")</f>
        <v>Roy</v>
      </c>
      <c r="B30" t="str">
        <f ca="1">IFERROR(__xludf.DUMMYFUNCTION("""COMPUTED_VALUE"""),"Mei")</f>
        <v>Mei</v>
      </c>
      <c r="C30" t="str">
        <f ca="1">IFERROR(__xludf.DUMMYFUNCTION("""COMPUTED_VALUE"""),"Roy@livex.com")</f>
        <v>Roy@livex.com</v>
      </c>
      <c r="D30" t="str">
        <f ca="1">IFERROR(__xludf.DUMMYFUNCTION("""COMPUTED_VALUE"""),"Pontianak")</f>
        <v>Pontianak</v>
      </c>
      <c r="E30" s="12">
        <f ca="1">IFERROR(__xludf.DUMMYFUNCTION("""COMPUTED_VALUE"""),43171)</f>
        <v>43171</v>
      </c>
      <c r="F30" t="str">
        <f ca="1">IFERROR(__xludf.DUMMYFUNCTION("""COMPUTED_VALUE"""),"KP0150BH")</f>
        <v>KP0150BH</v>
      </c>
      <c r="G30" s="11">
        <f ca="1">IFERROR(__xludf.DUMMYFUNCTION("""COMPUTED_VALUE"""),54000000)</f>
        <v>54000000</v>
      </c>
      <c r="H30">
        <f ca="1">IFERROR(__xludf.DUMMYFUNCTION("""COMPUTED_VALUE"""),35551)</f>
        <v>35551</v>
      </c>
      <c r="I30">
        <f ca="1">IFERROR(__xludf.DUMMYFUNCTION("""COMPUTED_VALUE"""),2)</f>
        <v>2</v>
      </c>
      <c r="J30">
        <f ca="1">IFERROR(__xludf.DUMMYFUNCTION("""COMPUTED_VALUE"""),2)</f>
        <v>2</v>
      </c>
      <c r="K30" t="str">
        <f ca="1">IFERROR(__xludf.DUMMYFUNCTION("""COMPUTED_VALUE"""),"JENT")</f>
        <v>JENT</v>
      </c>
      <c r="L30" t="str">
        <f ca="1">IFERROR(__xludf.DUMMYFUNCTION("""COMPUTED_VALUE"""),"N")</f>
        <v>N</v>
      </c>
      <c r="M30" t="str">
        <f ca="1">IFERROR(__xludf.DUMMYFUNCTION("""COMPUTED_VALUE"""),"Jr-880")</f>
        <v>Jr-880</v>
      </c>
    </row>
    <row r="31" spans="1:13" ht="12.5" x14ac:dyDescent="0.25">
      <c r="A31" t="str">
        <f ca="1">IFERROR(__xludf.DUMMYFUNCTION("""COMPUTED_VALUE"""),"Junus")</f>
        <v>Junus</v>
      </c>
      <c r="B31" t="str">
        <f ca="1">IFERROR(__xludf.DUMMYFUNCTION("""COMPUTED_VALUE"""),"Amiria")</f>
        <v>Amiria</v>
      </c>
      <c r="C31" t="str">
        <f ca="1">IFERROR(__xludf.DUMMYFUNCTION("""COMPUTED_VALUE"""),"Junus@gmailx.com")</f>
        <v>Junus@gmailx.com</v>
      </c>
      <c r="D31" t="str">
        <f ca="1">IFERROR(__xludf.DUMMYFUNCTION("""COMPUTED_VALUE"""),"Banjarbaru")</f>
        <v>Banjarbaru</v>
      </c>
      <c r="E31" s="12">
        <f ca="1">IFERROR(__xludf.DUMMYFUNCTION("""COMPUTED_VALUE"""),43171)</f>
        <v>43171</v>
      </c>
      <c r="F31" t="str">
        <f ca="1">IFERROR(__xludf.DUMMYFUNCTION("""COMPUTED_VALUE"""),"KP0925SG")</f>
        <v>KP0925SG</v>
      </c>
      <c r="G31" s="11">
        <f ca="1">IFERROR(__xludf.DUMMYFUNCTION("""COMPUTED_VALUE"""),120000000)</f>
        <v>120000000</v>
      </c>
      <c r="H31">
        <f ca="1">IFERROR(__xludf.DUMMYFUNCTION("""COMPUTED_VALUE"""),36956)</f>
        <v>36956</v>
      </c>
      <c r="I31">
        <f ca="1">IFERROR(__xludf.DUMMYFUNCTION("""COMPUTED_VALUE"""),8)</f>
        <v>8</v>
      </c>
      <c r="J31" t="str">
        <f ca="1">IFERROR(__xludf.DUMMYFUNCTION("""COMPUTED_VALUE"""),"N/A")</f>
        <v>N/A</v>
      </c>
      <c r="K31" t="str">
        <f ca="1">IFERROR(__xludf.DUMMYFUNCTION("""COMPUTED_VALUE"""),"Cepat Kirim")</f>
        <v>Cepat Kirim</v>
      </c>
      <c r="L31" t="str">
        <f ca="1">IFERROR(__xludf.DUMMYFUNCTION("""COMPUTED_VALUE"""),"Y")</f>
        <v>Y</v>
      </c>
      <c r="M31" t="str">
        <f ca="1">IFERROR(__xludf.DUMMYFUNCTION("""COMPUTED_VALUE"""),"Jg-991")</f>
        <v>Jg-991</v>
      </c>
    </row>
    <row r="32" spans="1:13" ht="12.5" x14ac:dyDescent="0.25">
      <c r="A32" t="str">
        <f ca="1">IFERROR(__xludf.DUMMYFUNCTION("""COMPUTED_VALUE"""),"Abdul")</f>
        <v>Abdul</v>
      </c>
      <c r="B32" t="str">
        <f ca="1">IFERROR(__xludf.DUMMYFUNCTION("""COMPUTED_VALUE"""),"Mulya")</f>
        <v>Mulya</v>
      </c>
      <c r="C32" t="str">
        <f ca="1">IFERROR(__xludf.DUMMYFUNCTION("""COMPUTED_VALUE"""),"Mulya@livex.com")</f>
        <v>Mulya@livex.com</v>
      </c>
      <c r="D32" t="str">
        <f ca="1">IFERROR(__xludf.DUMMYFUNCTION("""COMPUTED_VALUE"""),"Padangpanjang")</f>
        <v>Padangpanjang</v>
      </c>
      <c r="E32" s="12">
        <f ca="1">IFERROR(__xludf.DUMMYFUNCTION("""COMPUTED_VALUE"""),43143)</f>
        <v>43143</v>
      </c>
      <c r="F32" t="str">
        <f ca="1">IFERROR(__xludf.DUMMYFUNCTION("""COMPUTED_VALUE"""),"KP0625AF")</f>
        <v>KP0625AF</v>
      </c>
      <c r="G32" s="11">
        <f ca="1">IFERROR(__xludf.DUMMYFUNCTION("""COMPUTED_VALUE"""),84000000)</f>
        <v>84000000</v>
      </c>
      <c r="H32" t="str">
        <f ca="1">IFERROR(__xludf.DUMMYFUNCTION("""COMPUTED_VALUE"""),"36759")</f>
        <v>36759</v>
      </c>
      <c r="I32" t="str">
        <f ca="1">IFERROR(__xludf.DUMMYFUNCTION("""COMPUTED_VALUE"""),"7")</f>
        <v>7</v>
      </c>
      <c r="J32">
        <f ca="1">IFERROR(__xludf.DUMMYFUNCTION("""COMPUTED_VALUE"""),1)</f>
        <v>1</v>
      </c>
      <c r="K32" t="str">
        <f ca="1">IFERROR(__xludf.DUMMYFUNCTION("""COMPUTED_VALUE"""),"Wakanda Express")</f>
        <v>Wakanda Express</v>
      </c>
      <c r="L32" t="str">
        <f ca="1">IFERROR(__xludf.DUMMYFUNCTION("""COMPUTED_VALUE"""),"Y")</f>
        <v>Y</v>
      </c>
      <c r="M32" t="str">
        <f ca="1">IFERROR(__xludf.DUMMYFUNCTION("""COMPUTED_VALUE"""),"My-559")</f>
        <v>My-559</v>
      </c>
    </row>
    <row r="33" spans="1:13" ht="12.5" x14ac:dyDescent="0.25">
      <c r="A33" t="str">
        <f ca="1">IFERROR(__xludf.DUMMYFUNCTION("""COMPUTED_VALUE"""),"Elizabeth,")</f>
        <v>Elizabeth,</v>
      </c>
      <c r="B33" t="str">
        <f ca="1">IFERROR(__xludf.DUMMYFUNCTION("""COMPUTED_VALUE"""),"Santoso")</f>
        <v>Santoso</v>
      </c>
      <c r="C33" t="str">
        <f ca="1">IFERROR(__xludf.DUMMYFUNCTION("""COMPUTED_VALUE"""),"Santoso@gmailx.com")</f>
        <v>Santoso@gmailx.com</v>
      </c>
      <c r="D33" t="str">
        <f ca="1">IFERROR(__xludf.DUMMYFUNCTION("""COMPUTED_VALUE"""),"Parepare")</f>
        <v>Parepare</v>
      </c>
      <c r="E33" s="12">
        <f ca="1">IFERROR(__xludf.DUMMYFUNCTION("""COMPUTED_VALUE"""),43112)</f>
        <v>43112</v>
      </c>
      <c r="F33" t="str">
        <f ca="1">IFERROR(__xludf.DUMMYFUNCTION("""COMPUTED_VALUE"""),"KP0925SG")</f>
        <v>KP0925SG</v>
      </c>
      <c r="G33" s="11">
        <f ca="1">IFERROR(__xludf.DUMMYFUNCTION("""COMPUTED_VALUE"""),90000000)</f>
        <v>90000000</v>
      </c>
      <c r="H33">
        <f ca="1">IFERROR(__xludf.DUMMYFUNCTION("""COMPUTED_VALUE"""),36820)</f>
        <v>36820</v>
      </c>
      <c r="I33">
        <f ca="1">IFERROR(__xludf.DUMMYFUNCTION("""COMPUTED_VALUE"""),6)</f>
        <v>6</v>
      </c>
      <c r="J33">
        <f ca="1">IFERROR(__xludf.DUMMYFUNCTION("""COMPUTED_VALUE"""),5)</f>
        <v>5</v>
      </c>
      <c r="K33" t="str">
        <f ca="1">IFERROR(__xludf.DUMMYFUNCTION("""COMPUTED_VALUE"""),"Wakanda Express")</f>
        <v>Wakanda Express</v>
      </c>
      <c r="L33" t="str">
        <f ca="1">IFERROR(__xludf.DUMMYFUNCTION("""COMPUTED_VALUE"""),"Y")</f>
        <v>Y</v>
      </c>
      <c r="M33" t="str">
        <f ca="1">IFERROR(__xludf.DUMMYFUNCTION("""COMPUTED_VALUE"""),"Al-290")</f>
        <v>Al-290</v>
      </c>
    </row>
    <row r="34" spans="1:13" ht="12.5" x14ac:dyDescent="0.25">
      <c r="A34" t="str">
        <f ca="1">IFERROR(__xludf.DUMMYFUNCTION("""COMPUTED_VALUE"""),"Jocelin")</f>
        <v>Jocelin</v>
      </c>
      <c r="B34" t="str">
        <f ca="1">IFERROR(__xludf.DUMMYFUNCTION("""COMPUTED_VALUE"""),"Suwignjo")</f>
        <v>Suwignjo</v>
      </c>
      <c r="C34" t="str">
        <f ca="1">IFERROR(__xludf.DUMMYFUNCTION("""COMPUTED_VALUE"""),"Jocelin@ymailx.com")</f>
        <v>Jocelin@ymailx.com</v>
      </c>
      <c r="D34" t="str">
        <f ca="1">IFERROR(__xludf.DUMMYFUNCTION("""COMPUTED_VALUE"""),"Subulussalam")</f>
        <v>Subulussalam</v>
      </c>
      <c r="E34" s="12">
        <f ca="1">IFERROR(__xludf.DUMMYFUNCTION("""COMPUTED_VALUE"""),43112)</f>
        <v>43112</v>
      </c>
      <c r="F34" t="str">
        <f ca="1">IFERROR(__xludf.DUMMYFUNCTION("""COMPUTED_VALUE"""),"KP0925SG")</f>
        <v>KP0925SG</v>
      </c>
      <c r="G34" s="11">
        <f ca="1">IFERROR(__xludf.DUMMYFUNCTION("""COMPUTED_VALUE"""),45000000)</f>
        <v>45000000</v>
      </c>
      <c r="H34">
        <f ca="1">IFERROR(__xludf.DUMMYFUNCTION("""COMPUTED_VALUE"""),36317)</f>
        <v>36317</v>
      </c>
      <c r="I34">
        <f ca="1">IFERROR(__xludf.DUMMYFUNCTION("""COMPUTED_VALUE"""),3)</f>
        <v>3</v>
      </c>
      <c r="J34">
        <f ca="1">IFERROR(__xludf.DUMMYFUNCTION("""COMPUTED_VALUE"""),4)</f>
        <v>4</v>
      </c>
      <c r="K34" t="str">
        <f ca="1">IFERROR(__xludf.DUMMYFUNCTION("""COMPUTED_VALUE"""),"JENT")</f>
        <v>JENT</v>
      </c>
      <c r="L34" t="str">
        <f ca="1">IFERROR(__xludf.DUMMYFUNCTION("""COMPUTED_VALUE"""),"Y")</f>
        <v>Y</v>
      </c>
      <c r="M34" t="str">
        <f ca="1">IFERROR(__xludf.DUMMYFUNCTION("""COMPUTED_VALUE"""),"Gx-101")</f>
        <v>Gx-101</v>
      </c>
    </row>
    <row r="35" spans="1:13" ht="12.5" x14ac:dyDescent="0.25">
      <c r="A35" t="str">
        <f ca="1">IFERROR(__xludf.DUMMYFUNCTION("""COMPUTED_VALUE"""),"Albert")</f>
        <v>Albert</v>
      </c>
      <c r="B35" t="str">
        <f ca="1">IFERROR(__xludf.DUMMYFUNCTION("""COMPUTED_VALUE"""),"Asiah")</f>
        <v>Asiah</v>
      </c>
      <c r="C35" t="str">
        <f ca="1">IFERROR(__xludf.DUMMYFUNCTION("""COMPUTED_VALUE"""),"Asiah@livex.com")</f>
        <v>Asiah@livex.com</v>
      </c>
      <c r="D35" t="str">
        <f ca="1">IFERROR(__xludf.DUMMYFUNCTION("""COMPUTED_VALUE"""),"Bukittinggi")</f>
        <v>Bukittinggi</v>
      </c>
      <c r="E35" s="12">
        <f ca="1">IFERROR(__xludf.DUMMYFUNCTION("""COMPUTED_VALUE"""),43112)</f>
        <v>43112</v>
      </c>
      <c r="F35" t="str">
        <f ca="1">IFERROR(__xludf.DUMMYFUNCTION("""COMPUTED_VALUE"""),"KP0750AJ")</f>
        <v>KP0750AJ</v>
      </c>
      <c r="G35" s="11">
        <f ca="1">IFERROR(__xludf.DUMMYFUNCTION("""COMPUTED_VALUE"""),90000000)</f>
        <v>90000000</v>
      </c>
      <c r="H35">
        <f ca="1">IFERROR(__xludf.DUMMYFUNCTION("""COMPUTED_VALUE"""),36221)</f>
        <v>36221</v>
      </c>
      <c r="I35">
        <f ca="1">IFERROR(__xludf.DUMMYFUNCTION("""COMPUTED_VALUE"""),5)</f>
        <v>5</v>
      </c>
      <c r="J35" t="str">
        <f ca="1">IFERROR(__xludf.DUMMYFUNCTION("""COMPUTED_VALUE"""),"N/A")</f>
        <v>N/A</v>
      </c>
      <c r="K35" t="str">
        <f ca="1">IFERROR(__xludf.DUMMYFUNCTION("""COMPUTED_VALUE"""),"JENT")</f>
        <v>JENT</v>
      </c>
      <c r="L35" t="str">
        <f ca="1">IFERROR(__xludf.DUMMYFUNCTION("""COMPUTED_VALUE"""),"Y")</f>
        <v>Y</v>
      </c>
      <c r="M35" t="str">
        <f ca="1">IFERROR(__xludf.DUMMYFUNCTION("""COMPUTED_VALUE"""),"Ln-559")</f>
        <v>Ln-559</v>
      </c>
    </row>
    <row r="36" spans="1:13" ht="12.5" x14ac:dyDescent="0.25">
      <c r="A36" t="str">
        <f ca="1">IFERROR(__xludf.DUMMYFUNCTION("""COMPUTED_VALUE"""),"Joe")</f>
        <v>Joe</v>
      </c>
      <c r="B36" t="str">
        <f ca="1">IFERROR(__xludf.DUMMYFUNCTION("""COMPUTED_VALUE"""),"Kohar")</f>
        <v>Kohar</v>
      </c>
      <c r="C36" t="str">
        <f ca="1">IFERROR(__xludf.DUMMYFUNCTION("""COMPUTED_VALUE"""),"Joe@ymailx.com")</f>
        <v>Joe@ymailx.com</v>
      </c>
      <c r="D36" t="str">
        <f ca="1">IFERROR(__xludf.DUMMYFUNCTION("""COMPUTED_VALUE"""),"Ternate")</f>
        <v>Ternate</v>
      </c>
      <c r="E36" s="12">
        <f ca="1">IFERROR(__xludf.DUMMYFUNCTION("""COMPUTED_VALUE"""),43112)</f>
        <v>43112</v>
      </c>
      <c r="F36" t="str">
        <f ca="1">IFERROR(__xludf.DUMMYFUNCTION("""COMPUTED_VALUE"""),"KP0150BH")</f>
        <v>KP0150BH</v>
      </c>
      <c r="G36" s="11">
        <f ca="1">IFERROR(__xludf.DUMMYFUNCTION("""COMPUTED_VALUE"""),108000000)</f>
        <v>108000000</v>
      </c>
      <c r="H36">
        <f ca="1">IFERROR(__xludf.DUMMYFUNCTION("""COMPUTED_VALUE"""),35896)</f>
        <v>35896</v>
      </c>
      <c r="I36">
        <f ca="1">IFERROR(__xludf.DUMMYFUNCTION("""COMPUTED_VALUE"""),4)</f>
        <v>4</v>
      </c>
      <c r="J36">
        <f ca="1">IFERROR(__xludf.DUMMYFUNCTION("""COMPUTED_VALUE"""),4)</f>
        <v>4</v>
      </c>
      <c r="K36" t="str">
        <f ca="1">IFERROR(__xludf.DUMMYFUNCTION("""COMPUTED_VALUE"""),"Wakanda Express")</f>
        <v>Wakanda Express</v>
      </c>
      <c r="L36" t="str">
        <f ca="1">IFERROR(__xludf.DUMMYFUNCTION("""COMPUTED_VALUE"""),"Y")</f>
        <v>Y</v>
      </c>
      <c r="M36" t="str">
        <f ca="1">IFERROR(__xludf.DUMMYFUNCTION("""COMPUTED_VALUE"""),"Ax-160")</f>
        <v>Ax-160</v>
      </c>
    </row>
    <row r="37" spans="1:13" ht="12.5" x14ac:dyDescent="0.25">
      <c r="A37" t="str">
        <f ca="1">IFERROR(__xludf.DUMMYFUNCTION("""COMPUTED_VALUE"""),"Leny")</f>
        <v>Leny</v>
      </c>
      <c r="B37" t="str">
        <f ca="1">IFERROR(__xludf.DUMMYFUNCTION("""COMPUTED_VALUE"""),"Sutedja")</f>
        <v>Sutedja</v>
      </c>
      <c r="C37" t="str">
        <f ca="1">IFERROR(__xludf.DUMMYFUNCTION("""COMPUTED_VALUE"""),"Sutedja@mex.com")</f>
        <v>Sutedja@mex.com</v>
      </c>
      <c r="D37" t="str">
        <f ca="1">IFERROR(__xludf.DUMMYFUNCTION("""COMPUTED_VALUE"""),"Tomohon")</f>
        <v>Tomohon</v>
      </c>
      <c r="E37" s="12">
        <f ca="1">IFERROR(__xludf.DUMMYFUNCTION("""COMPUTED_VALUE"""),43432)</f>
        <v>43432</v>
      </c>
      <c r="F37" t="str">
        <f ca="1">IFERROR(__xludf.DUMMYFUNCTION("""COMPUTED_VALUE"""),"KP0625AF")</f>
        <v>KP0625AF</v>
      </c>
      <c r="G37" s="11">
        <f ca="1">IFERROR(__xludf.DUMMYFUNCTION("""COMPUTED_VALUE"""),36000000)</f>
        <v>36000000</v>
      </c>
      <c r="H37">
        <f ca="1">IFERROR(__xludf.DUMMYFUNCTION("""COMPUTED_VALUE"""),35988)</f>
        <v>35988</v>
      </c>
      <c r="I37">
        <f ca="1">IFERROR(__xludf.DUMMYFUNCTION("""COMPUTED_VALUE"""),3)</f>
        <v>3</v>
      </c>
      <c r="J37">
        <f ca="1">IFERROR(__xludf.DUMMYFUNCTION("""COMPUTED_VALUE"""),5)</f>
        <v>5</v>
      </c>
      <c r="K37" t="str">
        <f ca="1">IFERROR(__xludf.DUMMYFUNCTION("""COMPUTED_VALUE"""),"Wakanda Express")</f>
        <v>Wakanda Express</v>
      </c>
      <c r="L37" t="str">
        <f ca="1">IFERROR(__xludf.DUMMYFUNCTION("""COMPUTED_VALUE"""),"Y")</f>
        <v>Y</v>
      </c>
      <c r="M37" t="str">
        <f ca="1">IFERROR(__xludf.DUMMYFUNCTION("""COMPUTED_VALUE"""),"Cc-221")</f>
        <v>Cc-221</v>
      </c>
    </row>
    <row r="38" spans="1:13" ht="12.5" x14ac:dyDescent="0.25">
      <c r="A38" t="str">
        <f ca="1">IFERROR(__xludf.DUMMYFUNCTION("""COMPUTED_VALUE"""),"Michael")</f>
        <v>Michael</v>
      </c>
      <c r="B38" t="str">
        <f ca="1">IFERROR(__xludf.DUMMYFUNCTION("""COMPUTED_VALUE"""),"Arie")</f>
        <v>Arie</v>
      </c>
      <c r="C38" t="str">
        <f ca="1">IFERROR(__xludf.DUMMYFUNCTION("""COMPUTED_VALUE"""),"Michael@livex.com")</f>
        <v>Michael@livex.com</v>
      </c>
      <c r="D38" t="str">
        <f ca="1">IFERROR(__xludf.DUMMYFUNCTION("""COMPUTED_VALUE"""),"Gorontalo")</f>
        <v>Gorontalo</v>
      </c>
      <c r="E38" s="12">
        <f ca="1">IFERROR(__xludf.DUMMYFUNCTION("""COMPUTED_VALUE"""),43432)</f>
        <v>43432</v>
      </c>
      <c r="F38" t="str">
        <f ca="1">IFERROR(__xludf.DUMMYFUNCTION("""COMPUTED_VALUE"""),"KP0625AF")</f>
        <v>KP0625AF</v>
      </c>
      <c r="G38" s="11">
        <f ca="1">IFERROR(__xludf.DUMMYFUNCTION("""COMPUTED_VALUE"""),36000000)</f>
        <v>36000000</v>
      </c>
      <c r="H38">
        <f ca="1">IFERROR(__xludf.DUMMYFUNCTION("""COMPUTED_VALUE"""),36925)</f>
        <v>36925</v>
      </c>
      <c r="I38">
        <f ca="1">IFERROR(__xludf.DUMMYFUNCTION("""COMPUTED_VALUE"""),3)</f>
        <v>3</v>
      </c>
      <c r="J38">
        <f ca="1">IFERROR(__xludf.DUMMYFUNCTION("""COMPUTED_VALUE"""),4)</f>
        <v>4</v>
      </c>
      <c r="K38" t="str">
        <f ca="1">IFERROR(__xludf.DUMMYFUNCTION("""COMPUTED_VALUE"""),"JENT")</f>
        <v>JENT</v>
      </c>
      <c r="L38" t="str">
        <f ca="1">IFERROR(__xludf.DUMMYFUNCTION("""COMPUTED_VALUE"""),"Y")</f>
        <v>Y</v>
      </c>
      <c r="M38" t="str">
        <f ca="1">IFERROR(__xludf.DUMMYFUNCTION("""COMPUTED_VALUE"""),"Vg-983")</f>
        <v>Vg-983</v>
      </c>
    </row>
    <row r="39" spans="1:13" ht="12.5" x14ac:dyDescent="0.25">
      <c r="A39" t="str">
        <f ca="1">IFERROR(__xludf.DUMMYFUNCTION("""COMPUTED_VALUE"""),"Hendra")</f>
        <v>Hendra</v>
      </c>
      <c r="B39" t="str">
        <f ca="1">IFERROR(__xludf.DUMMYFUNCTION("""COMPUTED_VALUE"""),"Tjing")</f>
        <v>Tjing</v>
      </c>
      <c r="C39" t="str">
        <f ca="1">IFERROR(__xludf.DUMMYFUNCTION("""COMPUTED_VALUE"""),"Tjing@ymailx.com")</f>
        <v>Tjing@ymailx.com</v>
      </c>
      <c r="D39" t="str">
        <f ca="1">IFERROR(__xludf.DUMMYFUNCTION("""COMPUTED_VALUE"""),"Ternate")</f>
        <v>Ternate</v>
      </c>
      <c r="E39" s="12">
        <f ca="1">IFERROR(__xludf.DUMMYFUNCTION("""COMPUTED_VALUE"""),43431)</f>
        <v>43431</v>
      </c>
      <c r="F39" t="str">
        <f ca="1">IFERROR(__xludf.DUMMYFUNCTION("""COMPUTED_VALUE"""),"KP0850FB")</f>
        <v>KP0850FB</v>
      </c>
      <c r="G39" s="11">
        <f ca="1">IFERROR(__xludf.DUMMYFUNCTION("""COMPUTED_VALUE"""),147000000)</f>
        <v>147000000</v>
      </c>
      <c r="H39">
        <f ca="1">IFERROR(__xludf.DUMMYFUNCTION("""COMPUTED_VALUE"""),36152)</f>
        <v>36152</v>
      </c>
      <c r="I39">
        <f ca="1">IFERROR(__xludf.DUMMYFUNCTION("""COMPUTED_VALUE"""),7)</f>
        <v>7</v>
      </c>
      <c r="J39">
        <f ca="1">IFERROR(__xludf.DUMMYFUNCTION("""COMPUTED_VALUE"""),4)</f>
        <v>4</v>
      </c>
      <c r="K39" t="str">
        <f ca="1">IFERROR(__xludf.DUMMYFUNCTION("""COMPUTED_VALUE"""),"Swift Delivery")</f>
        <v>Swift Delivery</v>
      </c>
      <c r="L39" t="str">
        <f ca="1">IFERROR(__xludf.DUMMYFUNCTION("""COMPUTED_VALUE"""),"Y")</f>
        <v>Y</v>
      </c>
      <c r="M39" t="str">
        <f ca="1">IFERROR(__xludf.DUMMYFUNCTION("""COMPUTED_VALUE"""),"Pv-160")</f>
        <v>Pv-160</v>
      </c>
    </row>
    <row r="40" spans="1:13" ht="12.5" x14ac:dyDescent="0.25">
      <c r="A40" t="str">
        <f ca="1">IFERROR(__xludf.DUMMYFUNCTION("""COMPUTED_VALUE"""),"Mohit")</f>
        <v>Mohit</v>
      </c>
      <c r="B40" t="str">
        <f ca="1">IFERROR(__xludf.DUMMYFUNCTION("""COMPUTED_VALUE"""),"Namara")</f>
        <v>Namara</v>
      </c>
      <c r="C40" t="str">
        <f ca="1">IFERROR(__xludf.DUMMYFUNCTION("""COMPUTED_VALUE"""),"Namara@livex.com")</f>
        <v>Namara@livex.com</v>
      </c>
      <c r="D40" t="str">
        <f ca="1">IFERROR(__xludf.DUMMYFUNCTION("""COMPUTED_VALUE"""),"Bandar Lampung")</f>
        <v>Bandar Lampung</v>
      </c>
      <c r="E40" s="12">
        <f ca="1">IFERROR(__xludf.DUMMYFUNCTION("""COMPUTED_VALUE"""),43431)</f>
        <v>43431</v>
      </c>
      <c r="F40" t="str">
        <f ca="1">IFERROR(__xludf.DUMMYFUNCTION("""COMPUTED_VALUE"""),"KP0850FB")</f>
        <v>KP0850FB</v>
      </c>
      <c r="G40" s="11">
        <f ca="1">IFERROR(__xludf.DUMMYFUNCTION("""COMPUTED_VALUE"""),189000000)</f>
        <v>189000000</v>
      </c>
      <c r="H40">
        <f ca="1">IFERROR(__xludf.DUMMYFUNCTION("""COMPUTED_VALUE"""),35379)</f>
        <v>35379</v>
      </c>
      <c r="I40">
        <f ca="1">IFERROR(__xludf.DUMMYFUNCTION("""COMPUTED_VALUE"""),9)</f>
        <v>9</v>
      </c>
      <c r="J40" t="str">
        <f ca="1">IFERROR(__xludf.DUMMYFUNCTION("""COMPUTED_VALUE"""),"N/A")</f>
        <v>N/A</v>
      </c>
      <c r="K40" t="str">
        <f ca="1">IFERROR(__xludf.DUMMYFUNCTION("""COMPUTED_VALUE"""),"JENT")</f>
        <v>JENT</v>
      </c>
      <c r="L40" t="str">
        <f ca="1">IFERROR(__xludf.DUMMYFUNCTION("""COMPUTED_VALUE"""),"Y")</f>
        <v>Y</v>
      </c>
      <c r="M40" t="str">
        <f ca="1">IFERROR(__xludf.DUMMYFUNCTION("""COMPUTED_VALUE"""),"Zp-150")</f>
        <v>Zp-150</v>
      </c>
    </row>
    <row r="41" spans="1:13" ht="12.5" x14ac:dyDescent="0.25">
      <c r="A41" t="str">
        <f ca="1">IFERROR(__xludf.DUMMYFUNCTION("""COMPUTED_VALUE"""),"Hetty")</f>
        <v>Hetty</v>
      </c>
      <c r="B41" t="str">
        <f ca="1">IFERROR(__xludf.DUMMYFUNCTION("""COMPUTED_VALUE"""),"Magnus")</f>
        <v>Magnus</v>
      </c>
      <c r="C41" t="str">
        <f ca="1">IFERROR(__xludf.DUMMYFUNCTION("""COMPUTED_VALUE"""),"Magnus@ymailx.com")</f>
        <v>Magnus@ymailx.com</v>
      </c>
      <c r="D41" t="str">
        <f ca="1">IFERROR(__xludf.DUMMYFUNCTION("""COMPUTED_VALUE"""),"Semarang")</f>
        <v>Semarang</v>
      </c>
      <c r="E41" s="12">
        <f ca="1">IFERROR(__xludf.DUMMYFUNCTION("""COMPUTED_VALUE"""),43431)</f>
        <v>43431</v>
      </c>
      <c r="F41" t="str">
        <f ca="1">IFERROR(__xludf.DUMMYFUNCTION("""COMPUTED_VALUE"""),"KP0750AJ")</f>
        <v>KP0750AJ</v>
      </c>
      <c r="G41" s="11">
        <f ca="1">IFERROR(__xludf.DUMMYFUNCTION("""COMPUTED_VALUE"""),126000000)</f>
        <v>126000000</v>
      </c>
      <c r="H41">
        <f ca="1">IFERROR(__xludf.DUMMYFUNCTION("""COMPUTED_VALUE"""),35486)</f>
        <v>35486</v>
      </c>
      <c r="I41">
        <f ca="1">IFERROR(__xludf.DUMMYFUNCTION("""COMPUTED_VALUE"""),7)</f>
        <v>7</v>
      </c>
      <c r="J41" t="str">
        <f ca="1">IFERROR(__xludf.DUMMYFUNCTION("""COMPUTED_VALUE"""),"N/A")</f>
        <v>N/A</v>
      </c>
      <c r="K41" t="str">
        <f ca="1">IFERROR(__xludf.DUMMYFUNCTION("""COMPUTED_VALUE"""),"Pru Logistic")</f>
        <v>Pru Logistic</v>
      </c>
      <c r="L41" t="str">
        <f ca="1">IFERROR(__xludf.DUMMYFUNCTION("""COMPUTED_VALUE"""),"Y")</f>
        <v>Y</v>
      </c>
      <c r="M41" t="str">
        <f ca="1">IFERROR(__xludf.DUMMYFUNCTION("""COMPUTED_VALUE"""),"Wg-410")</f>
        <v>Wg-410</v>
      </c>
    </row>
    <row r="42" spans="1:13" ht="12.5" x14ac:dyDescent="0.25">
      <c r="A42" t="str">
        <f ca="1">IFERROR(__xludf.DUMMYFUNCTION("""COMPUTED_VALUE"""),"Ratnawati")</f>
        <v>Ratnawati</v>
      </c>
      <c r="B42" t="str">
        <f ca="1">IFERROR(__xludf.DUMMYFUNCTION("""COMPUTED_VALUE"""),"Bayu")</f>
        <v>Bayu</v>
      </c>
      <c r="C42" t="str">
        <f ca="1">IFERROR(__xludf.DUMMYFUNCTION("""COMPUTED_VALUE"""),"Ratnawati@gmailx.com")</f>
        <v>Ratnawati@gmailx.com</v>
      </c>
      <c r="D42" t="str">
        <f ca="1">IFERROR(__xludf.DUMMYFUNCTION("""COMPUTED_VALUE"""),"Malang")</f>
        <v>Malang</v>
      </c>
      <c r="E42" s="12">
        <f ca="1">IFERROR(__xludf.DUMMYFUNCTION("""COMPUTED_VALUE"""),43430)</f>
        <v>43430</v>
      </c>
      <c r="F42" t="str">
        <f ca="1">IFERROR(__xludf.DUMMYFUNCTION("""COMPUTED_VALUE"""),"KP0150BH")</f>
        <v>KP0150BH</v>
      </c>
      <c r="G42" s="11">
        <f ca="1">IFERROR(__xludf.DUMMYFUNCTION("""COMPUTED_VALUE"""),81000000)</f>
        <v>81000000</v>
      </c>
      <c r="H42">
        <f ca="1">IFERROR(__xludf.DUMMYFUNCTION("""COMPUTED_VALUE"""),36492)</f>
        <v>36492</v>
      </c>
      <c r="I42">
        <f ca="1">IFERROR(__xludf.DUMMYFUNCTION("""COMPUTED_VALUE"""),3)</f>
        <v>3</v>
      </c>
      <c r="J42">
        <f ca="1">IFERROR(__xludf.DUMMYFUNCTION("""COMPUTED_VALUE"""),3)</f>
        <v>3</v>
      </c>
      <c r="K42" t="str">
        <f ca="1">IFERROR(__xludf.DUMMYFUNCTION("""COMPUTED_VALUE"""),"Cepat Kirim")</f>
        <v>Cepat Kirim</v>
      </c>
      <c r="L42" t="str">
        <f ca="1">IFERROR(__xludf.DUMMYFUNCTION("""COMPUTED_VALUE"""),"N")</f>
        <v>N</v>
      </c>
      <c r="M42" t="str">
        <f ca="1">IFERROR(__xludf.DUMMYFUNCTION("""COMPUTED_VALUE"""),"Zl-123")</f>
        <v>Zl-123</v>
      </c>
    </row>
    <row r="43" spans="1:13" ht="12.5" x14ac:dyDescent="0.25">
      <c r="A43" t="str">
        <f ca="1">IFERROR(__xludf.DUMMYFUNCTION("""COMPUTED_VALUE"""),"Russel")</f>
        <v>Russel</v>
      </c>
      <c r="B43" t="str">
        <f ca="1">IFERROR(__xludf.DUMMYFUNCTION("""COMPUTED_VALUE"""),"Sari")</f>
        <v>Sari</v>
      </c>
      <c r="C43" t="str">
        <f ca="1">IFERROR(__xludf.DUMMYFUNCTION("""COMPUTED_VALUE"""),"Russel@ymailx.com")</f>
        <v>Russel@ymailx.com</v>
      </c>
      <c r="D43" t="str">
        <f ca="1">IFERROR(__xludf.DUMMYFUNCTION("""COMPUTED_VALUE"""),"Tegal")</f>
        <v>Tegal</v>
      </c>
      <c r="E43" s="12">
        <f ca="1">IFERROR(__xludf.DUMMYFUNCTION("""COMPUTED_VALUE"""),43429)</f>
        <v>43429</v>
      </c>
      <c r="F43" t="str">
        <f ca="1">IFERROR(__xludf.DUMMYFUNCTION("""COMPUTED_VALUE"""),"KP0850FB")</f>
        <v>KP0850FB</v>
      </c>
      <c r="G43" s="11">
        <f ca="1">IFERROR(__xludf.DUMMYFUNCTION("""COMPUTED_VALUE"""),147000000)</f>
        <v>147000000</v>
      </c>
      <c r="H43">
        <f ca="1">IFERROR(__xludf.DUMMYFUNCTION("""COMPUTED_VALUE"""),35763)</f>
        <v>35763</v>
      </c>
      <c r="I43">
        <f ca="1">IFERROR(__xludf.DUMMYFUNCTION("""COMPUTED_VALUE"""),7)</f>
        <v>7</v>
      </c>
      <c r="J43" t="str">
        <f ca="1">IFERROR(__xludf.DUMMYFUNCTION("""COMPUTED_VALUE"""),"N/A")</f>
        <v>N/A</v>
      </c>
      <c r="K43" t="str">
        <f ca="1">IFERROR(__xludf.DUMMYFUNCTION("""COMPUTED_VALUE"""),"Pru Logistic")</f>
        <v>Pru Logistic</v>
      </c>
      <c r="L43" t="str">
        <f ca="1">IFERROR(__xludf.DUMMYFUNCTION("""COMPUTED_VALUE"""),"N")</f>
        <v>N</v>
      </c>
      <c r="M43" t="str">
        <f ca="1">IFERROR(__xludf.DUMMYFUNCTION("""COMPUTED_VALUE"""),"Kk-410")</f>
        <v>Kk-410</v>
      </c>
    </row>
    <row r="44" spans="1:13" ht="12.5" x14ac:dyDescent="0.25">
      <c r="A44" t="str">
        <f ca="1">IFERROR(__xludf.DUMMYFUNCTION("""COMPUTED_VALUE"""),"Diana")</f>
        <v>Diana</v>
      </c>
      <c r="B44" t="str">
        <f ca="1">IFERROR(__xludf.DUMMYFUNCTION("""COMPUTED_VALUE"""),"Widjaja")</f>
        <v>Widjaja</v>
      </c>
      <c r="C44" t="str">
        <f ca="1">IFERROR(__xludf.DUMMYFUNCTION("""COMPUTED_VALUE"""),"Widjaja@ymailx.com")</f>
        <v>Widjaja@ymailx.com</v>
      </c>
      <c r="D44" t="str">
        <f ca="1">IFERROR(__xludf.DUMMYFUNCTION("""COMPUTED_VALUE"""),"Dumai")</f>
        <v>Dumai</v>
      </c>
      <c r="E44" s="12">
        <f ca="1">IFERROR(__xludf.DUMMYFUNCTION("""COMPUTED_VALUE"""),43429)</f>
        <v>43429</v>
      </c>
      <c r="F44" t="str">
        <f ca="1">IFERROR(__xludf.DUMMYFUNCTION("""COMPUTED_VALUE"""),"KP0750AJ")</f>
        <v>KP0750AJ</v>
      </c>
      <c r="G44" s="11">
        <f ca="1">IFERROR(__xludf.DUMMYFUNCTION("""COMPUTED_VALUE"""),108000000)</f>
        <v>108000000</v>
      </c>
      <c r="H44">
        <f ca="1">IFERROR(__xludf.DUMMYFUNCTION("""COMPUTED_VALUE"""),36200)</f>
        <v>36200</v>
      </c>
      <c r="I44">
        <f ca="1">IFERROR(__xludf.DUMMYFUNCTION("""COMPUTED_VALUE"""),6)</f>
        <v>6</v>
      </c>
      <c r="J44" t="str">
        <f ca="1">IFERROR(__xludf.DUMMYFUNCTION("""COMPUTED_VALUE"""),"N/A")</f>
        <v>N/A</v>
      </c>
      <c r="K44" t="str">
        <f ca="1">IFERROR(__xludf.DUMMYFUNCTION("""COMPUTED_VALUE"""),"Swift Delivery")</f>
        <v>Swift Delivery</v>
      </c>
      <c r="L44" t="str">
        <f ca="1">IFERROR(__xludf.DUMMYFUNCTION("""COMPUTED_VALUE"""),"Y")</f>
        <v>Y</v>
      </c>
      <c r="M44" t="str">
        <f ca="1">IFERROR(__xludf.DUMMYFUNCTION("""COMPUTED_VALUE"""),"Mf-222")</f>
        <v>Mf-222</v>
      </c>
    </row>
    <row r="45" spans="1:13" ht="12.5" x14ac:dyDescent="0.25">
      <c r="A45" t="str">
        <f ca="1">IFERROR(__xludf.DUMMYFUNCTION("""COMPUTED_VALUE"""),"Andrew")</f>
        <v>Andrew</v>
      </c>
      <c r="B45" t="str">
        <f ca="1">IFERROR(__xludf.DUMMYFUNCTION("""COMPUTED_VALUE"""),"Shyam")</f>
        <v>Shyam</v>
      </c>
      <c r="C45" t="str">
        <f ca="1">IFERROR(__xludf.DUMMYFUNCTION("""COMPUTED_VALUE"""),"Shyam@ymailx.com")</f>
        <v>Shyam@ymailx.com</v>
      </c>
      <c r="D45" t="str">
        <f ca="1">IFERROR(__xludf.DUMMYFUNCTION("""COMPUTED_VALUE"""),"Tasikmalaya")</f>
        <v>Tasikmalaya</v>
      </c>
      <c r="E45" s="12">
        <f ca="1">IFERROR(__xludf.DUMMYFUNCTION("""COMPUTED_VALUE"""),43428)</f>
        <v>43428</v>
      </c>
      <c r="F45" t="str">
        <f ca="1">IFERROR(__xludf.DUMMYFUNCTION("""COMPUTED_VALUE"""),"KP0425CB")</f>
        <v>KP0425CB</v>
      </c>
      <c r="G45" s="11">
        <f ca="1">IFERROR(__xludf.DUMMYFUNCTION("""COMPUTED_VALUE"""),245250000)</f>
        <v>245250000</v>
      </c>
      <c r="H45">
        <f ca="1">IFERROR(__xludf.DUMMYFUNCTION("""COMPUTED_VALUE"""),35635)</f>
        <v>35635</v>
      </c>
      <c r="I45">
        <f ca="1">IFERROR(__xludf.DUMMYFUNCTION("""COMPUTED_VALUE"""),9)</f>
        <v>9</v>
      </c>
      <c r="J45" t="str">
        <f ca="1">IFERROR(__xludf.DUMMYFUNCTION("""COMPUTED_VALUE"""),"N/A")</f>
        <v>N/A</v>
      </c>
      <c r="K45" t="str">
        <f ca="1">IFERROR(__xludf.DUMMYFUNCTION("""COMPUTED_VALUE"""),"Swift Delivery")</f>
        <v>Swift Delivery</v>
      </c>
      <c r="L45" t="str">
        <f ca="1">IFERROR(__xludf.DUMMYFUNCTION("""COMPUTED_VALUE"""),"Y")</f>
        <v>Y</v>
      </c>
      <c r="M45" t="str">
        <f ca="1">IFERROR(__xludf.DUMMYFUNCTION("""COMPUTED_VALUE"""),"Zo-409")</f>
        <v>Zo-409</v>
      </c>
    </row>
    <row r="46" spans="1:13" ht="12.5" x14ac:dyDescent="0.25">
      <c r="A46" t="str">
        <f ca="1">IFERROR(__xludf.DUMMYFUNCTION("""COMPUTED_VALUE"""),"Cecilia")</f>
        <v>Cecilia</v>
      </c>
      <c r="B46" t="str">
        <f ca="1">IFERROR(__xludf.DUMMYFUNCTION("""COMPUTED_VALUE"""),"Kencanawati")</f>
        <v>Kencanawati</v>
      </c>
      <c r="C46" t="str">
        <f ca="1">IFERROR(__xludf.DUMMYFUNCTION("""COMPUTED_VALUE"""),"Kencanawati@livex.com")</f>
        <v>Kencanawati@livex.com</v>
      </c>
      <c r="D46" t="str">
        <f ca="1">IFERROR(__xludf.DUMMYFUNCTION("""COMPUTED_VALUE"""),"Tebingtinggi")</f>
        <v>Tebingtinggi</v>
      </c>
      <c r="E46" s="12">
        <f ca="1">IFERROR(__xludf.DUMMYFUNCTION("""COMPUTED_VALUE"""),43427)</f>
        <v>43427</v>
      </c>
      <c r="F46" t="str">
        <f ca="1">IFERROR(__xludf.DUMMYFUNCTION("""COMPUTED_VALUE"""),"KP0925SG")</f>
        <v>KP0925SG</v>
      </c>
      <c r="G46" s="11">
        <f ca="1">IFERROR(__xludf.DUMMYFUNCTION("""COMPUTED_VALUE"""),90000000)</f>
        <v>90000000</v>
      </c>
      <c r="H46">
        <f ca="1">IFERROR(__xludf.DUMMYFUNCTION("""COMPUTED_VALUE"""),36639)</f>
        <v>36639</v>
      </c>
      <c r="I46">
        <f ca="1">IFERROR(__xludf.DUMMYFUNCTION("""COMPUTED_VALUE"""),6)</f>
        <v>6</v>
      </c>
      <c r="J46">
        <f ca="1">IFERROR(__xludf.DUMMYFUNCTION("""COMPUTED_VALUE"""),5)</f>
        <v>5</v>
      </c>
      <c r="K46" t="str">
        <f ca="1">IFERROR(__xludf.DUMMYFUNCTION("""COMPUTED_VALUE"""),"Pru Logistic")</f>
        <v>Pru Logistic</v>
      </c>
      <c r="L46" t="str">
        <f ca="1">IFERROR(__xludf.DUMMYFUNCTION("""COMPUTED_VALUE"""),"Y")</f>
        <v>Y</v>
      </c>
      <c r="M46" t="str">
        <f ca="1">IFERROR(__xludf.DUMMYFUNCTION("""COMPUTED_VALUE"""),"Qv-662")</f>
        <v>Qv-662</v>
      </c>
    </row>
    <row r="47" spans="1:13" ht="12.5" x14ac:dyDescent="0.25">
      <c r="A47" t="str">
        <f ca="1">IFERROR(__xludf.DUMMYFUNCTION("""COMPUTED_VALUE"""),"Andrew")</f>
        <v>Andrew</v>
      </c>
      <c r="B47" t="str">
        <f ca="1">IFERROR(__xludf.DUMMYFUNCTION("""COMPUTED_VALUE"""),"Karamchandani")</f>
        <v>Karamchandani</v>
      </c>
      <c r="C47" t="str">
        <f ca="1">IFERROR(__xludf.DUMMYFUNCTION("""COMPUTED_VALUE"""),"Karamchandani@gmailx.com")</f>
        <v>Karamchandani@gmailx.com</v>
      </c>
      <c r="D47" t="str">
        <f ca="1">IFERROR(__xludf.DUMMYFUNCTION("""COMPUTED_VALUE"""),"Batu")</f>
        <v>Batu</v>
      </c>
      <c r="E47" s="12">
        <f ca="1">IFERROR(__xludf.DUMMYFUNCTION("""COMPUTED_VALUE"""),43425)</f>
        <v>43425</v>
      </c>
      <c r="F47" t="str">
        <f ca="1">IFERROR(__xludf.DUMMYFUNCTION("""COMPUTED_VALUE"""),"KP0050AG")</f>
        <v>KP0050AG</v>
      </c>
      <c r="G47" s="11">
        <f ca="1">IFERROR(__xludf.DUMMYFUNCTION("""COMPUTED_VALUE"""),81250000)</f>
        <v>81250000</v>
      </c>
      <c r="H47">
        <f ca="1">IFERROR(__xludf.DUMMYFUNCTION("""COMPUTED_VALUE"""),35401)</f>
        <v>35401</v>
      </c>
      <c r="I47">
        <f ca="1">IFERROR(__xludf.DUMMYFUNCTION("""COMPUTED_VALUE"""),5)</f>
        <v>5</v>
      </c>
      <c r="J47" t="str">
        <f ca="1">IFERROR(__xludf.DUMMYFUNCTION("""COMPUTED_VALUE"""),"N/A")</f>
        <v>N/A</v>
      </c>
      <c r="K47" t="str">
        <f ca="1">IFERROR(__xludf.DUMMYFUNCTION("""COMPUTED_VALUE"""),"Wakanda Express")</f>
        <v>Wakanda Express</v>
      </c>
      <c r="L47" t="str">
        <f ca="1">IFERROR(__xludf.DUMMYFUNCTION("""COMPUTED_VALUE"""),"Y")</f>
        <v>Y</v>
      </c>
      <c r="M47" t="str">
        <f ca="1">IFERROR(__xludf.DUMMYFUNCTION("""COMPUTED_VALUE"""),"Mw-123")</f>
        <v>Mw-123</v>
      </c>
    </row>
    <row r="48" spans="1:13" ht="12.5" x14ac:dyDescent="0.25">
      <c r="A48" t="str">
        <f ca="1">IFERROR(__xludf.DUMMYFUNCTION("""COMPUTED_VALUE"""),"Andrew")</f>
        <v>Andrew</v>
      </c>
      <c r="B48" t="str">
        <f ca="1">IFERROR(__xludf.DUMMYFUNCTION("""COMPUTED_VALUE"""),"Kalla")</f>
        <v>Kalla</v>
      </c>
      <c r="C48" t="str">
        <f ca="1">IFERROR(__xludf.DUMMYFUNCTION("""COMPUTED_VALUE"""),"Kalla@livex.com")</f>
        <v>Kalla@livex.com</v>
      </c>
      <c r="D48" t="str">
        <f ca="1">IFERROR(__xludf.DUMMYFUNCTION("""COMPUTED_VALUE"""),"Banda Aceh")</f>
        <v>Banda Aceh</v>
      </c>
      <c r="E48" s="12">
        <f ca="1">IFERROR(__xludf.DUMMYFUNCTION("""COMPUTED_VALUE"""),43425)</f>
        <v>43425</v>
      </c>
      <c r="F48" t="str">
        <f ca="1">IFERROR(__xludf.DUMMYFUNCTION("""COMPUTED_VALUE"""),"KP0750AJ")</f>
        <v>KP0750AJ</v>
      </c>
      <c r="G48" s="11">
        <f ca="1">IFERROR(__xludf.DUMMYFUNCTION("""COMPUTED_VALUE"""),180000000)</f>
        <v>180000000</v>
      </c>
      <c r="H48">
        <f ca="1">IFERROR(__xludf.DUMMYFUNCTION("""COMPUTED_VALUE"""),35954)</f>
        <v>35954</v>
      </c>
      <c r="I48">
        <f ca="1">IFERROR(__xludf.DUMMYFUNCTION("""COMPUTED_VALUE"""),10)</f>
        <v>10</v>
      </c>
      <c r="J48" t="str">
        <f ca="1">IFERROR(__xludf.DUMMYFUNCTION("""COMPUTED_VALUE"""),"N/A")</f>
        <v>N/A</v>
      </c>
      <c r="K48" t="str">
        <f ca="1">IFERROR(__xludf.DUMMYFUNCTION("""COMPUTED_VALUE"""),"Wakanda Express")</f>
        <v>Wakanda Express</v>
      </c>
      <c r="L48" t="str">
        <f ca="1">IFERROR(__xludf.DUMMYFUNCTION("""COMPUTED_VALUE"""),"Y")</f>
        <v>Y</v>
      </c>
      <c r="M48" t="str">
        <f ca="1">IFERROR(__xludf.DUMMYFUNCTION("""COMPUTED_VALUE"""),"Fi-101")</f>
        <v>Fi-101</v>
      </c>
    </row>
    <row r="49" spans="1:13" ht="12.5" x14ac:dyDescent="0.25">
      <c r="A49" t="str">
        <f ca="1">IFERROR(__xludf.DUMMYFUNCTION("""COMPUTED_VALUE"""),"Danamon")</f>
        <v>Danamon</v>
      </c>
      <c r="B49" t="str">
        <f ca="1">IFERROR(__xludf.DUMMYFUNCTION("""COMPUTED_VALUE"""),"Prakash")</f>
        <v>Prakash</v>
      </c>
      <c r="C49" t="str">
        <f ca="1">IFERROR(__xludf.DUMMYFUNCTION("""COMPUTED_VALUE"""),"Danamon@ymailx.com")</f>
        <v>Danamon@ymailx.com</v>
      </c>
      <c r="D49" t="str">
        <f ca="1">IFERROR(__xludf.DUMMYFUNCTION("""COMPUTED_VALUE"""),"Subulussalam")</f>
        <v>Subulussalam</v>
      </c>
      <c r="E49" s="12">
        <f ca="1">IFERROR(__xludf.DUMMYFUNCTION("""COMPUTED_VALUE"""),43424)</f>
        <v>43424</v>
      </c>
      <c r="F49" t="str">
        <f ca="1">IFERROR(__xludf.DUMMYFUNCTION("""COMPUTED_VALUE"""),"KP0625AF")</f>
        <v>KP0625AF</v>
      </c>
      <c r="G49" s="11">
        <f ca="1">IFERROR(__xludf.DUMMYFUNCTION("""COMPUTED_VALUE"""),48000000)</f>
        <v>48000000</v>
      </c>
      <c r="H49">
        <f ca="1">IFERROR(__xludf.DUMMYFUNCTION("""COMPUTED_VALUE"""),35789)</f>
        <v>35789</v>
      </c>
      <c r="I49">
        <f ca="1">IFERROR(__xludf.DUMMYFUNCTION("""COMPUTED_VALUE"""),4)</f>
        <v>4</v>
      </c>
      <c r="J49">
        <f ca="1">IFERROR(__xludf.DUMMYFUNCTION("""COMPUTED_VALUE"""),4)</f>
        <v>4</v>
      </c>
      <c r="K49" t="str">
        <f ca="1">IFERROR(__xludf.DUMMYFUNCTION("""COMPUTED_VALUE"""),"Cepat Kirim")</f>
        <v>Cepat Kirim</v>
      </c>
      <c r="L49" t="str">
        <f ca="1">IFERROR(__xludf.DUMMYFUNCTION("""COMPUTED_VALUE"""),"Y")</f>
        <v>Y</v>
      </c>
      <c r="M49" t="str">
        <f ca="1">IFERROR(__xludf.DUMMYFUNCTION("""COMPUTED_VALUE"""),"Hu-101")</f>
        <v>Hu-101</v>
      </c>
    </row>
    <row r="50" spans="1:13" ht="12.5" x14ac:dyDescent="0.25">
      <c r="A50" t="str">
        <f ca="1">IFERROR(__xludf.DUMMYFUNCTION("""COMPUTED_VALUE"""),"Okkie")</f>
        <v>Okkie</v>
      </c>
      <c r="B50" t="str">
        <f ca="1">IFERROR(__xludf.DUMMYFUNCTION("""COMPUTED_VALUE"""),"Alatas")</f>
        <v>Alatas</v>
      </c>
      <c r="C50" t="str">
        <f ca="1">IFERROR(__xludf.DUMMYFUNCTION("""COMPUTED_VALUE"""),"Alatas@outlookx.com")</f>
        <v>Alatas@outlookx.com</v>
      </c>
      <c r="D50" t="str">
        <f ca="1">IFERROR(__xludf.DUMMYFUNCTION("""COMPUTED_VALUE"""),"Tangerang")</f>
        <v>Tangerang</v>
      </c>
      <c r="E50" s="12">
        <f ca="1">IFERROR(__xludf.DUMMYFUNCTION("""COMPUTED_VALUE"""),43423)</f>
        <v>43423</v>
      </c>
      <c r="F50" t="str">
        <f ca="1">IFERROR(__xludf.DUMMYFUNCTION("""COMPUTED_VALUE"""),"KP0425CB")</f>
        <v>KP0425CB</v>
      </c>
      <c r="G50" s="11">
        <f ca="1">IFERROR(__xludf.DUMMYFUNCTION("""COMPUTED_VALUE"""),163500000)</f>
        <v>163500000</v>
      </c>
      <c r="H50">
        <f ca="1">IFERROR(__xludf.DUMMYFUNCTION("""COMPUTED_VALUE"""),36816)</f>
        <v>36816</v>
      </c>
      <c r="I50">
        <f ca="1">IFERROR(__xludf.DUMMYFUNCTION("""COMPUTED_VALUE"""),6)</f>
        <v>6</v>
      </c>
      <c r="J50" t="str">
        <f ca="1">IFERROR(__xludf.DUMMYFUNCTION("""COMPUTED_VALUE"""),"N/A")</f>
        <v>N/A</v>
      </c>
      <c r="K50" t="str">
        <f ca="1">IFERROR(__xludf.DUMMYFUNCTION("""COMPUTED_VALUE"""),"JENT")</f>
        <v>JENT</v>
      </c>
      <c r="L50" t="str">
        <f ca="1">IFERROR(__xludf.DUMMYFUNCTION("""COMPUTED_VALUE"""),"N")</f>
        <v>N</v>
      </c>
      <c r="M50" t="str">
        <f ca="1">IFERROR(__xludf.DUMMYFUNCTION("""COMPUTED_VALUE"""),"Rh-500")</f>
        <v>Rh-500</v>
      </c>
    </row>
    <row r="51" spans="1:13" ht="12.5" x14ac:dyDescent="0.25">
      <c r="A51" t="str">
        <f ca="1">IFERROR(__xludf.DUMMYFUNCTION("""COMPUTED_VALUE"""),"Elly")</f>
        <v>Elly</v>
      </c>
      <c r="B51" t="str">
        <f ca="1">IFERROR(__xludf.DUMMYFUNCTION("""COMPUTED_VALUE"""),"Winoto")</f>
        <v>Winoto</v>
      </c>
      <c r="C51" t="str">
        <f ca="1">IFERROR(__xludf.DUMMYFUNCTION("""COMPUTED_VALUE"""),"Elly@icloudx.com")</f>
        <v>Elly@icloudx.com</v>
      </c>
      <c r="D51" t="str">
        <f ca="1">IFERROR(__xludf.DUMMYFUNCTION("""COMPUTED_VALUE"""),"Lubuklinggau")</f>
        <v>Lubuklinggau</v>
      </c>
      <c r="E51" s="12">
        <f ca="1">IFERROR(__xludf.DUMMYFUNCTION("""COMPUTED_VALUE"""),43422)</f>
        <v>43422</v>
      </c>
      <c r="F51" t="str">
        <f ca="1">IFERROR(__xludf.DUMMYFUNCTION("""COMPUTED_VALUE"""),"KP0225BB")</f>
        <v>KP0225BB</v>
      </c>
      <c r="G51" s="11">
        <f ca="1">IFERROR(__xludf.DUMMYFUNCTION("""COMPUTED_VALUE"""),20000000)</f>
        <v>20000000</v>
      </c>
      <c r="H51">
        <f ca="1">IFERROR(__xludf.DUMMYFUNCTION("""COMPUTED_VALUE"""),36261)</f>
        <v>36261</v>
      </c>
      <c r="I51">
        <f ca="1">IFERROR(__xludf.DUMMYFUNCTION("""COMPUTED_VALUE"""),2)</f>
        <v>2</v>
      </c>
      <c r="J51">
        <f ca="1">IFERROR(__xludf.DUMMYFUNCTION("""COMPUTED_VALUE"""),4)</f>
        <v>4</v>
      </c>
      <c r="K51" t="str">
        <f ca="1">IFERROR(__xludf.DUMMYFUNCTION("""COMPUTED_VALUE"""),"JENT")</f>
        <v>JENT</v>
      </c>
      <c r="L51" t="str">
        <f ca="1">IFERROR(__xludf.DUMMYFUNCTION("""COMPUTED_VALUE"""),"Y")</f>
        <v>Y</v>
      </c>
      <c r="M51" t="str">
        <f ca="1">IFERROR(__xludf.DUMMYFUNCTION("""COMPUTED_VALUE"""),"Ci-661")</f>
        <v>Ci-661</v>
      </c>
    </row>
    <row r="52" spans="1:13" ht="12.5" x14ac:dyDescent="0.25">
      <c r="A52" t="str">
        <f ca="1">IFERROR(__xludf.DUMMYFUNCTION("""COMPUTED_VALUE"""),"Ivan")</f>
        <v>Ivan</v>
      </c>
      <c r="B52" t="str">
        <f ca="1">IFERROR(__xludf.DUMMYFUNCTION("""COMPUTED_VALUE"""),"Chondro")</f>
        <v>Chondro</v>
      </c>
      <c r="C52" t="str">
        <f ca="1">IFERROR(__xludf.DUMMYFUNCTION("""COMPUTED_VALUE"""),"Chondro@gmailx.com")</f>
        <v>Chondro@gmailx.com</v>
      </c>
      <c r="D52" t="str">
        <f ca="1">IFERROR(__xludf.DUMMYFUNCTION("""COMPUTED_VALUE"""),"Padangpanjang")</f>
        <v>Padangpanjang</v>
      </c>
      <c r="E52" s="12">
        <f ca="1">IFERROR(__xludf.DUMMYFUNCTION("""COMPUTED_VALUE"""),43422)</f>
        <v>43422</v>
      </c>
      <c r="F52" t="str">
        <f ca="1">IFERROR(__xludf.DUMMYFUNCTION("""COMPUTED_VALUE"""),"KP0850FB")</f>
        <v>KP0850FB</v>
      </c>
      <c r="G52" s="11">
        <f ca="1">IFERROR(__xludf.DUMMYFUNCTION("""COMPUTED_VALUE"""),147000000)</f>
        <v>147000000</v>
      </c>
      <c r="H52">
        <f ca="1">IFERROR(__xludf.DUMMYFUNCTION("""COMPUTED_VALUE"""),35409)</f>
        <v>35409</v>
      </c>
      <c r="I52">
        <f ca="1">IFERROR(__xludf.DUMMYFUNCTION("""COMPUTED_VALUE"""),7)</f>
        <v>7</v>
      </c>
      <c r="J52" t="str">
        <f ca="1">IFERROR(__xludf.DUMMYFUNCTION("""COMPUTED_VALUE"""),"N/A")</f>
        <v>N/A</v>
      </c>
      <c r="K52" t="str">
        <f ca="1">IFERROR(__xludf.DUMMYFUNCTION("""COMPUTED_VALUE"""),"Pru Logistic")</f>
        <v>Pru Logistic</v>
      </c>
      <c r="L52" t="str">
        <f ca="1">IFERROR(__xludf.DUMMYFUNCTION("""COMPUTED_VALUE"""),"Y")</f>
        <v>Y</v>
      </c>
      <c r="M52" t="str">
        <f ca="1">IFERROR(__xludf.DUMMYFUNCTION("""COMPUTED_VALUE"""),"Oz-559")</f>
        <v>Oz-559</v>
      </c>
    </row>
    <row r="53" spans="1:13" ht="12.5" x14ac:dyDescent="0.25">
      <c r="A53" t="str">
        <f ca="1">IFERROR(__xludf.DUMMYFUNCTION("""COMPUTED_VALUE"""),"Han")</f>
        <v>Han</v>
      </c>
      <c r="B53" t="str">
        <f ca="1">IFERROR(__xludf.DUMMYFUNCTION("""COMPUTED_VALUE"""),"El")</f>
        <v>El</v>
      </c>
      <c r="C53" t="str">
        <f ca="1">IFERROR(__xludf.DUMMYFUNCTION("""COMPUTED_VALUE"""),"EL@ymailx.com")</f>
        <v>EL@ymailx.com</v>
      </c>
      <c r="D53" t="str">
        <f ca="1">IFERROR(__xludf.DUMMYFUNCTION("""COMPUTED_VALUE"""),"Kupang")</f>
        <v>Kupang</v>
      </c>
      <c r="E53" s="12">
        <f ca="1">IFERROR(__xludf.DUMMYFUNCTION("""COMPUTED_VALUE"""),43420)</f>
        <v>43420</v>
      </c>
      <c r="F53" t="str">
        <f ca="1">IFERROR(__xludf.DUMMYFUNCTION("""COMPUTED_VALUE"""),"KP0850FB")</f>
        <v>KP0850FB</v>
      </c>
      <c r="G53" s="11">
        <f ca="1">IFERROR(__xludf.DUMMYFUNCTION("""COMPUTED_VALUE"""),63000000)</f>
        <v>63000000</v>
      </c>
      <c r="H53">
        <f ca="1">IFERROR(__xludf.DUMMYFUNCTION("""COMPUTED_VALUE"""),36974)</f>
        <v>36974</v>
      </c>
      <c r="I53">
        <f ca="1">IFERROR(__xludf.DUMMYFUNCTION("""COMPUTED_VALUE"""),3)</f>
        <v>3</v>
      </c>
      <c r="J53">
        <f ca="1">IFERROR(__xludf.DUMMYFUNCTION("""COMPUTED_VALUE"""),4)</f>
        <v>4</v>
      </c>
      <c r="K53" t="str">
        <f ca="1">IFERROR(__xludf.DUMMYFUNCTION("""COMPUTED_VALUE"""),"Swift Delivery")</f>
        <v>Swift Delivery</v>
      </c>
      <c r="L53" t="str">
        <f ca="1">IFERROR(__xludf.DUMMYFUNCTION("""COMPUTED_VALUE"""),"Y")</f>
        <v>Y</v>
      </c>
      <c r="M53" t="str">
        <f ca="1">IFERROR(__xludf.DUMMYFUNCTION("""COMPUTED_VALUE"""),"Gc-185")</f>
        <v>Gc-185</v>
      </c>
    </row>
    <row r="54" spans="1:13" ht="12.5" x14ac:dyDescent="0.25">
      <c r="A54" t="str">
        <f ca="1">IFERROR(__xludf.DUMMYFUNCTION("""COMPUTED_VALUE"""),"Fabian")</f>
        <v>Fabian</v>
      </c>
      <c r="B54" t="str">
        <f ca="1">IFERROR(__xludf.DUMMYFUNCTION("""COMPUTED_VALUE"""),"Denisse")</f>
        <v>Denisse</v>
      </c>
      <c r="C54" t="str">
        <f ca="1">IFERROR(__xludf.DUMMYFUNCTION("""COMPUTED_VALUE"""),"Denisse@gmailx.com")</f>
        <v>Denisse@gmailx.com</v>
      </c>
      <c r="D54" t="str">
        <f ca="1">IFERROR(__xludf.DUMMYFUNCTION("""COMPUTED_VALUE"""),"Pagaralam")</f>
        <v>Pagaralam</v>
      </c>
      <c r="E54" s="12">
        <f ca="1">IFERROR(__xludf.DUMMYFUNCTION("""COMPUTED_VALUE"""),43420)</f>
        <v>43420</v>
      </c>
      <c r="F54" t="str">
        <f ca="1">IFERROR(__xludf.DUMMYFUNCTION("""COMPUTED_VALUE"""),"KP0150BH")</f>
        <v>KP0150BH</v>
      </c>
      <c r="G54" s="11">
        <f ca="1">IFERROR(__xludf.DUMMYFUNCTION("""COMPUTED_VALUE"""),189000000)</f>
        <v>189000000</v>
      </c>
      <c r="H54">
        <f ca="1">IFERROR(__xludf.DUMMYFUNCTION("""COMPUTED_VALUE"""),36471)</f>
        <v>36471</v>
      </c>
      <c r="I54">
        <f ca="1">IFERROR(__xludf.DUMMYFUNCTION("""COMPUTED_VALUE"""),7)</f>
        <v>7</v>
      </c>
      <c r="J54" t="str">
        <f ca="1">IFERROR(__xludf.DUMMYFUNCTION("""COMPUTED_VALUE"""),"N/A")</f>
        <v>N/A</v>
      </c>
      <c r="K54" t="str">
        <f ca="1">IFERROR(__xludf.DUMMYFUNCTION("""COMPUTED_VALUE"""),"Swift Delivery")</f>
        <v>Swift Delivery</v>
      </c>
      <c r="L54" t="str">
        <f ca="1">IFERROR(__xludf.DUMMYFUNCTION("""COMPUTED_VALUE"""),"Y")</f>
        <v>Y</v>
      </c>
      <c r="M54" t="str">
        <f ca="1">IFERROR(__xludf.DUMMYFUNCTION("""COMPUTED_VALUE"""),"Ux-661")</f>
        <v>Ux-661</v>
      </c>
    </row>
    <row r="55" spans="1:13" ht="12.5" x14ac:dyDescent="0.25">
      <c r="A55" t="str">
        <f ca="1">IFERROR(__xludf.DUMMYFUNCTION("""COMPUTED_VALUE"""),"Donny")</f>
        <v>Donny</v>
      </c>
      <c r="B55" t="str">
        <f ca="1">IFERROR(__xludf.DUMMYFUNCTION("""COMPUTED_VALUE"""),"Nova")</f>
        <v>Nova</v>
      </c>
      <c r="C55" t="str">
        <f ca="1">IFERROR(__xludf.DUMMYFUNCTION("""COMPUTED_VALUE"""),"Donny@livex.com")</f>
        <v>Donny@livex.com</v>
      </c>
      <c r="D55" t="str">
        <f ca="1">IFERROR(__xludf.DUMMYFUNCTION("""COMPUTED_VALUE"""),"Pekanbaru")</f>
        <v>Pekanbaru</v>
      </c>
      <c r="E55" s="12">
        <f ca="1">IFERROR(__xludf.DUMMYFUNCTION("""COMPUTED_VALUE"""),43420)</f>
        <v>43420</v>
      </c>
      <c r="F55" t="str">
        <f ca="1">IFERROR(__xludf.DUMMYFUNCTION("""COMPUTED_VALUE"""),"KP0750AJ")</f>
        <v>KP0750AJ</v>
      </c>
      <c r="G55" s="11">
        <f ca="1">IFERROR(__xludf.DUMMYFUNCTION("""COMPUTED_VALUE"""),180000000)</f>
        <v>180000000</v>
      </c>
      <c r="H55">
        <f ca="1">IFERROR(__xludf.DUMMYFUNCTION("""COMPUTED_VALUE"""),35436)</f>
        <v>35436</v>
      </c>
      <c r="I55">
        <f ca="1">IFERROR(__xludf.DUMMYFUNCTION("""COMPUTED_VALUE"""),10)</f>
        <v>10</v>
      </c>
      <c r="J55" t="str">
        <f ca="1">IFERROR(__xludf.DUMMYFUNCTION("""COMPUTED_VALUE"""),"N/A")</f>
        <v>N/A</v>
      </c>
      <c r="K55" t="str">
        <f ca="1">IFERROR(__xludf.DUMMYFUNCTION("""COMPUTED_VALUE"""),"Swift Delivery")</f>
        <v>Swift Delivery</v>
      </c>
      <c r="L55" t="str">
        <f ca="1">IFERROR(__xludf.DUMMYFUNCTION("""COMPUTED_VALUE"""),"Y")</f>
        <v>Y</v>
      </c>
      <c r="M55" t="str">
        <f ca="1">IFERROR(__xludf.DUMMYFUNCTION("""COMPUTED_VALUE"""),"Xi-222")</f>
        <v>Xi-222</v>
      </c>
    </row>
    <row r="56" spans="1:13" ht="12.5" x14ac:dyDescent="0.25">
      <c r="A56" t="str">
        <f ca="1">IFERROR(__xludf.DUMMYFUNCTION("""COMPUTED_VALUE"""),"Kendra")</f>
        <v>Kendra</v>
      </c>
      <c r="B56" t="str">
        <f ca="1">IFERROR(__xludf.DUMMYFUNCTION("""COMPUTED_VALUE"""),"Say")</f>
        <v>Say</v>
      </c>
      <c r="C56" t="str">
        <f ca="1">IFERROR(__xludf.DUMMYFUNCTION("""COMPUTED_VALUE"""),"Say@gmailx.com")</f>
        <v>Say@gmailx.com</v>
      </c>
      <c r="D56" t="str">
        <f ca="1">IFERROR(__xludf.DUMMYFUNCTION("""COMPUTED_VALUE"""),"Gorontalo")</f>
        <v>Gorontalo</v>
      </c>
      <c r="E56" s="12">
        <f ca="1">IFERROR(__xludf.DUMMYFUNCTION("""COMPUTED_VALUE"""),43419)</f>
        <v>43419</v>
      </c>
      <c r="F56" t="str">
        <f ca="1">IFERROR(__xludf.DUMMYFUNCTION("""COMPUTED_VALUE"""),"KP0625AF")</f>
        <v>KP0625AF</v>
      </c>
      <c r="G56" s="11">
        <f ca="1">IFERROR(__xludf.DUMMYFUNCTION("""COMPUTED_VALUE"""),120000000)</f>
        <v>120000000</v>
      </c>
      <c r="H56">
        <f ca="1">IFERROR(__xludf.DUMMYFUNCTION("""COMPUTED_VALUE"""),36899)</f>
        <v>36899</v>
      </c>
      <c r="I56">
        <f ca="1">IFERROR(__xludf.DUMMYFUNCTION("""COMPUTED_VALUE"""),10)</f>
        <v>10</v>
      </c>
      <c r="J56" t="str">
        <f ca="1">IFERROR(__xludf.DUMMYFUNCTION("""COMPUTED_VALUE"""),"N/A")</f>
        <v>N/A</v>
      </c>
      <c r="K56" t="str">
        <f ca="1">IFERROR(__xludf.DUMMYFUNCTION("""COMPUTED_VALUE"""),"Wakanda Express")</f>
        <v>Wakanda Express</v>
      </c>
      <c r="L56" t="str">
        <f ca="1">IFERROR(__xludf.DUMMYFUNCTION("""COMPUTED_VALUE"""),"Y")</f>
        <v>Y</v>
      </c>
      <c r="M56" t="str">
        <f ca="1">IFERROR(__xludf.DUMMYFUNCTION("""COMPUTED_VALUE"""),"Lx-983")</f>
        <v>Lx-983</v>
      </c>
    </row>
    <row r="57" spans="1:13" ht="12.5" x14ac:dyDescent="0.25">
      <c r="A57" t="str">
        <f ca="1">IFERROR(__xludf.DUMMYFUNCTION("""COMPUTED_VALUE"""),"Mahesa")</f>
        <v>Mahesa</v>
      </c>
      <c r="B57" t="str">
        <f ca="1">IFERROR(__xludf.DUMMYFUNCTION("""COMPUTED_VALUE"""),"Chairil")</f>
        <v>Chairil</v>
      </c>
      <c r="C57" t="str">
        <f ca="1">IFERROR(__xludf.DUMMYFUNCTION("""COMPUTED_VALUE"""),"Mahesa@livex.com")</f>
        <v>Mahesa@livex.com</v>
      </c>
      <c r="D57" t="str">
        <f ca="1">IFERROR(__xludf.DUMMYFUNCTION("""COMPUTED_VALUE"""),"Tual")</f>
        <v>Tual</v>
      </c>
      <c r="E57" s="12">
        <f ca="1">IFERROR(__xludf.DUMMYFUNCTION("""COMPUTED_VALUE"""),43418)</f>
        <v>43418</v>
      </c>
      <c r="F57" t="str">
        <f ca="1">IFERROR(__xludf.DUMMYFUNCTION("""COMPUTED_VALUE"""),"KP0225BB")</f>
        <v>KP0225BB</v>
      </c>
      <c r="G57" s="11">
        <f ca="1">IFERROR(__xludf.DUMMYFUNCTION("""COMPUTED_VALUE"""),70000000)</f>
        <v>70000000</v>
      </c>
      <c r="H57">
        <f ca="1">IFERROR(__xludf.DUMMYFUNCTION("""COMPUTED_VALUE"""),35519)</f>
        <v>35519</v>
      </c>
      <c r="I57">
        <f ca="1">IFERROR(__xludf.DUMMYFUNCTION("""COMPUTED_VALUE"""),7)</f>
        <v>7</v>
      </c>
      <c r="J57" t="str">
        <f ca="1">IFERROR(__xludf.DUMMYFUNCTION("""COMPUTED_VALUE"""),"N/A")</f>
        <v>N/A</v>
      </c>
      <c r="K57" t="str">
        <f ca="1">IFERROR(__xludf.DUMMYFUNCTION("""COMPUTED_VALUE"""),"Cepat Kirim")</f>
        <v>Cepat Kirim</v>
      </c>
      <c r="L57" t="str">
        <f ca="1">IFERROR(__xludf.DUMMYFUNCTION("""COMPUTED_VALUE"""),"Y")</f>
        <v>Y</v>
      </c>
      <c r="M57" t="str">
        <f ca="1">IFERROR(__xludf.DUMMYFUNCTION("""COMPUTED_VALUE"""),"De-171")</f>
        <v>De-171</v>
      </c>
    </row>
    <row r="58" spans="1:13" ht="12.5" x14ac:dyDescent="0.25">
      <c r="A58" t="str">
        <f ca="1">IFERROR(__xludf.DUMMYFUNCTION("""COMPUTED_VALUE"""),"Johny")</f>
        <v>Johny</v>
      </c>
      <c r="B58" t="str">
        <f ca="1">IFERROR(__xludf.DUMMYFUNCTION("""COMPUTED_VALUE"""),"Yusuf")</f>
        <v>Yusuf</v>
      </c>
      <c r="C58" t="str">
        <f ca="1">IFERROR(__xludf.DUMMYFUNCTION("""COMPUTED_VALUE"""),"YUSUF@ymailx.com")</f>
        <v>YUSUF@ymailx.com</v>
      </c>
      <c r="D58" t="str">
        <f ca="1">IFERROR(__xludf.DUMMYFUNCTION("""COMPUTED_VALUE"""),"Tegal")</f>
        <v>Tegal</v>
      </c>
      <c r="E58" s="12">
        <f ca="1">IFERROR(__xludf.DUMMYFUNCTION("""COMPUTED_VALUE"""),43417)</f>
        <v>43417</v>
      </c>
      <c r="F58" t="str">
        <f ca="1">IFERROR(__xludf.DUMMYFUNCTION("""COMPUTED_VALUE"""),"KP0150BH")</f>
        <v>KP0150BH</v>
      </c>
      <c r="G58" s="11">
        <f ca="1">IFERROR(__xludf.DUMMYFUNCTION("""COMPUTED_VALUE"""),270000000)</f>
        <v>270000000</v>
      </c>
      <c r="H58">
        <f ca="1">IFERROR(__xludf.DUMMYFUNCTION("""COMPUTED_VALUE"""),35911)</f>
        <v>35911</v>
      </c>
      <c r="I58">
        <f ca="1">IFERROR(__xludf.DUMMYFUNCTION("""COMPUTED_VALUE"""),10)</f>
        <v>10</v>
      </c>
      <c r="J58">
        <f ca="1">IFERROR(__xludf.DUMMYFUNCTION("""COMPUTED_VALUE"""),4)</f>
        <v>4</v>
      </c>
      <c r="K58" t="str">
        <f ca="1">IFERROR(__xludf.DUMMYFUNCTION("""COMPUTED_VALUE"""),"Cepat Kirim")</f>
        <v>Cepat Kirim</v>
      </c>
      <c r="L58" t="str">
        <f ca="1">IFERROR(__xludf.DUMMYFUNCTION("""COMPUTED_VALUE"""),"Y")</f>
        <v>Y</v>
      </c>
      <c r="M58" t="str">
        <f ca="1">IFERROR(__xludf.DUMMYFUNCTION("""COMPUTED_VALUE"""),"Zv-410")</f>
        <v>Zv-410</v>
      </c>
    </row>
    <row r="59" spans="1:13" ht="12.5" x14ac:dyDescent="0.25">
      <c r="A59" t="str">
        <f ca="1">IFERROR(__xludf.DUMMYFUNCTION("""COMPUTED_VALUE"""),"Dominique")</f>
        <v>Dominique</v>
      </c>
      <c r="B59" t="str">
        <f ca="1">IFERROR(__xludf.DUMMYFUNCTION("""COMPUTED_VALUE"""),"Kastono")</f>
        <v>Kastono</v>
      </c>
      <c r="C59" t="str">
        <f ca="1">IFERROR(__xludf.DUMMYFUNCTION("""COMPUTED_VALUE"""),"Kastono@icloudx.com")</f>
        <v>Kastono@icloudx.com</v>
      </c>
      <c r="D59" t="str">
        <f ca="1">IFERROR(__xludf.DUMMYFUNCTION("""COMPUTED_VALUE"""),"Bekasi")</f>
        <v>Bekasi</v>
      </c>
      <c r="E59" s="12">
        <f ca="1">IFERROR(__xludf.DUMMYFUNCTION("""COMPUTED_VALUE"""),43415)</f>
        <v>43415</v>
      </c>
      <c r="F59" t="str">
        <f ca="1">IFERROR(__xludf.DUMMYFUNCTION("""COMPUTED_VALUE"""),"KP0850FB")</f>
        <v>KP0850FB</v>
      </c>
      <c r="G59" s="11">
        <f ca="1">IFERROR(__xludf.DUMMYFUNCTION("""COMPUTED_VALUE"""),105000000)</f>
        <v>105000000</v>
      </c>
      <c r="H59">
        <f ca="1">IFERROR(__xludf.DUMMYFUNCTION("""COMPUTED_VALUE"""),36932)</f>
        <v>36932</v>
      </c>
      <c r="I59">
        <f ca="1">IFERROR(__xludf.DUMMYFUNCTION("""COMPUTED_VALUE"""),5)</f>
        <v>5</v>
      </c>
      <c r="J59">
        <f ca="1">IFERROR(__xludf.DUMMYFUNCTION("""COMPUTED_VALUE"""),4)</f>
        <v>4</v>
      </c>
      <c r="K59" t="str">
        <f ca="1">IFERROR(__xludf.DUMMYFUNCTION("""COMPUTED_VALUE"""),"Pru Logistic")</f>
        <v>Pru Logistic</v>
      </c>
      <c r="L59" t="str">
        <f ca="1">IFERROR(__xludf.DUMMYFUNCTION("""COMPUTED_VALUE"""),"Y")</f>
        <v>Y</v>
      </c>
      <c r="M59" t="str">
        <f ca="1">IFERROR(__xludf.DUMMYFUNCTION("""COMPUTED_VALUE"""),"St-409")</f>
        <v>St-409</v>
      </c>
    </row>
    <row r="60" spans="1:13" ht="12.5" x14ac:dyDescent="0.25">
      <c r="A60" t="str">
        <f ca="1">IFERROR(__xludf.DUMMYFUNCTION("""COMPUTED_VALUE"""),"Shinta")</f>
        <v>Shinta</v>
      </c>
      <c r="B60" t="str">
        <f ca="1">IFERROR(__xludf.DUMMYFUNCTION("""COMPUTED_VALUE"""),"Berliana")</f>
        <v>Berliana</v>
      </c>
      <c r="C60" t="str">
        <f ca="1">IFERROR(__xludf.DUMMYFUNCTION("""COMPUTED_VALUE"""),"Shinta@livex.com")</f>
        <v>Shinta@livex.com</v>
      </c>
      <c r="D60" t="str">
        <f ca="1">IFERROR(__xludf.DUMMYFUNCTION("""COMPUTED_VALUE"""),"Manado")</f>
        <v>Manado</v>
      </c>
      <c r="E60" s="12">
        <f ca="1">IFERROR(__xludf.DUMMYFUNCTION("""COMPUTED_VALUE"""),43354)</f>
        <v>43354</v>
      </c>
      <c r="F60" t="str">
        <f ca="1">IFERROR(__xludf.DUMMYFUNCTION("""COMPUTED_VALUE"""),"KP0925SG")</f>
        <v>KP0925SG</v>
      </c>
      <c r="G60" s="11">
        <f ca="1">IFERROR(__xludf.DUMMYFUNCTION("""COMPUTED_VALUE"""),150000000)</f>
        <v>150000000</v>
      </c>
      <c r="H60">
        <f ca="1">IFERROR(__xludf.DUMMYFUNCTION("""COMPUTED_VALUE"""),35905)</f>
        <v>35905</v>
      </c>
      <c r="I60">
        <f ca="1">IFERROR(__xludf.DUMMYFUNCTION("""COMPUTED_VALUE"""),10)</f>
        <v>10</v>
      </c>
      <c r="J60" t="str">
        <f ca="1">IFERROR(__xludf.DUMMYFUNCTION("""COMPUTED_VALUE"""),"N/A")</f>
        <v>N/A</v>
      </c>
      <c r="K60" t="str">
        <f ca="1">IFERROR(__xludf.DUMMYFUNCTION("""COMPUTED_VALUE"""),"Pru Logistic")</f>
        <v>Pru Logistic</v>
      </c>
      <c r="L60" t="str">
        <f ca="1">IFERROR(__xludf.DUMMYFUNCTION("""COMPUTED_VALUE"""),"N")</f>
        <v>N</v>
      </c>
      <c r="M60" t="str">
        <f ca="1">IFERROR(__xludf.DUMMYFUNCTION("""COMPUTED_VALUE"""),"Il-221")</f>
        <v>Il-221</v>
      </c>
    </row>
    <row r="61" spans="1:13" ht="12.5" x14ac:dyDescent="0.25">
      <c r="A61" t="str">
        <f ca="1">IFERROR(__xludf.DUMMYFUNCTION("""COMPUTED_VALUE"""),"Ardy")</f>
        <v>Ardy</v>
      </c>
      <c r="B61" t="str">
        <f ca="1">IFERROR(__xludf.DUMMYFUNCTION("""COMPUTED_VALUE"""),"Ralhan")</f>
        <v>Ralhan</v>
      </c>
      <c r="C61" t="str">
        <f ca="1">IFERROR(__xludf.DUMMYFUNCTION("""COMPUTED_VALUE"""),"Ralhan@gmailx.com")</f>
        <v>Ralhan@gmailx.com</v>
      </c>
      <c r="D61" t="str">
        <f ca="1">IFERROR(__xludf.DUMMYFUNCTION("""COMPUTED_VALUE"""),"Tual")</f>
        <v>Tual</v>
      </c>
      <c r="E61" s="12">
        <f ca="1">IFERROR(__xludf.DUMMYFUNCTION("""COMPUTED_VALUE"""),43354)</f>
        <v>43354</v>
      </c>
      <c r="F61" t="str">
        <f ca="1">IFERROR(__xludf.DUMMYFUNCTION("""COMPUTED_VALUE"""),"KP0425CB")</f>
        <v>KP0425CB</v>
      </c>
      <c r="G61" s="11">
        <f ca="1">IFERROR(__xludf.DUMMYFUNCTION("""COMPUTED_VALUE"""),245250000)</f>
        <v>245250000</v>
      </c>
      <c r="H61">
        <f ca="1">IFERROR(__xludf.DUMMYFUNCTION("""COMPUTED_VALUE"""),36992)</f>
        <v>36992</v>
      </c>
      <c r="I61">
        <f ca="1">IFERROR(__xludf.DUMMYFUNCTION("""COMPUTED_VALUE"""),9)</f>
        <v>9</v>
      </c>
      <c r="J61">
        <f ca="1">IFERROR(__xludf.DUMMYFUNCTION("""COMPUTED_VALUE"""),4)</f>
        <v>4</v>
      </c>
      <c r="K61" t="str">
        <f ca="1">IFERROR(__xludf.DUMMYFUNCTION("""COMPUTED_VALUE"""),"Pru Logistic")</f>
        <v>Pru Logistic</v>
      </c>
      <c r="L61" t="str">
        <f ca="1">IFERROR(__xludf.DUMMYFUNCTION("""COMPUTED_VALUE"""),"Y")</f>
        <v>Y</v>
      </c>
      <c r="M61" t="str">
        <f ca="1">IFERROR(__xludf.DUMMYFUNCTION("""COMPUTED_VALUE"""),"Uw-171")</f>
        <v>Uw-171</v>
      </c>
    </row>
    <row r="62" spans="1:13" ht="12.5" x14ac:dyDescent="0.25">
      <c r="A62" t="str">
        <f ca="1">IFERROR(__xludf.DUMMYFUNCTION("""COMPUTED_VALUE"""),"Lucky")</f>
        <v>Lucky</v>
      </c>
      <c r="B62" t="str">
        <f ca="1">IFERROR(__xludf.DUMMYFUNCTION("""COMPUTED_VALUE"""),"Natawindjaja")</f>
        <v>Natawindjaja</v>
      </c>
      <c r="C62" t="str">
        <f ca="1">IFERROR(__xludf.DUMMYFUNCTION("""COMPUTED_VALUE"""),"Lucky@rocketmailx.com")</f>
        <v>Lucky@rocketmailx.com</v>
      </c>
      <c r="D62" t="str">
        <f ca="1">IFERROR(__xludf.DUMMYFUNCTION("""COMPUTED_VALUE"""),"Ternate")</f>
        <v>Ternate</v>
      </c>
      <c r="E62" s="12">
        <f ca="1">IFERROR(__xludf.DUMMYFUNCTION("""COMPUTED_VALUE"""),43354)</f>
        <v>43354</v>
      </c>
      <c r="F62" t="str">
        <f ca="1">IFERROR(__xludf.DUMMYFUNCTION("""COMPUTED_VALUE"""),"KP0850FB")</f>
        <v>KP0850FB</v>
      </c>
      <c r="G62" s="11">
        <f ca="1">IFERROR(__xludf.DUMMYFUNCTION("""COMPUTED_VALUE"""),126000000)</f>
        <v>126000000</v>
      </c>
      <c r="H62">
        <f ca="1">IFERROR(__xludf.DUMMYFUNCTION("""COMPUTED_VALUE"""),35543)</f>
        <v>35543</v>
      </c>
      <c r="I62">
        <f ca="1">IFERROR(__xludf.DUMMYFUNCTION("""COMPUTED_VALUE"""),6)</f>
        <v>6</v>
      </c>
      <c r="J62" t="str">
        <f ca="1">IFERROR(__xludf.DUMMYFUNCTION("""COMPUTED_VALUE"""),"N/A")</f>
        <v>N/A</v>
      </c>
      <c r="K62" t="str">
        <f ca="1">IFERROR(__xludf.DUMMYFUNCTION("""COMPUTED_VALUE"""),"JENT")</f>
        <v>JENT</v>
      </c>
      <c r="L62" t="str">
        <f ca="1">IFERROR(__xludf.DUMMYFUNCTION("""COMPUTED_VALUE"""),"Y")</f>
        <v>Y</v>
      </c>
      <c r="M62" t="str">
        <f ca="1">IFERROR(__xludf.DUMMYFUNCTION("""COMPUTED_VALUE"""),"Op-160")</f>
        <v>Op-160</v>
      </c>
    </row>
    <row r="63" spans="1:13" ht="12.5" x14ac:dyDescent="0.25">
      <c r="A63" t="str">
        <f ca="1">IFERROR(__xludf.DUMMYFUNCTION("""COMPUTED_VALUE"""),"Dewi")</f>
        <v>Dewi</v>
      </c>
      <c r="B63" t="str">
        <f ca="1">IFERROR(__xludf.DUMMYFUNCTION("""COMPUTED_VALUE"""),"Dudaney")</f>
        <v>Dudaney</v>
      </c>
      <c r="C63" t="str">
        <f ca="1">IFERROR(__xludf.DUMMYFUNCTION("""COMPUTED_VALUE"""),"Dewi@livex.com")</f>
        <v>Dewi@livex.com</v>
      </c>
      <c r="D63" t="str">
        <f ca="1">IFERROR(__xludf.DUMMYFUNCTION("""COMPUTED_VALUE"""),"Palu")</f>
        <v>Palu</v>
      </c>
      <c r="E63" s="12">
        <f ca="1">IFERROR(__xludf.DUMMYFUNCTION("""COMPUTED_VALUE"""),43292)</f>
        <v>43292</v>
      </c>
      <c r="F63" t="str">
        <f ca="1">IFERROR(__xludf.DUMMYFUNCTION("""COMPUTED_VALUE"""),"KP0150BH")</f>
        <v>KP0150BH</v>
      </c>
      <c r="G63" s="11">
        <f ca="1">IFERROR(__xludf.DUMMYFUNCTION("""COMPUTED_VALUE"""),270000000)</f>
        <v>270000000</v>
      </c>
      <c r="H63">
        <f ca="1">IFERROR(__xludf.DUMMYFUNCTION("""COMPUTED_VALUE"""),35367)</f>
        <v>35367</v>
      </c>
      <c r="I63">
        <f ca="1">IFERROR(__xludf.DUMMYFUNCTION("""COMPUTED_VALUE"""),10)</f>
        <v>10</v>
      </c>
      <c r="J63">
        <f ca="1">IFERROR(__xludf.DUMMYFUNCTION("""COMPUTED_VALUE"""),1)</f>
        <v>1</v>
      </c>
      <c r="K63" t="str">
        <f ca="1">IFERROR(__xludf.DUMMYFUNCTION("""COMPUTED_VALUE"""),"JENT")</f>
        <v>JENT</v>
      </c>
      <c r="L63" t="str">
        <f ca="1">IFERROR(__xludf.DUMMYFUNCTION("""COMPUTED_VALUE"""),"Y")</f>
        <v>Y</v>
      </c>
      <c r="M63" t="str">
        <f ca="1">IFERROR(__xludf.DUMMYFUNCTION("""COMPUTED_VALUE"""),"Wi-280")</f>
        <v>Wi-280</v>
      </c>
    </row>
    <row r="64" spans="1:13" ht="12.5" x14ac:dyDescent="0.25">
      <c r="A64" t="str">
        <f ca="1">IFERROR(__xludf.DUMMYFUNCTION("""COMPUTED_VALUE"""),"Lenny")</f>
        <v>Lenny</v>
      </c>
      <c r="B64" t="str">
        <f ca="1">IFERROR(__xludf.DUMMYFUNCTION("""COMPUTED_VALUE"""),"Gautama")</f>
        <v>Gautama</v>
      </c>
      <c r="C64" t="str">
        <f ca="1">IFERROR(__xludf.DUMMYFUNCTION("""COMPUTED_VALUE"""),"Gautama@icloudx.com")</f>
        <v>Gautama@icloudx.com</v>
      </c>
      <c r="D64" t="str">
        <f ca="1">IFERROR(__xludf.DUMMYFUNCTION("""COMPUTED_VALUE"""),"Subulussalam")</f>
        <v>Subulussalam</v>
      </c>
      <c r="E64" s="12">
        <f ca="1">IFERROR(__xludf.DUMMYFUNCTION("""COMPUTED_VALUE"""),43262)</f>
        <v>43262</v>
      </c>
      <c r="F64" t="str">
        <f ca="1">IFERROR(__xludf.DUMMYFUNCTION("""COMPUTED_VALUE"""),"KP0225BB")</f>
        <v>KP0225BB</v>
      </c>
      <c r="G64" s="11">
        <f ca="1">IFERROR(__xludf.DUMMYFUNCTION("""COMPUTED_VALUE"""),100000000)</f>
        <v>100000000</v>
      </c>
      <c r="H64">
        <f ca="1">IFERROR(__xludf.DUMMYFUNCTION("""COMPUTED_VALUE"""),35696)</f>
        <v>35696</v>
      </c>
      <c r="I64">
        <f ca="1">IFERROR(__xludf.DUMMYFUNCTION("""COMPUTED_VALUE"""),10)</f>
        <v>10</v>
      </c>
      <c r="J64">
        <f ca="1">IFERROR(__xludf.DUMMYFUNCTION("""COMPUTED_VALUE"""),4)</f>
        <v>4</v>
      </c>
      <c r="K64" t="str">
        <f ca="1">IFERROR(__xludf.DUMMYFUNCTION("""COMPUTED_VALUE"""),"JENT")</f>
        <v>JENT</v>
      </c>
      <c r="L64" t="str">
        <f ca="1">IFERROR(__xludf.DUMMYFUNCTION("""COMPUTED_VALUE"""),"Y")</f>
        <v>Y</v>
      </c>
      <c r="M64" t="str">
        <f ca="1">IFERROR(__xludf.DUMMYFUNCTION("""COMPUTED_VALUE"""),"Ds-101")</f>
        <v>Ds-101</v>
      </c>
    </row>
    <row r="65" spans="1:13" ht="12.5" x14ac:dyDescent="0.25">
      <c r="A65" t="str">
        <f ca="1">IFERROR(__xludf.DUMMYFUNCTION("""COMPUTED_VALUE"""),"Sri")</f>
        <v>Sri</v>
      </c>
      <c r="B65" t="str">
        <f ca="1">IFERROR(__xludf.DUMMYFUNCTION("""COMPUTED_VALUE"""),"Surjana")</f>
        <v>Surjana</v>
      </c>
      <c r="C65" t="str">
        <f ca="1">IFERROR(__xludf.DUMMYFUNCTION("""COMPUTED_VALUE"""),"Surjana@outlookx.com")</f>
        <v>Surjana@outlookx.com</v>
      </c>
      <c r="D65" t="str">
        <f ca="1">IFERROR(__xludf.DUMMYFUNCTION("""COMPUTED_VALUE"""),"Pagaralam")</f>
        <v>Pagaralam</v>
      </c>
      <c r="E65" s="12">
        <f ca="1">IFERROR(__xludf.DUMMYFUNCTION("""COMPUTED_VALUE"""),43262)</f>
        <v>43262</v>
      </c>
      <c r="F65" t="str">
        <f ca="1">IFERROR(__xludf.DUMMYFUNCTION("""COMPUTED_VALUE"""),"KP0425CB")</f>
        <v>KP0425CB</v>
      </c>
      <c r="G65" s="11">
        <f ca="1">IFERROR(__xludf.DUMMYFUNCTION("""COMPUTED_VALUE"""),245250000)</f>
        <v>245250000</v>
      </c>
      <c r="H65">
        <f ca="1">IFERROR(__xludf.DUMMYFUNCTION("""COMPUTED_VALUE"""),35873)</f>
        <v>35873</v>
      </c>
      <c r="I65">
        <f ca="1">IFERROR(__xludf.DUMMYFUNCTION("""COMPUTED_VALUE"""),9)</f>
        <v>9</v>
      </c>
      <c r="J65">
        <f ca="1">IFERROR(__xludf.DUMMYFUNCTION("""COMPUTED_VALUE"""),3)</f>
        <v>3</v>
      </c>
      <c r="K65" t="str">
        <f ca="1">IFERROR(__xludf.DUMMYFUNCTION("""COMPUTED_VALUE"""),"Wakanda Express")</f>
        <v>Wakanda Express</v>
      </c>
      <c r="L65" t="str">
        <f ca="1">IFERROR(__xludf.DUMMYFUNCTION("""COMPUTED_VALUE"""),"N")</f>
        <v>N</v>
      </c>
      <c r="M65" t="str">
        <f ca="1">IFERROR(__xludf.DUMMYFUNCTION("""COMPUTED_VALUE"""),"Nl-661")</f>
        <v>Nl-661</v>
      </c>
    </row>
    <row r="66" spans="1:13" ht="12.5" x14ac:dyDescent="0.25">
      <c r="A66" t="str">
        <f ca="1">IFERROR(__xludf.DUMMYFUNCTION("""COMPUTED_VALUE"""),"Hendrik")</f>
        <v>Hendrik</v>
      </c>
      <c r="B66" t="str">
        <f ca="1">IFERROR(__xludf.DUMMYFUNCTION("""COMPUTED_VALUE"""),"Wijaya,")</f>
        <v>Wijaya,</v>
      </c>
      <c r="C66" t="str">
        <f ca="1">IFERROR(__xludf.DUMMYFUNCTION("""COMPUTED_VALUE"""),"Hendrik@gmailx.com")</f>
        <v>Hendrik@gmailx.com</v>
      </c>
      <c r="D66" t="str">
        <f ca="1">IFERROR(__xludf.DUMMYFUNCTION("""COMPUTED_VALUE"""),"Samarinda")</f>
        <v>Samarinda</v>
      </c>
      <c r="E66" s="12">
        <f ca="1">IFERROR(__xludf.DUMMYFUNCTION("""COMPUTED_VALUE"""),43170)</f>
        <v>43170</v>
      </c>
      <c r="F66" t="str">
        <f ca="1">IFERROR(__xludf.DUMMYFUNCTION("""COMPUTED_VALUE"""),"KP0850FB")</f>
        <v>KP0850FB</v>
      </c>
      <c r="G66" s="11">
        <f ca="1">IFERROR(__xludf.DUMMYFUNCTION("""COMPUTED_VALUE"""),63000000)</f>
        <v>63000000</v>
      </c>
      <c r="H66">
        <f ca="1">IFERROR(__xludf.DUMMYFUNCTION("""COMPUTED_VALUE"""),36628)</f>
        <v>36628</v>
      </c>
      <c r="I66">
        <f ca="1">IFERROR(__xludf.DUMMYFUNCTION("""COMPUTED_VALUE"""),3)</f>
        <v>3</v>
      </c>
      <c r="J66" t="str">
        <f ca="1">IFERROR(__xludf.DUMMYFUNCTION("""COMPUTED_VALUE"""),"N/A")</f>
        <v>N/A</v>
      </c>
      <c r="K66" t="str">
        <f ca="1">IFERROR(__xludf.DUMMYFUNCTION("""COMPUTED_VALUE"""),"Swift Delivery")</f>
        <v>Swift Delivery</v>
      </c>
      <c r="L66" t="str">
        <f ca="1">IFERROR(__xludf.DUMMYFUNCTION("""COMPUTED_VALUE"""),"Y")</f>
        <v>Y</v>
      </c>
      <c r="M66" t="str">
        <f ca="1">IFERROR(__xludf.DUMMYFUNCTION("""COMPUTED_VALUE"""),"Ag-993")</f>
        <v>Ag-993</v>
      </c>
    </row>
    <row r="67" spans="1:13" ht="12.5" x14ac:dyDescent="0.25">
      <c r="A67" t="str">
        <f ca="1">IFERROR(__xludf.DUMMYFUNCTION("""COMPUTED_VALUE"""),"Edy")</f>
        <v>Edy</v>
      </c>
      <c r="B67" t="str">
        <f ca="1">IFERROR(__xludf.DUMMYFUNCTION("""COMPUTED_VALUE"""),"Zaini")</f>
        <v>Zaini</v>
      </c>
      <c r="C67" t="str">
        <f ca="1">IFERROR(__xludf.DUMMYFUNCTION("""COMPUTED_VALUE"""),"Edy@gmailx.com")</f>
        <v>Edy@gmailx.com</v>
      </c>
      <c r="D67" t="str">
        <f ca="1">IFERROR(__xludf.DUMMYFUNCTION("""COMPUTED_VALUE"""),"Palopo")</f>
        <v>Palopo</v>
      </c>
      <c r="E67" s="12">
        <f ca="1">IFERROR(__xludf.DUMMYFUNCTION("""COMPUTED_VALUE"""),43142)</f>
        <v>43142</v>
      </c>
      <c r="F67" t="str">
        <f ca="1">IFERROR(__xludf.DUMMYFUNCTION("""COMPUTED_VALUE"""),"KP0350CF")</f>
        <v>KP0350CF</v>
      </c>
      <c r="G67" s="11">
        <f ca="1">IFERROR(__xludf.DUMMYFUNCTION("""COMPUTED_VALUE"""),70000000)</f>
        <v>70000000</v>
      </c>
      <c r="H67">
        <f ca="1">IFERROR(__xludf.DUMMYFUNCTION("""COMPUTED_VALUE"""),35884)</f>
        <v>35884</v>
      </c>
      <c r="I67">
        <f ca="1">IFERROR(__xludf.DUMMYFUNCTION("""COMPUTED_VALUE"""),2)</f>
        <v>2</v>
      </c>
      <c r="J67" t="str">
        <f ca="1">IFERROR(__xludf.DUMMYFUNCTION("""COMPUTED_VALUE"""),"N/A")</f>
        <v>N/A</v>
      </c>
      <c r="K67" t="str">
        <f ca="1">IFERROR(__xludf.DUMMYFUNCTION("""COMPUTED_VALUE"""),"JENT")</f>
        <v>JENT</v>
      </c>
      <c r="L67" t="str">
        <f ca="1">IFERROR(__xludf.DUMMYFUNCTION("""COMPUTED_VALUE"""),"Y")</f>
        <v>Y</v>
      </c>
      <c r="M67" t="str">
        <f ca="1">IFERROR(__xludf.DUMMYFUNCTION("""COMPUTED_VALUE"""),"Om-290")</f>
        <v>Om-290</v>
      </c>
    </row>
    <row r="68" spans="1:13" ht="12.5" x14ac:dyDescent="0.25">
      <c r="A68" t="str">
        <f ca="1">IFERROR(__xludf.DUMMYFUNCTION("""COMPUTED_VALUE"""),"Raju")</f>
        <v>Raju</v>
      </c>
      <c r="B68" t="str">
        <f ca="1">IFERROR(__xludf.DUMMYFUNCTION("""COMPUTED_VALUE"""),"Pribadi")</f>
        <v>Pribadi</v>
      </c>
      <c r="C68" t="str">
        <f ca="1">IFERROR(__xludf.DUMMYFUNCTION("""COMPUTED_VALUE"""),"Raju@livex.com")</f>
        <v>Raju@livex.com</v>
      </c>
      <c r="D68" t="str">
        <f ca="1">IFERROR(__xludf.DUMMYFUNCTION("""COMPUTED_VALUE"""),"Cimahi")</f>
        <v>Cimahi</v>
      </c>
      <c r="E68" s="12">
        <f ca="1">IFERROR(__xludf.DUMMYFUNCTION("""COMPUTED_VALUE"""),43111)</f>
        <v>43111</v>
      </c>
      <c r="F68" t="str">
        <f ca="1">IFERROR(__xludf.DUMMYFUNCTION("""COMPUTED_VALUE"""),"KP0050AG")</f>
        <v>KP0050AG</v>
      </c>
      <c r="G68" s="11">
        <f ca="1">IFERROR(__xludf.DUMMYFUNCTION("""COMPUTED_VALUE"""),65000000)</f>
        <v>65000000</v>
      </c>
      <c r="H68">
        <f ca="1">IFERROR(__xludf.DUMMYFUNCTION("""COMPUTED_VALUE"""),35388)</f>
        <v>35388</v>
      </c>
      <c r="I68">
        <f ca="1">IFERROR(__xludf.DUMMYFUNCTION("""COMPUTED_VALUE"""),4)</f>
        <v>4</v>
      </c>
      <c r="J68" t="str">
        <f ca="1">IFERROR(__xludf.DUMMYFUNCTION("""COMPUTED_VALUE"""),"N/A")</f>
        <v>N/A</v>
      </c>
      <c r="K68" t="str">
        <f ca="1">IFERROR(__xludf.DUMMYFUNCTION("""COMPUTED_VALUE"""),"JENT")</f>
        <v>JENT</v>
      </c>
      <c r="L68" t="str">
        <f ca="1">IFERROR(__xludf.DUMMYFUNCTION("""COMPUTED_VALUE"""),"N")</f>
        <v>N</v>
      </c>
      <c r="M68" t="str">
        <f ca="1">IFERROR(__xludf.DUMMYFUNCTION("""COMPUTED_VALUE"""),"Nt-409")</f>
        <v>Nt-409</v>
      </c>
    </row>
    <row r="69" spans="1:13" ht="12.5" x14ac:dyDescent="0.25">
      <c r="A69" t="str">
        <f ca="1">IFERROR(__xludf.DUMMYFUNCTION("""COMPUTED_VALUE"""),"Jeannie")</f>
        <v>Jeannie</v>
      </c>
      <c r="B69" t="str">
        <f ca="1">IFERROR(__xludf.DUMMYFUNCTION("""COMPUTED_VALUE"""),"Limited")</f>
        <v>Limited</v>
      </c>
      <c r="C69" t="str">
        <f ca="1">IFERROR(__xludf.DUMMYFUNCTION("""COMPUTED_VALUE"""),"Jeannie@ymailx.com")</f>
        <v>Jeannie@ymailx.com</v>
      </c>
      <c r="D69" t="str">
        <f ca="1">IFERROR(__xludf.DUMMYFUNCTION("""COMPUTED_VALUE"""),"Blitar")</f>
        <v>Blitar</v>
      </c>
      <c r="E69" s="12">
        <f ca="1">IFERROR(__xludf.DUMMYFUNCTION("""COMPUTED_VALUE"""),43111)</f>
        <v>43111</v>
      </c>
      <c r="F69" t="str">
        <f ca="1">IFERROR(__xludf.DUMMYFUNCTION("""COMPUTED_VALUE"""),"KP0050AG")</f>
        <v>KP0050AG</v>
      </c>
      <c r="G69" s="11">
        <f ca="1">IFERROR(__xludf.DUMMYFUNCTION("""COMPUTED_VALUE"""),32500000)</f>
        <v>32500000</v>
      </c>
      <c r="H69">
        <f ca="1">IFERROR(__xludf.DUMMYFUNCTION("""COMPUTED_VALUE"""),35722)</f>
        <v>35722</v>
      </c>
      <c r="I69">
        <f ca="1">IFERROR(__xludf.DUMMYFUNCTION("""COMPUTED_VALUE"""),2)</f>
        <v>2</v>
      </c>
      <c r="J69" t="str">
        <f ca="1">IFERROR(__xludf.DUMMYFUNCTION("""COMPUTED_VALUE"""),"N/A")</f>
        <v>N/A</v>
      </c>
      <c r="K69" t="str">
        <f ca="1">IFERROR(__xludf.DUMMYFUNCTION("""COMPUTED_VALUE"""),"Wakanda Express")</f>
        <v>Wakanda Express</v>
      </c>
      <c r="L69" t="str">
        <f ca="1">IFERROR(__xludf.DUMMYFUNCTION("""COMPUTED_VALUE"""),"Y")</f>
        <v>Y</v>
      </c>
      <c r="M69" t="str">
        <f ca="1">IFERROR(__xludf.DUMMYFUNCTION("""COMPUTED_VALUE"""),"Tc-123")</f>
        <v>Tc-123</v>
      </c>
    </row>
    <row r="70" spans="1:13" ht="12.5" x14ac:dyDescent="0.25">
      <c r="A70" t="str">
        <f ca="1">IFERROR(__xludf.DUMMYFUNCTION("""COMPUTED_VALUE"""),"Kindarto")</f>
        <v>Kindarto</v>
      </c>
      <c r="B70" t="str">
        <f ca="1">IFERROR(__xludf.DUMMYFUNCTION("""COMPUTED_VALUE"""),"Lipina")</f>
        <v>Lipina</v>
      </c>
      <c r="C70" t="str">
        <f ca="1">IFERROR(__xludf.DUMMYFUNCTION("""COMPUTED_VALUE"""),"Kindarto@gmailx.com")</f>
        <v>Kindarto@gmailx.com</v>
      </c>
      <c r="D70" t="str">
        <f ca="1">IFERROR(__xludf.DUMMYFUNCTION("""COMPUTED_VALUE"""),"Bukittinggi")</f>
        <v>Bukittinggi</v>
      </c>
      <c r="E70" s="12">
        <f ca="1">IFERROR(__xludf.DUMMYFUNCTION("""COMPUTED_VALUE"""),43401)</f>
        <v>43401</v>
      </c>
      <c r="F70" t="str">
        <f ca="1">IFERROR(__xludf.DUMMYFUNCTION("""COMPUTED_VALUE"""),"KP0850FB")</f>
        <v>KP0850FB</v>
      </c>
      <c r="G70" s="11">
        <f ca="1">IFERROR(__xludf.DUMMYFUNCTION("""COMPUTED_VALUE"""),168000000)</f>
        <v>168000000</v>
      </c>
      <c r="H70">
        <f ca="1">IFERROR(__xludf.DUMMYFUNCTION("""COMPUTED_VALUE"""),36254)</f>
        <v>36254</v>
      </c>
      <c r="I70">
        <f ca="1">IFERROR(__xludf.DUMMYFUNCTION("""COMPUTED_VALUE"""),8)</f>
        <v>8</v>
      </c>
      <c r="J70">
        <f ca="1">IFERROR(__xludf.DUMMYFUNCTION("""COMPUTED_VALUE"""),2)</f>
        <v>2</v>
      </c>
      <c r="K70" t="str">
        <f ca="1">IFERROR(__xludf.DUMMYFUNCTION("""COMPUTED_VALUE"""),"JENT")</f>
        <v>JENT</v>
      </c>
      <c r="L70" t="str">
        <f ca="1">IFERROR(__xludf.DUMMYFUNCTION("""COMPUTED_VALUE"""),"Y")</f>
        <v>Y</v>
      </c>
      <c r="M70" t="str">
        <f ca="1">IFERROR(__xludf.DUMMYFUNCTION("""COMPUTED_VALUE"""),"Ok-559")</f>
        <v>Ok-559</v>
      </c>
    </row>
    <row r="71" spans="1:13" ht="12.5" x14ac:dyDescent="0.25">
      <c r="A71" t="str">
        <f ca="1">IFERROR(__xludf.DUMMYFUNCTION("""COMPUTED_VALUE"""),"Song")</f>
        <v>Song</v>
      </c>
      <c r="B71" t="str">
        <f ca="1">IFERROR(__xludf.DUMMYFUNCTION("""COMPUTED_VALUE"""),"Budiman")</f>
        <v>Budiman</v>
      </c>
      <c r="C71" t="str">
        <f ca="1">IFERROR(__xludf.DUMMYFUNCTION("""COMPUTED_VALUE"""),"Budiman@outlookx.com")</f>
        <v>Budiman@outlookx.com</v>
      </c>
      <c r="D71" t="str">
        <f ca="1">IFERROR(__xludf.DUMMYFUNCTION("""COMPUTED_VALUE"""),"Bukittinggi")</f>
        <v>Bukittinggi</v>
      </c>
      <c r="E71" s="12">
        <f ca="1">IFERROR(__xludf.DUMMYFUNCTION("""COMPUTED_VALUE"""),43399)</f>
        <v>43399</v>
      </c>
      <c r="F71" t="str">
        <f ca="1">IFERROR(__xludf.DUMMYFUNCTION("""COMPUTED_VALUE"""),"KP0850FB")</f>
        <v>KP0850FB</v>
      </c>
      <c r="G71" s="11">
        <f ca="1">IFERROR(__xludf.DUMMYFUNCTION("""COMPUTED_VALUE"""),210000000)</f>
        <v>210000000</v>
      </c>
      <c r="H71">
        <f ca="1">IFERROR(__xludf.DUMMYFUNCTION("""COMPUTED_VALUE"""),36287)</f>
        <v>36287</v>
      </c>
      <c r="I71">
        <f ca="1">IFERROR(__xludf.DUMMYFUNCTION("""COMPUTED_VALUE"""),10)</f>
        <v>10</v>
      </c>
      <c r="J71">
        <f ca="1">IFERROR(__xludf.DUMMYFUNCTION("""COMPUTED_VALUE"""),4)</f>
        <v>4</v>
      </c>
      <c r="K71" t="str">
        <f ca="1">IFERROR(__xludf.DUMMYFUNCTION("""COMPUTED_VALUE"""),"Swift Delivery")</f>
        <v>Swift Delivery</v>
      </c>
      <c r="L71" t="str">
        <f ca="1">IFERROR(__xludf.DUMMYFUNCTION("""COMPUTED_VALUE"""),"N")</f>
        <v>N</v>
      </c>
      <c r="M71" t="str">
        <f ca="1">IFERROR(__xludf.DUMMYFUNCTION("""COMPUTED_VALUE"""),"Bo-559")</f>
        <v>Bo-559</v>
      </c>
    </row>
    <row r="72" spans="1:13" ht="12.5" x14ac:dyDescent="0.25">
      <c r="A72" t="str">
        <f ca="1">IFERROR(__xludf.DUMMYFUNCTION("""COMPUTED_VALUE"""),"Rachmat")</f>
        <v>Rachmat</v>
      </c>
      <c r="B72" t="str">
        <f ca="1">IFERROR(__xludf.DUMMYFUNCTION("""COMPUTED_VALUE"""),"Raharja")</f>
        <v>Raharja</v>
      </c>
      <c r="C72" t="str">
        <f ca="1">IFERROR(__xludf.DUMMYFUNCTION("""COMPUTED_VALUE"""),"Rachmat@ymailx.com")</f>
        <v>Rachmat@ymailx.com</v>
      </c>
      <c r="D72" t="str">
        <f ca="1">IFERROR(__xludf.DUMMYFUNCTION("""COMPUTED_VALUE"""),"Magelang")</f>
        <v>Magelang</v>
      </c>
      <c r="E72" s="12">
        <f ca="1">IFERROR(__xludf.DUMMYFUNCTION("""COMPUTED_VALUE"""),43399)</f>
        <v>43399</v>
      </c>
      <c r="F72" t="str">
        <f ca="1">IFERROR(__xludf.DUMMYFUNCTION("""COMPUTED_VALUE"""),"KP0625AF")</f>
        <v>KP0625AF</v>
      </c>
      <c r="G72" s="11">
        <f ca="1">IFERROR(__xludf.DUMMYFUNCTION("""COMPUTED_VALUE"""),108000000)</f>
        <v>108000000</v>
      </c>
      <c r="H72">
        <f ca="1">IFERROR(__xludf.DUMMYFUNCTION("""COMPUTED_VALUE"""),36224)</f>
        <v>36224</v>
      </c>
      <c r="I72">
        <f ca="1">IFERROR(__xludf.DUMMYFUNCTION("""COMPUTED_VALUE"""),9)</f>
        <v>9</v>
      </c>
      <c r="J72">
        <f ca="1">IFERROR(__xludf.DUMMYFUNCTION("""COMPUTED_VALUE"""),4)</f>
        <v>4</v>
      </c>
      <c r="K72" t="str">
        <f ca="1">IFERROR(__xludf.DUMMYFUNCTION("""COMPUTED_VALUE"""),"Swift Delivery")</f>
        <v>Swift Delivery</v>
      </c>
      <c r="L72" t="str">
        <f ca="1">IFERROR(__xludf.DUMMYFUNCTION("""COMPUTED_VALUE"""),"N")</f>
        <v>N</v>
      </c>
      <c r="M72" t="str">
        <f ca="1">IFERROR(__xludf.DUMMYFUNCTION("""COMPUTED_VALUE"""),"Tm-410")</f>
        <v>Tm-410</v>
      </c>
    </row>
    <row r="73" spans="1:13" ht="12.5" x14ac:dyDescent="0.25">
      <c r="A73" t="str">
        <f ca="1">IFERROR(__xludf.DUMMYFUNCTION("""COMPUTED_VALUE"""),"Listyani")</f>
        <v>Listyani</v>
      </c>
      <c r="B73" t="str">
        <f ca="1">IFERROR(__xludf.DUMMYFUNCTION("""COMPUTED_VALUE"""),"Hadi")</f>
        <v>Hadi</v>
      </c>
      <c r="C73" t="str">
        <f ca="1">IFERROR(__xludf.DUMMYFUNCTION("""COMPUTED_VALUE"""),"Listyani@ymailx.com")</f>
        <v>Listyani@ymailx.com</v>
      </c>
      <c r="D73" t="str">
        <f ca="1">IFERROR(__xludf.DUMMYFUNCTION("""COMPUTED_VALUE"""),"Jayapura")</f>
        <v>Jayapura</v>
      </c>
      <c r="E73" s="12">
        <f ca="1">IFERROR(__xludf.DUMMYFUNCTION("""COMPUTED_VALUE"""),43398)</f>
        <v>43398</v>
      </c>
      <c r="F73" t="str">
        <f ca="1">IFERROR(__xludf.DUMMYFUNCTION("""COMPUTED_VALUE"""),"KP0050AG")</f>
        <v>KP0050AG</v>
      </c>
      <c r="G73" s="11">
        <f ca="1">IFERROR(__xludf.DUMMYFUNCTION("""COMPUTED_VALUE"""),32500000)</f>
        <v>32500000</v>
      </c>
      <c r="H73">
        <f ca="1">IFERROR(__xludf.DUMMYFUNCTION("""COMPUTED_VALUE"""),36016)</f>
        <v>36016</v>
      </c>
      <c r="I73">
        <f ca="1">IFERROR(__xludf.DUMMYFUNCTION("""COMPUTED_VALUE"""),2)</f>
        <v>2</v>
      </c>
      <c r="J73">
        <f ca="1">IFERROR(__xludf.DUMMYFUNCTION("""COMPUTED_VALUE"""),3)</f>
        <v>3</v>
      </c>
      <c r="K73" t="str">
        <f ca="1">IFERROR(__xludf.DUMMYFUNCTION("""COMPUTED_VALUE"""),"Wakanda Express")</f>
        <v>Wakanda Express</v>
      </c>
      <c r="L73" t="str">
        <f ca="1">IFERROR(__xludf.DUMMYFUNCTION("""COMPUTED_VALUE"""),"Y")</f>
        <v>Y</v>
      </c>
      <c r="M73" t="str">
        <f ca="1">IFERROR(__xludf.DUMMYFUNCTION("""COMPUTED_VALUE"""),"Hp-990")</f>
        <v>Hp-990</v>
      </c>
    </row>
    <row r="74" spans="1:13" ht="12.5" x14ac:dyDescent="0.25">
      <c r="A74" t="str">
        <f ca="1">IFERROR(__xludf.DUMMYFUNCTION("""COMPUTED_VALUE"""),"Drs")</f>
        <v>Drs</v>
      </c>
      <c r="B74" t="str">
        <f ca="1">IFERROR(__xludf.DUMMYFUNCTION("""COMPUTED_VALUE"""),"Joantina")</f>
        <v>Joantina</v>
      </c>
      <c r="C74" t="str">
        <f ca="1">IFERROR(__xludf.DUMMYFUNCTION("""COMPUTED_VALUE"""),"DRS@gmailx.com")</f>
        <v>DRS@gmailx.com</v>
      </c>
      <c r="D74" t="str">
        <f ca="1">IFERROR(__xludf.DUMMYFUNCTION("""COMPUTED_VALUE"""),"Mataram")</f>
        <v>Mataram</v>
      </c>
      <c r="E74" s="12">
        <f ca="1">IFERROR(__xludf.DUMMYFUNCTION("""COMPUTED_VALUE"""),43397)</f>
        <v>43397</v>
      </c>
      <c r="F74" t="str">
        <f ca="1">IFERROR(__xludf.DUMMYFUNCTION("""COMPUTED_VALUE"""),"KP0925SG")</f>
        <v>KP0925SG</v>
      </c>
      <c r="G74" s="11">
        <f ca="1">IFERROR(__xludf.DUMMYFUNCTION("""COMPUTED_VALUE"""),135000000)</f>
        <v>135000000</v>
      </c>
      <c r="H74">
        <f ca="1">IFERROR(__xludf.DUMMYFUNCTION("""COMPUTED_VALUE"""),35588)</f>
        <v>35588</v>
      </c>
      <c r="I74">
        <f ca="1">IFERROR(__xludf.DUMMYFUNCTION("""COMPUTED_VALUE"""),9)</f>
        <v>9</v>
      </c>
      <c r="J74" t="str">
        <f ca="1">IFERROR(__xludf.DUMMYFUNCTION("""COMPUTED_VALUE"""),"N/A")</f>
        <v>N/A</v>
      </c>
      <c r="K74" t="str">
        <f ca="1">IFERROR(__xludf.DUMMYFUNCTION("""COMPUTED_VALUE"""),"Cepat Kirim")</f>
        <v>Cepat Kirim</v>
      </c>
      <c r="L74" t="str">
        <f ca="1">IFERROR(__xludf.DUMMYFUNCTION("""COMPUTED_VALUE"""),"Y")</f>
        <v>Y</v>
      </c>
      <c r="M74" t="str">
        <f ca="1">IFERROR(__xludf.DUMMYFUNCTION("""COMPUTED_VALUE"""),"Yz-183")</f>
        <v>Yz-183</v>
      </c>
    </row>
    <row r="75" spans="1:13" ht="12.5" x14ac:dyDescent="0.25">
      <c r="A75" t="str">
        <f ca="1">IFERROR(__xludf.DUMMYFUNCTION("""COMPUTED_VALUE"""),"Iwa")</f>
        <v>Iwa</v>
      </c>
      <c r="B75" t="str">
        <f ca="1">IFERROR(__xludf.DUMMYFUNCTION("""COMPUTED_VALUE"""),"Miqailla")</f>
        <v>Miqailla</v>
      </c>
      <c r="C75" t="str">
        <f ca="1">IFERROR(__xludf.DUMMYFUNCTION("""COMPUTED_VALUE"""),"Miqailla@gmailx.com")</f>
        <v>Miqailla@gmailx.com</v>
      </c>
      <c r="D75" t="str">
        <f ca="1">IFERROR(__xludf.DUMMYFUNCTION("""COMPUTED_VALUE"""),"Banjarmasin")</f>
        <v>Banjarmasin</v>
      </c>
      <c r="E75" s="12">
        <f ca="1">IFERROR(__xludf.DUMMYFUNCTION("""COMPUTED_VALUE"""),43397)</f>
        <v>43397</v>
      </c>
      <c r="F75" t="str">
        <f ca="1">IFERROR(__xludf.DUMMYFUNCTION("""COMPUTED_VALUE"""),"KP0850FB")</f>
        <v>KP0850FB</v>
      </c>
      <c r="G75" s="11">
        <f ca="1">IFERROR(__xludf.DUMMYFUNCTION("""COMPUTED_VALUE"""),210000000)</f>
        <v>210000000</v>
      </c>
      <c r="H75">
        <f ca="1">IFERROR(__xludf.DUMMYFUNCTION("""COMPUTED_VALUE"""),35079)</f>
        <v>35079</v>
      </c>
      <c r="I75">
        <f ca="1">IFERROR(__xludf.DUMMYFUNCTION("""COMPUTED_VALUE"""),10)</f>
        <v>10</v>
      </c>
      <c r="J75" t="str">
        <f ca="1">IFERROR(__xludf.DUMMYFUNCTION("""COMPUTED_VALUE"""),"N/A")</f>
        <v>N/A</v>
      </c>
      <c r="K75" t="str">
        <f ca="1">IFERROR(__xludf.DUMMYFUNCTION("""COMPUTED_VALUE"""),"Wakanda Express")</f>
        <v>Wakanda Express</v>
      </c>
      <c r="L75" t="str">
        <f ca="1">IFERROR(__xludf.DUMMYFUNCTION("""COMPUTED_VALUE"""),"Y")</f>
        <v>Y</v>
      </c>
      <c r="M75" t="str">
        <f ca="1">IFERROR(__xludf.DUMMYFUNCTION("""COMPUTED_VALUE"""),"Kk-991")</f>
        <v>Kk-991</v>
      </c>
    </row>
    <row r="76" spans="1:13" ht="12.5" x14ac:dyDescent="0.25">
      <c r="A76" t="str">
        <f ca="1">IFERROR(__xludf.DUMMYFUNCTION("""COMPUTED_VALUE"""),"Michael")</f>
        <v>Michael</v>
      </c>
      <c r="B76" t="str">
        <f ca="1">IFERROR(__xludf.DUMMYFUNCTION("""COMPUTED_VALUE"""),"Agustino")</f>
        <v>Agustino</v>
      </c>
      <c r="C76" t="str">
        <f ca="1">IFERROR(__xludf.DUMMYFUNCTION("""COMPUTED_VALUE"""),"Michael@gmailx.com")</f>
        <v>Michael@gmailx.com</v>
      </c>
      <c r="D76" t="str">
        <f ca="1">IFERROR(__xludf.DUMMYFUNCTION("""COMPUTED_VALUE"""),"Kediri")</f>
        <v>Kediri</v>
      </c>
      <c r="E76" s="12">
        <f ca="1">IFERROR(__xludf.DUMMYFUNCTION("""COMPUTED_VALUE"""),43396)</f>
        <v>43396</v>
      </c>
      <c r="F76" t="str">
        <f ca="1">IFERROR(__xludf.DUMMYFUNCTION("""COMPUTED_VALUE"""),"KP0925SG")</f>
        <v>KP0925SG</v>
      </c>
      <c r="G76" s="11">
        <f ca="1">IFERROR(__xludf.DUMMYFUNCTION("""COMPUTED_VALUE"""),135000000)</f>
        <v>135000000</v>
      </c>
      <c r="H76">
        <f ca="1">IFERROR(__xludf.DUMMYFUNCTION("""COMPUTED_VALUE"""),36328)</f>
        <v>36328</v>
      </c>
      <c r="I76">
        <f ca="1">IFERROR(__xludf.DUMMYFUNCTION("""COMPUTED_VALUE"""),9)</f>
        <v>9</v>
      </c>
      <c r="J76" t="str">
        <f ca="1">IFERROR(__xludf.DUMMYFUNCTION("""COMPUTED_VALUE"""),"N/A")</f>
        <v>N/A</v>
      </c>
      <c r="K76" t="str">
        <f ca="1">IFERROR(__xludf.DUMMYFUNCTION("""COMPUTED_VALUE"""),"Swift Delivery")</f>
        <v>Swift Delivery</v>
      </c>
      <c r="L76" t="str">
        <f ca="1">IFERROR(__xludf.DUMMYFUNCTION("""COMPUTED_VALUE"""),"Y")</f>
        <v>Y</v>
      </c>
      <c r="M76" t="str">
        <f ca="1">IFERROR(__xludf.DUMMYFUNCTION("""COMPUTED_VALUE"""),"Fh-123")</f>
        <v>Fh-123</v>
      </c>
    </row>
    <row r="77" spans="1:13" ht="12.5" x14ac:dyDescent="0.25">
      <c r="A77" t="str">
        <f ca="1">IFERROR(__xludf.DUMMYFUNCTION("""COMPUTED_VALUE"""),"Amelia")</f>
        <v>Amelia</v>
      </c>
      <c r="B77" t="str">
        <f ca="1">IFERROR(__xludf.DUMMYFUNCTION("""COMPUTED_VALUE"""),"Isenta")</f>
        <v>Isenta</v>
      </c>
      <c r="C77" t="str">
        <f ca="1">IFERROR(__xludf.DUMMYFUNCTION("""COMPUTED_VALUE"""),"Isenta@gmailx.com")</f>
        <v>Isenta@gmailx.com</v>
      </c>
      <c r="D77" t="str">
        <f ca="1">IFERROR(__xludf.DUMMYFUNCTION("""COMPUTED_VALUE"""),"Sorong")</f>
        <v>Sorong</v>
      </c>
      <c r="E77" s="12">
        <f ca="1">IFERROR(__xludf.DUMMYFUNCTION("""COMPUTED_VALUE"""),43395)</f>
        <v>43395</v>
      </c>
      <c r="F77" t="str">
        <f ca="1">IFERROR(__xludf.DUMMYFUNCTION("""COMPUTED_VALUE"""),"KP0625AF")</f>
        <v>KP0625AF</v>
      </c>
      <c r="G77" s="11">
        <f ca="1">IFERROR(__xludf.DUMMYFUNCTION("""COMPUTED_VALUE"""),72000000)</f>
        <v>72000000</v>
      </c>
      <c r="H77">
        <f ca="1">IFERROR(__xludf.DUMMYFUNCTION("""COMPUTED_VALUE"""),35864)</f>
        <v>35864</v>
      </c>
      <c r="I77">
        <f ca="1">IFERROR(__xludf.DUMMYFUNCTION("""COMPUTED_VALUE"""),6)</f>
        <v>6</v>
      </c>
      <c r="J77" t="str">
        <f ca="1">IFERROR(__xludf.DUMMYFUNCTION("""COMPUTED_VALUE"""),"N/A")</f>
        <v>N/A</v>
      </c>
      <c r="K77" t="str">
        <f ca="1">IFERROR(__xludf.DUMMYFUNCTION("""COMPUTED_VALUE"""),"JENT")</f>
        <v>JENT</v>
      </c>
      <c r="L77" t="str">
        <f ca="1">IFERROR(__xludf.DUMMYFUNCTION("""COMPUTED_VALUE"""),"Y")</f>
        <v>Y</v>
      </c>
      <c r="M77" t="str">
        <f ca="1">IFERROR(__xludf.DUMMYFUNCTION("""COMPUTED_VALUE"""),"Df-999")</f>
        <v>Df-999</v>
      </c>
    </row>
    <row r="78" spans="1:13" ht="12.5" x14ac:dyDescent="0.25">
      <c r="A78" t="str">
        <f ca="1">IFERROR(__xludf.DUMMYFUNCTION("""COMPUTED_VALUE"""),"Jusup")</f>
        <v>Jusup</v>
      </c>
      <c r="B78" t="str">
        <f ca="1">IFERROR(__xludf.DUMMYFUNCTION("""COMPUTED_VALUE"""),"Soetikno")</f>
        <v>Soetikno</v>
      </c>
      <c r="C78" t="str">
        <f ca="1">IFERROR(__xludf.DUMMYFUNCTION("""COMPUTED_VALUE"""),"Soetikno@ymailx.com")</f>
        <v>Soetikno@ymailx.com</v>
      </c>
      <c r="D78" t="str">
        <f ca="1">IFERROR(__xludf.DUMMYFUNCTION("""COMPUTED_VALUE"""),"Bima")</f>
        <v>Bima</v>
      </c>
      <c r="E78" s="12">
        <f ca="1">IFERROR(__xludf.DUMMYFUNCTION("""COMPUTED_VALUE"""),43394)</f>
        <v>43394</v>
      </c>
      <c r="F78" t="str">
        <f ca="1">IFERROR(__xludf.DUMMYFUNCTION("""COMPUTED_VALUE"""),"KP0050AG")</f>
        <v>KP0050AG</v>
      </c>
      <c r="G78" s="11">
        <f ca="1">IFERROR(__xludf.DUMMYFUNCTION("""COMPUTED_VALUE"""),48750000)</f>
        <v>48750000</v>
      </c>
      <c r="H78">
        <f ca="1">IFERROR(__xludf.DUMMYFUNCTION("""COMPUTED_VALUE"""),36255)</f>
        <v>36255</v>
      </c>
      <c r="I78">
        <f ca="1">IFERROR(__xludf.DUMMYFUNCTION("""COMPUTED_VALUE"""),3)</f>
        <v>3</v>
      </c>
      <c r="J78" t="str">
        <f ca="1">IFERROR(__xludf.DUMMYFUNCTION("""COMPUTED_VALUE"""),"N/A")</f>
        <v>N/A</v>
      </c>
      <c r="K78" t="str">
        <f ca="1">IFERROR(__xludf.DUMMYFUNCTION("""COMPUTED_VALUE"""),"JENT")</f>
        <v>JENT</v>
      </c>
      <c r="L78" t="str">
        <f ca="1">IFERROR(__xludf.DUMMYFUNCTION("""COMPUTED_VALUE"""),"Y")</f>
        <v>Y</v>
      </c>
      <c r="M78" t="str">
        <f ca="1">IFERROR(__xludf.DUMMYFUNCTION("""COMPUTED_VALUE"""),"Xe-183")</f>
        <v>Xe-183</v>
      </c>
    </row>
    <row r="79" spans="1:13" ht="12.5" x14ac:dyDescent="0.25">
      <c r="A79" t="str">
        <f ca="1">IFERROR(__xludf.DUMMYFUNCTION("""COMPUTED_VALUE"""),"Hendriko")</f>
        <v>Hendriko</v>
      </c>
      <c r="B79" t="str">
        <f ca="1">IFERROR(__xludf.DUMMYFUNCTION("""COMPUTED_VALUE"""),"Is")</f>
        <v>Is</v>
      </c>
      <c r="C79" t="str">
        <f ca="1">IFERROR(__xludf.DUMMYFUNCTION("""COMPUTED_VALUE"""),"Is@gmailx.com")</f>
        <v>Is@gmailx.com</v>
      </c>
      <c r="D79" t="str">
        <f ca="1">IFERROR(__xludf.DUMMYFUNCTION("""COMPUTED_VALUE"""),"Bau-Bau")</f>
        <v>Bau-Bau</v>
      </c>
      <c r="E79" s="12">
        <f ca="1">IFERROR(__xludf.DUMMYFUNCTION("""COMPUTED_VALUE"""),43393)</f>
        <v>43393</v>
      </c>
      <c r="F79" t="str">
        <f ca="1">IFERROR(__xludf.DUMMYFUNCTION("""COMPUTED_VALUE"""),"KP0425CB")</f>
        <v>KP0425CB</v>
      </c>
      <c r="G79" s="11">
        <f ca="1">IFERROR(__xludf.DUMMYFUNCTION("""COMPUTED_VALUE"""),109000000)</f>
        <v>109000000</v>
      </c>
      <c r="H79">
        <f ca="1">IFERROR(__xludf.DUMMYFUNCTION("""COMPUTED_VALUE"""),35835)</f>
        <v>35835</v>
      </c>
      <c r="I79">
        <f ca="1">IFERROR(__xludf.DUMMYFUNCTION("""COMPUTED_VALUE"""),4)</f>
        <v>4</v>
      </c>
      <c r="J79" t="str">
        <f ca="1">IFERROR(__xludf.DUMMYFUNCTION("""COMPUTED_VALUE"""),"N/A")</f>
        <v>N/A</v>
      </c>
      <c r="K79" t="str">
        <f ca="1">IFERROR(__xludf.DUMMYFUNCTION("""COMPUTED_VALUE"""),"JENT")</f>
        <v>JENT</v>
      </c>
      <c r="L79" t="str">
        <f ca="1">IFERROR(__xludf.DUMMYFUNCTION("""COMPUTED_VALUE"""),"Y")</f>
        <v>Y</v>
      </c>
      <c r="M79" t="str">
        <f ca="1">IFERROR(__xludf.DUMMYFUNCTION("""COMPUTED_VALUE"""),"Fj-250")</f>
        <v>Fj-250</v>
      </c>
    </row>
    <row r="80" spans="1:13" ht="12.5" x14ac:dyDescent="0.25">
      <c r="A80" t="str">
        <f ca="1">IFERROR(__xludf.DUMMYFUNCTION("""COMPUTED_VALUE"""),"Sri")</f>
        <v>Sri</v>
      </c>
      <c r="B80" t="str">
        <f ca="1">IFERROR(__xludf.DUMMYFUNCTION("""COMPUTED_VALUE"""),"Rais")</f>
        <v>Rais</v>
      </c>
      <c r="C80" t="str">
        <f ca="1">IFERROR(__xludf.DUMMYFUNCTION("""COMPUTED_VALUE"""),"Sri@rocketmailx.com")</f>
        <v>Sri@rocketmailx.com</v>
      </c>
      <c r="D80" t="str">
        <f ca="1">IFERROR(__xludf.DUMMYFUNCTION("""COMPUTED_VALUE"""),"Kediri")</f>
        <v>Kediri</v>
      </c>
      <c r="E80" s="12">
        <f ca="1">IFERROR(__xludf.DUMMYFUNCTION("""COMPUTED_VALUE"""),43390)</f>
        <v>43390</v>
      </c>
      <c r="F80" t="str">
        <f ca="1">IFERROR(__xludf.DUMMYFUNCTION("""COMPUTED_VALUE"""),"KP0750AJ")</f>
        <v>KP0750AJ</v>
      </c>
      <c r="G80" s="11">
        <f ca="1">IFERROR(__xludf.DUMMYFUNCTION("""COMPUTED_VALUE"""),72000000)</f>
        <v>72000000</v>
      </c>
      <c r="H80">
        <f ca="1">IFERROR(__xludf.DUMMYFUNCTION("""COMPUTED_VALUE"""),36435)</f>
        <v>36435</v>
      </c>
      <c r="I80">
        <f ca="1">IFERROR(__xludf.DUMMYFUNCTION("""COMPUTED_VALUE"""),4)</f>
        <v>4</v>
      </c>
      <c r="J80">
        <f ca="1">IFERROR(__xludf.DUMMYFUNCTION("""COMPUTED_VALUE"""),5)</f>
        <v>5</v>
      </c>
      <c r="K80" t="str">
        <f ca="1">IFERROR(__xludf.DUMMYFUNCTION("""COMPUTED_VALUE"""),"Cepat Kirim")</f>
        <v>Cepat Kirim</v>
      </c>
      <c r="L80" t="str">
        <f ca="1">IFERROR(__xludf.DUMMYFUNCTION("""COMPUTED_VALUE"""),"N")</f>
        <v>N</v>
      </c>
      <c r="M80" t="str">
        <f ca="1">IFERROR(__xludf.DUMMYFUNCTION("""COMPUTED_VALUE"""),"Pb-123")</f>
        <v>Pb-123</v>
      </c>
    </row>
    <row r="81" spans="1:13" ht="12.5" x14ac:dyDescent="0.25">
      <c r="A81" t="str">
        <f ca="1">IFERROR(__xludf.DUMMYFUNCTION("""COMPUTED_VALUE"""),"Jahja")</f>
        <v>Jahja</v>
      </c>
      <c r="B81" t="str">
        <f ca="1">IFERROR(__xludf.DUMMYFUNCTION("""COMPUTED_VALUE"""),"Tjung")</f>
        <v>Tjung</v>
      </c>
      <c r="C81" t="str">
        <f ca="1">IFERROR(__xludf.DUMMYFUNCTION("""COMPUTED_VALUE"""),"Jahja@gmailx.com")</f>
        <v>Jahja@gmailx.com</v>
      </c>
      <c r="D81" t="str">
        <f ca="1">IFERROR(__xludf.DUMMYFUNCTION("""COMPUTED_VALUE"""),"Jakarta Selatan")</f>
        <v>Jakarta Selatan</v>
      </c>
      <c r="E81" s="12">
        <f ca="1">IFERROR(__xludf.DUMMYFUNCTION("""COMPUTED_VALUE"""),43389)</f>
        <v>43389</v>
      </c>
      <c r="F81" t="str">
        <f ca="1">IFERROR(__xludf.DUMMYFUNCTION("""COMPUTED_VALUE"""),"KP0350CF")</f>
        <v>KP0350CF</v>
      </c>
      <c r="G81" s="11">
        <f ca="1">IFERROR(__xludf.DUMMYFUNCTION("""COMPUTED_VALUE"""),140000000)</f>
        <v>140000000</v>
      </c>
      <c r="H81">
        <f ca="1">IFERROR(__xludf.DUMMYFUNCTION("""COMPUTED_VALUE"""),35147)</f>
        <v>35147</v>
      </c>
      <c r="I81">
        <f ca="1">IFERROR(__xludf.DUMMYFUNCTION("""COMPUTED_VALUE"""),4)</f>
        <v>4</v>
      </c>
      <c r="J81" t="str">
        <f ca="1">IFERROR(__xludf.DUMMYFUNCTION("""COMPUTED_VALUE"""),"N/A")</f>
        <v>N/A</v>
      </c>
      <c r="K81" t="str">
        <f ca="1">IFERROR(__xludf.DUMMYFUNCTION("""COMPUTED_VALUE"""),"Wakanda Express")</f>
        <v>Wakanda Express</v>
      </c>
      <c r="L81" t="str">
        <f ca="1">IFERROR(__xludf.DUMMYFUNCTION("""COMPUTED_VALUE"""),"Y")</f>
        <v>Y</v>
      </c>
      <c r="M81" t="str">
        <f ca="1">IFERROR(__xludf.DUMMYFUNCTION("""COMPUTED_VALUE"""),"Sd-333")</f>
        <v>Sd-333</v>
      </c>
    </row>
    <row r="82" spans="1:13" ht="12.5" x14ac:dyDescent="0.25">
      <c r="A82" t="str">
        <f ca="1">IFERROR(__xludf.DUMMYFUNCTION("""COMPUTED_VALUE"""),"Raymond")</f>
        <v>Raymond</v>
      </c>
      <c r="B82" t="str">
        <f ca="1">IFERROR(__xludf.DUMMYFUNCTION("""COMPUTED_VALUE"""),"Robert")</f>
        <v>Robert</v>
      </c>
      <c r="C82" t="str">
        <f ca="1">IFERROR(__xludf.DUMMYFUNCTION("""COMPUTED_VALUE"""),"Raymond@ymailx.com")</f>
        <v>Raymond@ymailx.com</v>
      </c>
      <c r="D82" t="str">
        <f ca="1">IFERROR(__xludf.DUMMYFUNCTION("""COMPUTED_VALUE"""),"Mataram")</f>
        <v>Mataram</v>
      </c>
      <c r="E82" s="12">
        <f ca="1">IFERROR(__xludf.DUMMYFUNCTION("""COMPUTED_VALUE"""),43389)</f>
        <v>43389</v>
      </c>
      <c r="F82" t="str">
        <f ca="1">IFERROR(__xludf.DUMMYFUNCTION("""COMPUTED_VALUE"""),"KP0925SG")</f>
        <v>KP0925SG</v>
      </c>
      <c r="G82" s="11">
        <f ca="1">IFERROR(__xludf.DUMMYFUNCTION("""COMPUTED_VALUE"""),120000000)</f>
        <v>120000000</v>
      </c>
      <c r="H82">
        <f ca="1">IFERROR(__xludf.DUMMYFUNCTION("""COMPUTED_VALUE"""),35819)</f>
        <v>35819</v>
      </c>
      <c r="I82">
        <f ca="1">IFERROR(__xludf.DUMMYFUNCTION("""COMPUTED_VALUE"""),8)</f>
        <v>8</v>
      </c>
      <c r="J82">
        <f ca="1">IFERROR(__xludf.DUMMYFUNCTION("""COMPUTED_VALUE"""),4)</f>
        <v>4</v>
      </c>
      <c r="K82" t="str">
        <f ca="1">IFERROR(__xludf.DUMMYFUNCTION("""COMPUTED_VALUE"""),"JENT")</f>
        <v>JENT</v>
      </c>
      <c r="L82" t="str">
        <f ca="1">IFERROR(__xludf.DUMMYFUNCTION("""COMPUTED_VALUE"""),"N")</f>
        <v>N</v>
      </c>
      <c r="M82" t="str">
        <f ca="1">IFERROR(__xludf.DUMMYFUNCTION("""COMPUTED_VALUE"""),"Na-183")</f>
        <v>Na-183</v>
      </c>
    </row>
    <row r="83" spans="1:13" ht="12.5" x14ac:dyDescent="0.25">
      <c r="A83" t="str">
        <f ca="1">IFERROR(__xludf.DUMMYFUNCTION("""COMPUTED_VALUE"""),"Betty")</f>
        <v>Betty</v>
      </c>
      <c r="B83" t="str">
        <f ca="1">IFERROR(__xludf.DUMMYFUNCTION("""COMPUTED_VALUE"""),"Eti,")</f>
        <v>Eti,</v>
      </c>
      <c r="C83" t="str">
        <f ca="1">IFERROR(__xludf.DUMMYFUNCTION("""COMPUTED_VALUE"""),"ETI@outlookx.com")</f>
        <v>ETI@outlookx.com</v>
      </c>
      <c r="D83" t="str">
        <f ca="1">IFERROR(__xludf.DUMMYFUNCTION("""COMPUTED_VALUE"""),"Serang")</f>
        <v>Serang</v>
      </c>
      <c r="E83" s="12">
        <f ca="1">IFERROR(__xludf.DUMMYFUNCTION("""COMPUTED_VALUE"""),43388)</f>
        <v>43388</v>
      </c>
      <c r="F83" t="str">
        <f ca="1">IFERROR(__xludf.DUMMYFUNCTION("""COMPUTED_VALUE"""),"KP0050AG")</f>
        <v>KP0050AG</v>
      </c>
      <c r="G83" s="11">
        <f ca="1">IFERROR(__xludf.DUMMYFUNCTION("""COMPUTED_VALUE"""),113750000)</f>
        <v>113750000</v>
      </c>
      <c r="H83">
        <f ca="1">IFERROR(__xludf.DUMMYFUNCTION("""COMPUTED_VALUE"""),35721)</f>
        <v>35721</v>
      </c>
      <c r="I83">
        <f ca="1">IFERROR(__xludf.DUMMYFUNCTION("""COMPUTED_VALUE"""),7)</f>
        <v>7</v>
      </c>
      <c r="J83">
        <f ca="1">IFERROR(__xludf.DUMMYFUNCTION("""COMPUTED_VALUE"""),5)</f>
        <v>5</v>
      </c>
      <c r="K83" t="str">
        <f ca="1">IFERROR(__xludf.DUMMYFUNCTION("""COMPUTED_VALUE"""),"JENT")</f>
        <v>JENT</v>
      </c>
      <c r="L83" t="str">
        <f ca="1">IFERROR(__xludf.DUMMYFUNCTION("""COMPUTED_VALUE"""),"Y")</f>
        <v>Y</v>
      </c>
      <c r="M83" t="str">
        <f ca="1">IFERROR(__xludf.DUMMYFUNCTION("""COMPUTED_VALUE"""),"Kp-500")</f>
        <v>Kp-500</v>
      </c>
    </row>
    <row r="84" spans="1:13" ht="12.5" x14ac:dyDescent="0.25">
      <c r="A84" t="str">
        <f ca="1">IFERROR(__xludf.DUMMYFUNCTION("""COMPUTED_VALUE"""),"Angie")</f>
        <v>Angie</v>
      </c>
      <c r="B84" t="str">
        <f ca="1">IFERROR(__xludf.DUMMYFUNCTION("""COMPUTED_VALUE"""),"Yanto")</f>
        <v>Yanto</v>
      </c>
      <c r="C84" t="str">
        <f ca="1">IFERROR(__xludf.DUMMYFUNCTION("""COMPUTED_VALUE"""),"Yanto@ymailx.com")</f>
        <v>Yanto@ymailx.com</v>
      </c>
      <c r="D84" t="str">
        <f ca="1">IFERROR(__xludf.DUMMYFUNCTION("""COMPUTED_VALUE"""),"Tual")</f>
        <v>Tual</v>
      </c>
      <c r="E84" s="12">
        <f ca="1">IFERROR(__xludf.DUMMYFUNCTION("""COMPUTED_VALUE"""),43388)</f>
        <v>43388</v>
      </c>
      <c r="F84" t="str">
        <f ca="1">IFERROR(__xludf.DUMMYFUNCTION("""COMPUTED_VALUE"""),"KP0625AF")</f>
        <v>KP0625AF</v>
      </c>
      <c r="G84" s="11">
        <f ca="1">IFERROR(__xludf.DUMMYFUNCTION("""COMPUTED_VALUE"""),36000000)</f>
        <v>36000000</v>
      </c>
      <c r="H84">
        <f ca="1">IFERROR(__xludf.DUMMYFUNCTION("""COMPUTED_VALUE"""),35029)</f>
        <v>35029</v>
      </c>
      <c r="I84">
        <f ca="1">IFERROR(__xludf.DUMMYFUNCTION("""COMPUTED_VALUE"""),3)</f>
        <v>3</v>
      </c>
      <c r="J84" t="str">
        <f ca="1">IFERROR(__xludf.DUMMYFUNCTION("""COMPUTED_VALUE"""),"N/A")</f>
        <v>N/A</v>
      </c>
      <c r="K84" t="str">
        <f ca="1">IFERROR(__xludf.DUMMYFUNCTION("""COMPUTED_VALUE"""),"JENT")</f>
        <v>JENT</v>
      </c>
      <c r="L84" t="str">
        <f ca="1">IFERROR(__xludf.DUMMYFUNCTION("""COMPUTED_VALUE"""),"Y")</f>
        <v>Y</v>
      </c>
      <c r="M84" t="str">
        <f ca="1">IFERROR(__xludf.DUMMYFUNCTION("""COMPUTED_VALUE"""),"Db-171")</f>
        <v>Db-171</v>
      </c>
    </row>
    <row r="85" spans="1:13" ht="12.5" x14ac:dyDescent="0.25">
      <c r="A85" t="str">
        <f ca="1">IFERROR(__xludf.DUMMYFUNCTION("""COMPUTED_VALUE"""),"Budi")</f>
        <v>Budi</v>
      </c>
      <c r="B85" t="str">
        <f ca="1">IFERROR(__xludf.DUMMYFUNCTION("""COMPUTED_VALUE"""),"Atman")</f>
        <v>Atman</v>
      </c>
      <c r="C85" t="str">
        <f ca="1">IFERROR(__xludf.DUMMYFUNCTION("""COMPUTED_VALUE"""),"Budi@ymailx.com")</f>
        <v>Budi@ymailx.com</v>
      </c>
      <c r="D85" t="str">
        <f ca="1">IFERROR(__xludf.DUMMYFUNCTION("""COMPUTED_VALUE"""),"Medan")</f>
        <v>Medan</v>
      </c>
      <c r="E85" s="12">
        <f ca="1">IFERROR(__xludf.DUMMYFUNCTION("""COMPUTED_VALUE"""),43388)</f>
        <v>43388</v>
      </c>
      <c r="F85" t="str">
        <f ca="1">IFERROR(__xludf.DUMMYFUNCTION("""COMPUTED_VALUE"""),"KP0850FB")</f>
        <v>KP0850FB</v>
      </c>
      <c r="G85" s="11">
        <f ca="1">IFERROR(__xludf.DUMMYFUNCTION("""COMPUTED_VALUE"""),126000000)</f>
        <v>126000000</v>
      </c>
      <c r="H85">
        <f ca="1">IFERROR(__xludf.DUMMYFUNCTION("""COMPUTED_VALUE"""),36292)</f>
        <v>36292</v>
      </c>
      <c r="I85">
        <f ca="1">IFERROR(__xludf.DUMMYFUNCTION("""COMPUTED_VALUE"""),6)</f>
        <v>6</v>
      </c>
      <c r="J85">
        <f ca="1">IFERROR(__xludf.DUMMYFUNCTION("""COMPUTED_VALUE"""),4)</f>
        <v>4</v>
      </c>
      <c r="K85" t="str">
        <f ca="1">IFERROR(__xludf.DUMMYFUNCTION("""COMPUTED_VALUE"""),"Wakanda Express")</f>
        <v>Wakanda Express</v>
      </c>
      <c r="L85" t="str">
        <f ca="1">IFERROR(__xludf.DUMMYFUNCTION("""COMPUTED_VALUE"""),"Y")</f>
        <v>Y</v>
      </c>
      <c r="M85" t="str">
        <f ca="1">IFERROR(__xludf.DUMMYFUNCTION("""COMPUTED_VALUE"""),"Zz-662")</f>
        <v>Zz-662</v>
      </c>
    </row>
    <row r="86" spans="1:13" ht="12.5" x14ac:dyDescent="0.25">
      <c r="A86" t="str">
        <f ca="1">IFERROR(__xludf.DUMMYFUNCTION("""COMPUTED_VALUE"""),"Roni")</f>
        <v>Roni</v>
      </c>
      <c r="B86" t="str">
        <f ca="1">IFERROR(__xludf.DUMMYFUNCTION("""COMPUTED_VALUE"""),"Zaini")</f>
        <v>Zaini</v>
      </c>
      <c r="C86" t="str">
        <f ca="1">IFERROR(__xludf.DUMMYFUNCTION("""COMPUTED_VALUE"""),"Roni@ymailx.com")</f>
        <v>Roni@ymailx.com</v>
      </c>
      <c r="D86" t="str">
        <f ca="1">IFERROR(__xludf.DUMMYFUNCTION("""COMPUTED_VALUE"""),"Tanjungpinang")</f>
        <v>Tanjungpinang</v>
      </c>
      <c r="E86" s="12">
        <f ca="1">IFERROR(__xludf.DUMMYFUNCTION("""COMPUTED_VALUE"""),43387)</f>
        <v>43387</v>
      </c>
      <c r="F86" t="str">
        <f ca="1">IFERROR(__xludf.DUMMYFUNCTION("""COMPUTED_VALUE"""),"KP0150BH")</f>
        <v>KP0150BH</v>
      </c>
      <c r="G86" s="11">
        <f ca="1">IFERROR(__xludf.DUMMYFUNCTION("""COMPUTED_VALUE"""),162000000)</f>
        <v>162000000</v>
      </c>
      <c r="H86">
        <f ca="1">IFERROR(__xludf.DUMMYFUNCTION("""COMPUTED_VALUE"""),35113)</f>
        <v>35113</v>
      </c>
      <c r="I86">
        <f ca="1">IFERROR(__xludf.DUMMYFUNCTION("""COMPUTED_VALUE"""),6)</f>
        <v>6</v>
      </c>
      <c r="J86" t="str">
        <f ca="1">IFERROR(__xludf.DUMMYFUNCTION("""COMPUTED_VALUE"""),"N/A")</f>
        <v>N/A</v>
      </c>
      <c r="K86" t="str">
        <f ca="1">IFERROR(__xludf.DUMMYFUNCTION("""COMPUTED_VALUE"""),"JENT")</f>
        <v>JENT</v>
      </c>
      <c r="L86" t="str">
        <f ca="1">IFERROR(__xludf.DUMMYFUNCTION("""COMPUTED_VALUE"""),"N")</f>
        <v>N</v>
      </c>
      <c r="M86" t="str">
        <f ca="1">IFERROR(__xludf.DUMMYFUNCTION("""COMPUTED_VALUE"""),"St-809")</f>
        <v>St-809</v>
      </c>
    </row>
    <row r="87" spans="1:13" ht="12.5" x14ac:dyDescent="0.25">
      <c r="A87" t="str">
        <f ca="1">IFERROR(__xludf.DUMMYFUNCTION("""COMPUTED_VALUE"""),"Agus")</f>
        <v>Agus</v>
      </c>
      <c r="B87" t="str">
        <f ca="1">IFERROR(__xludf.DUMMYFUNCTION("""COMPUTED_VALUE"""),"Suryadi")</f>
        <v>Suryadi</v>
      </c>
      <c r="C87" t="str">
        <f ca="1">IFERROR(__xludf.DUMMYFUNCTION("""COMPUTED_VALUE"""),"Suryadi@livex.com")</f>
        <v>Suryadi@livex.com</v>
      </c>
      <c r="D87" t="str">
        <f ca="1">IFERROR(__xludf.DUMMYFUNCTION("""COMPUTED_VALUE"""),"Ternate")</f>
        <v>Ternate</v>
      </c>
      <c r="E87" s="12">
        <f ca="1">IFERROR(__xludf.DUMMYFUNCTION("""COMPUTED_VALUE"""),43387)</f>
        <v>43387</v>
      </c>
      <c r="F87" t="str">
        <f ca="1">IFERROR(__xludf.DUMMYFUNCTION("""COMPUTED_VALUE"""),"KP0625AF")</f>
        <v>KP0625AF</v>
      </c>
      <c r="G87" s="11">
        <f ca="1">IFERROR(__xludf.DUMMYFUNCTION("""COMPUTED_VALUE"""),96000000)</f>
        <v>96000000</v>
      </c>
      <c r="H87">
        <f ca="1">IFERROR(__xludf.DUMMYFUNCTION("""COMPUTED_VALUE"""),35155)</f>
        <v>35155</v>
      </c>
      <c r="I87">
        <f ca="1">IFERROR(__xludf.DUMMYFUNCTION("""COMPUTED_VALUE"""),8)</f>
        <v>8</v>
      </c>
      <c r="J87" t="str">
        <f ca="1">IFERROR(__xludf.DUMMYFUNCTION("""COMPUTED_VALUE"""),"N/A")</f>
        <v>N/A</v>
      </c>
      <c r="K87" t="str">
        <f ca="1">IFERROR(__xludf.DUMMYFUNCTION("""COMPUTED_VALUE"""),"JENT")</f>
        <v>JENT</v>
      </c>
      <c r="L87" t="str">
        <f ca="1">IFERROR(__xludf.DUMMYFUNCTION("""COMPUTED_VALUE"""),"Y")</f>
        <v>Y</v>
      </c>
      <c r="M87" t="str">
        <f ca="1">IFERROR(__xludf.DUMMYFUNCTION("""COMPUTED_VALUE"""),"Fs-160")</f>
        <v>Fs-160</v>
      </c>
    </row>
    <row r="88" spans="1:13" ht="12.5" x14ac:dyDescent="0.25">
      <c r="A88" t="str">
        <f ca="1">IFERROR(__xludf.DUMMYFUNCTION("""COMPUTED_VALUE"""),"Clarence")</f>
        <v>Clarence</v>
      </c>
      <c r="B88" t="str">
        <f ca="1">IFERROR(__xludf.DUMMYFUNCTION("""COMPUTED_VALUE"""),"Paasch")</f>
        <v>Paasch</v>
      </c>
      <c r="C88" t="str">
        <f ca="1">IFERROR(__xludf.DUMMYFUNCTION("""COMPUTED_VALUE"""),"Paasch@outlookx.com")</f>
        <v>Paasch@outlookx.com</v>
      </c>
      <c r="D88" t="str">
        <f ca="1">IFERROR(__xludf.DUMMYFUNCTION("""COMPUTED_VALUE"""),"Bau-Bau")</f>
        <v>Bau-Bau</v>
      </c>
      <c r="E88" s="12">
        <f ca="1">IFERROR(__xludf.DUMMYFUNCTION("""COMPUTED_VALUE"""),43387)</f>
        <v>43387</v>
      </c>
      <c r="F88" t="str">
        <f ca="1">IFERROR(__xludf.DUMMYFUNCTION("""COMPUTED_VALUE"""),"KP0850FB")</f>
        <v>KP0850FB</v>
      </c>
      <c r="G88" s="11">
        <f ca="1">IFERROR(__xludf.DUMMYFUNCTION("""COMPUTED_VALUE"""),42000000)</f>
        <v>42000000</v>
      </c>
      <c r="H88">
        <f ca="1">IFERROR(__xludf.DUMMYFUNCTION("""COMPUTED_VALUE"""),35440)</f>
        <v>35440</v>
      </c>
      <c r="I88">
        <f ca="1">IFERROR(__xludf.DUMMYFUNCTION("""COMPUTED_VALUE"""),2)</f>
        <v>2</v>
      </c>
      <c r="J88">
        <f ca="1">IFERROR(__xludf.DUMMYFUNCTION("""COMPUTED_VALUE"""),4)</f>
        <v>4</v>
      </c>
      <c r="K88" t="str">
        <f ca="1">IFERROR(__xludf.DUMMYFUNCTION("""COMPUTED_VALUE"""),"JENT")</f>
        <v>JENT</v>
      </c>
      <c r="L88" t="str">
        <f ca="1">IFERROR(__xludf.DUMMYFUNCTION("""COMPUTED_VALUE"""),"Y")</f>
        <v>Y</v>
      </c>
      <c r="M88" t="str">
        <f ca="1">IFERROR(__xludf.DUMMYFUNCTION("""COMPUTED_VALUE"""),"Nn-250")</f>
        <v>Nn-250</v>
      </c>
    </row>
    <row r="89" spans="1:13" ht="12.5" x14ac:dyDescent="0.25">
      <c r="A89" t="str">
        <f ca="1">IFERROR(__xludf.DUMMYFUNCTION("""COMPUTED_VALUE"""),"Isenta")</f>
        <v>Isenta</v>
      </c>
      <c r="B89" t="str">
        <f ca="1">IFERROR(__xludf.DUMMYFUNCTION("""COMPUTED_VALUE"""),"Faridz")</f>
        <v>Faridz</v>
      </c>
      <c r="C89" t="str">
        <f ca="1">IFERROR(__xludf.DUMMYFUNCTION("""COMPUTED_VALUE"""),"Isenta@ymailx.com")</f>
        <v>Isenta@ymailx.com</v>
      </c>
      <c r="D89" t="str">
        <f ca="1">IFERROR(__xludf.DUMMYFUNCTION("""COMPUTED_VALUE"""),"Tangerang Selatan")</f>
        <v>Tangerang Selatan</v>
      </c>
      <c r="E89" s="12">
        <f ca="1">IFERROR(__xludf.DUMMYFUNCTION("""COMPUTED_VALUE"""),43386)</f>
        <v>43386</v>
      </c>
      <c r="F89" t="str">
        <f ca="1">IFERROR(__xludf.DUMMYFUNCTION("""COMPUTED_VALUE"""),"KP0625AF")</f>
        <v>KP0625AF</v>
      </c>
      <c r="G89" s="11">
        <f ca="1">IFERROR(__xludf.DUMMYFUNCTION("""COMPUTED_VALUE"""),36000000)</f>
        <v>36000000</v>
      </c>
      <c r="H89">
        <f ca="1">IFERROR(__xludf.DUMMYFUNCTION("""COMPUTED_VALUE"""),36626)</f>
        <v>36626</v>
      </c>
      <c r="I89">
        <f ca="1">IFERROR(__xludf.DUMMYFUNCTION("""COMPUTED_VALUE"""),3)</f>
        <v>3</v>
      </c>
      <c r="J89" t="str">
        <f ca="1">IFERROR(__xludf.DUMMYFUNCTION("""COMPUTED_VALUE"""),"N/A")</f>
        <v>N/A</v>
      </c>
      <c r="K89" t="str">
        <f ca="1">IFERROR(__xludf.DUMMYFUNCTION("""COMPUTED_VALUE"""),"JENT")</f>
        <v>JENT</v>
      </c>
      <c r="L89" t="str">
        <f ca="1">IFERROR(__xludf.DUMMYFUNCTION("""COMPUTED_VALUE"""),"Y")</f>
        <v>Y</v>
      </c>
      <c r="M89" t="str">
        <f ca="1">IFERROR(__xludf.DUMMYFUNCTION("""COMPUTED_VALUE"""),"Wr-500")</f>
        <v>Wr-500</v>
      </c>
    </row>
    <row r="90" spans="1:13" ht="12.5" x14ac:dyDescent="0.25">
      <c r="A90" t="str">
        <f ca="1">IFERROR(__xludf.DUMMYFUNCTION("""COMPUTED_VALUE"""),"Nigel")</f>
        <v>Nigel</v>
      </c>
      <c r="B90" t="str">
        <f ca="1">IFERROR(__xludf.DUMMYFUNCTION("""COMPUTED_VALUE"""),"Widjaya")</f>
        <v>Widjaya</v>
      </c>
      <c r="C90" t="str">
        <f ca="1">IFERROR(__xludf.DUMMYFUNCTION("""COMPUTED_VALUE"""),"Nigel@rocketmailx.com")</f>
        <v>Nigel@rocketmailx.com</v>
      </c>
      <c r="D90" t="str">
        <f ca="1">IFERROR(__xludf.DUMMYFUNCTION("""COMPUTED_VALUE"""),"Tangerang Selatan")</f>
        <v>Tangerang Selatan</v>
      </c>
      <c r="E90" s="12">
        <f ca="1">IFERROR(__xludf.DUMMYFUNCTION("""COMPUTED_VALUE"""),43353)</f>
        <v>43353</v>
      </c>
      <c r="F90" t="str">
        <f ca="1">IFERROR(__xludf.DUMMYFUNCTION("""COMPUTED_VALUE"""),"KP0750AJ")</f>
        <v>KP0750AJ</v>
      </c>
      <c r="G90" s="11">
        <f ca="1">IFERROR(__xludf.DUMMYFUNCTION("""COMPUTED_VALUE"""),180000000)</f>
        <v>180000000</v>
      </c>
      <c r="H90">
        <f ca="1">IFERROR(__xludf.DUMMYFUNCTION("""COMPUTED_VALUE"""),35160)</f>
        <v>35160</v>
      </c>
      <c r="I90">
        <f ca="1">IFERROR(__xludf.DUMMYFUNCTION("""COMPUTED_VALUE"""),10)</f>
        <v>10</v>
      </c>
      <c r="J90" t="str">
        <f ca="1">IFERROR(__xludf.DUMMYFUNCTION("""COMPUTED_VALUE"""),"N/A")</f>
        <v>N/A</v>
      </c>
      <c r="K90" t="str">
        <f ca="1">IFERROR(__xludf.DUMMYFUNCTION("""COMPUTED_VALUE"""),"Wakanda Express")</f>
        <v>Wakanda Express</v>
      </c>
      <c r="L90" t="str">
        <f ca="1">IFERROR(__xludf.DUMMYFUNCTION("""COMPUTED_VALUE"""),"N")</f>
        <v>N</v>
      </c>
      <c r="M90" t="str">
        <f ca="1">IFERROR(__xludf.DUMMYFUNCTION("""COMPUTED_VALUE"""),"Dh-500")</f>
        <v>Dh-500</v>
      </c>
    </row>
    <row r="91" spans="1:13" ht="12.5" x14ac:dyDescent="0.25">
      <c r="A91" t="str">
        <f ca="1">IFERROR(__xludf.DUMMYFUNCTION("""COMPUTED_VALUE"""),"Chan")</f>
        <v>Chan</v>
      </c>
      <c r="B91" t="str">
        <f ca="1">IFERROR(__xludf.DUMMYFUNCTION("""COMPUTED_VALUE"""),"Leman")</f>
        <v>Leman</v>
      </c>
      <c r="C91" t="str">
        <f ca="1">IFERROR(__xludf.DUMMYFUNCTION("""COMPUTED_VALUE"""),"Leman@gmailx.com")</f>
        <v>Leman@gmailx.com</v>
      </c>
      <c r="D91" t="str">
        <f ca="1">IFERROR(__xludf.DUMMYFUNCTION("""COMPUTED_VALUE"""),"Tasikmalaya")</f>
        <v>Tasikmalaya</v>
      </c>
      <c r="E91" s="12">
        <f ca="1">IFERROR(__xludf.DUMMYFUNCTION("""COMPUTED_VALUE"""),43322)</f>
        <v>43322</v>
      </c>
      <c r="F91" t="str">
        <f ca="1">IFERROR(__xludf.DUMMYFUNCTION("""COMPUTED_VALUE"""),"KP0750AJ")</f>
        <v>KP0750AJ</v>
      </c>
      <c r="G91" s="11">
        <f ca="1">IFERROR(__xludf.DUMMYFUNCTION("""COMPUTED_VALUE"""),126000000)</f>
        <v>126000000</v>
      </c>
      <c r="H91">
        <f ca="1">IFERROR(__xludf.DUMMYFUNCTION("""COMPUTED_VALUE"""),35015)</f>
        <v>35015</v>
      </c>
      <c r="I91">
        <f ca="1">IFERROR(__xludf.DUMMYFUNCTION("""COMPUTED_VALUE"""),7)</f>
        <v>7</v>
      </c>
      <c r="J91">
        <f ca="1">IFERROR(__xludf.DUMMYFUNCTION("""COMPUTED_VALUE"""),4)</f>
        <v>4</v>
      </c>
      <c r="K91" t="str">
        <f ca="1">IFERROR(__xludf.DUMMYFUNCTION("""COMPUTED_VALUE"""),"Swift Delivery")</f>
        <v>Swift Delivery</v>
      </c>
      <c r="L91" t="str">
        <f ca="1">IFERROR(__xludf.DUMMYFUNCTION("""COMPUTED_VALUE"""),"Y")</f>
        <v>Y</v>
      </c>
      <c r="M91" t="str">
        <f ca="1">IFERROR(__xludf.DUMMYFUNCTION("""COMPUTED_VALUE"""),"Xn-409")</f>
        <v>Xn-409</v>
      </c>
    </row>
    <row r="92" spans="1:13" ht="12.5" x14ac:dyDescent="0.25">
      <c r="A92" t="str">
        <f ca="1">IFERROR(__xludf.DUMMYFUNCTION("""COMPUTED_VALUE"""),"Hengky")</f>
        <v>Hengky</v>
      </c>
      <c r="B92" t="str">
        <f ca="1">IFERROR(__xludf.DUMMYFUNCTION("""COMPUTED_VALUE"""),"Alexander")</f>
        <v>Alexander</v>
      </c>
      <c r="C92" t="str">
        <f ca="1">IFERROR(__xludf.DUMMYFUNCTION("""COMPUTED_VALUE"""),"Hengky@gmailx.com")</f>
        <v>Hengky@gmailx.com</v>
      </c>
      <c r="D92" t="str">
        <f ca="1">IFERROR(__xludf.DUMMYFUNCTION("""COMPUTED_VALUE"""),"Pekalongan")</f>
        <v>Pekalongan</v>
      </c>
      <c r="E92" s="12">
        <f ca="1">IFERROR(__xludf.DUMMYFUNCTION("""COMPUTED_VALUE"""),43291)</f>
        <v>43291</v>
      </c>
      <c r="F92" t="str">
        <f ca="1">IFERROR(__xludf.DUMMYFUNCTION("""COMPUTED_VALUE"""),"KP0625AF")</f>
        <v>KP0625AF</v>
      </c>
      <c r="G92" s="11">
        <f ca="1">IFERROR(__xludf.DUMMYFUNCTION("""COMPUTED_VALUE"""),60000000)</f>
        <v>60000000</v>
      </c>
      <c r="H92">
        <f ca="1">IFERROR(__xludf.DUMMYFUNCTION("""COMPUTED_VALUE"""),36905)</f>
        <v>36905</v>
      </c>
      <c r="I92">
        <f ca="1">IFERROR(__xludf.DUMMYFUNCTION("""COMPUTED_VALUE"""),5)</f>
        <v>5</v>
      </c>
      <c r="J92">
        <f ca="1">IFERROR(__xludf.DUMMYFUNCTION("""COMPUTED_VALUE"""),4)</f>
        <v>4</v>
      </c>
      <c r="K92" t="str">
        <f ca="1">IFERROR(__xludf.DUMMYFUNCTION("""COMPUTED_VALUE"""),"Cepat Kirim")</f>
        <v>Cepat Kirim</v>
      </c>
      <c r="L92" t="str">
        <f ca="1">IFERROR(__xludf.DUMMYFUNCTION("""COMPUTED_VALUE"""),"Y")</f>
        <v>Y</v>
      </c>
      <c r="M92" t="str">
        <f ca="1">IFERROR(__xludf.DUMMYFUNCTION("""COMPUTED_VALUE"""),"Yt-410")</f>
        <v>Yt-410</v>
      </c>
    </row>
    <row r="93" spans="1:13" ht="12.5" x14ac:dyDescent="0.25">
      <c r="A93" t="str">
        <f ca="1">IFERROR(__xludf.DUMMYFUNCTION("""COMPUTED_VALUE"""),"Mochamad")</f>
        <v>Mochamad</v>
      </c>
      <c r="B93" t="str">
        <f ca="1">IFERROR(__xludf.DUMMYFUNCTION("""COMPUTED_VALUE"""),"Kahar")</f>
        <v>Kahar</v>
      </c>
      <c r="C93" t="str">
        <f ca="1">IFERROR(__xludf.DUMMYFUNCTION("""COMPUTED_VALUE"""),"Mochamad@mex.com")</f>
        <v>Mochamad@mex.com</v>
      </c>
      <c r="D93" t="str">
        <f ca="1">IFERROR(__xludf.DUMMYFUNCTION("""COMPUTED_VALUE"""),"Magelang")</f>
        <v>Magelang</v>
      </c>
      <c r="E93" s="12">
        <f ca="1">IFERROR(__xludf.DUMMYFUNCTION("""COMPUTED_VALUE"""),43261)</f>
        <v>43261</v>
      </c>
      <c r="F93" t="str">
        <f ca="1">IFERROR(__xludf.DUMMYFUNCTION("""COMPUTED_VALUE"""),"KP0750AJ")</f>
        <v>KP0750AJ</v>
      </c>
      <c r="G93" s="11">
        <f ca="1">IFERROR(__xludf.DUMMYFUNCTION("""COMPUTED_VALUE"""),126000000)</f>
        <v>126000000</v>
      </c>
      <c r="H93">
        <f ca="1">IFERROR(__xludf.DUMMYFUNCTION("""COMPUTED_VALUE"""),36673)</f>
        <v>36673</v>
      </c>
      <c r="I93">
        <f ca="1">IFERROR(__xludf.DUMMYFUNCTION("""COMPUTED_VALUE"""),7)</f>
        <v>7</v>
      </c>
      <c r="J93" t="str">
        <f ca="1">IFERROR(__xludf.DUMMYFUNCTION("""COMPUTED_VALUE"""),"N/A")</f>
        <v>N/A</v>
      </c>
      <c r="K93" t="str">
        <f ca="1">IFERROR(__xludf.DUMMYFUNCTION("""COMPUTED_VALUE"""),"Pru Logistic")</f>
        <v>Pru Logistic</v>
      </c>
      <c r="L93" t="str">
        <f ca="1">IFERROR(__xludf.DUMMYFUNCTION("""COMPUTED_VALUE"""),"Y")</f>
        <v>Y</v>
      </c>
      <c r="M93" t="str">
        <f ca="1">IFERROR(__xludf.DUMMYFUNCTION("""COMPUTED_VALUE"""),"Qr-410")</f>
        <v>Qr-410</v>
      </c>
    </row>
    <row r="94" spans="1:13" ht="12.5" x14ac:dyDescent="0.25">
      <c r="A94" t="str">
        <f ca="1">IFERROR(__xludf.DUMMYFUNCTION("""COMPUTED_VALUE"""),"Edward")</f>
        <v>Edward</v>
      </c>
      <c r="B94" t="str">
        <f ca="1">IFERROR(__xludf.DUMMYFUNCTION("""COMPUTED_VALUE"""),"Goenawan")</f>
        <v>Goenawan</v>
      </c>
      <c r="C94" t="str">
        <f ca="1">IFERROR(__xludf.DUMMYFUNCTION("""COMPUTED_VALUE"""),"Goenawan@ymailx.com")</f>
        <v>Goenawan@ymailx.com</v>
      </c>
      <c r="D94" t="str">
        <f ca="1">IFERROR(__xludf.DUMMYFUNCTION("""COMPUTED_VALUE"""),"Lhokseumawe")</f>
        <v>Lhokseumawe</v>
      </c>
      <c r="E94" s="12">
        <f ca="1">IFERROR(__xludf.DUMMYFUNCTION("""COMPUTED_VALUE"""),43230)</f>
        <v>43230</v>
      </c>
      <c r="F94" t="str">
        <f ca="1">IFERROR(__xludf.DUMMYFUNCTION("""COMPUTED_VALUE"""),"KP0625AF")</f>
        <v>KP0625AF</v>
      </c>
      <c r="G94" s="11">
        <f ca="1">IFERROR(__xludf.DUMMYFUNCTION("""COMPUTED_VALUE"""),108000000)</f>
        <v>108000000</v>
      </c>
      <c r="H94">
        <f ca="1">IFERROR(__xludf.DUMMYFUNCTION("""COMPUTED_VALUE"""),36494)</f>
        <v>36494</v>
      </c>
      <c r="I94">
        <f ca="1">IFERROR(__xludf.DUMMYFUNCTION("""COMPUTED_VALUE"""),9)</f>
        <v>9</v>
      </c>
      <c r="J94" t="str">
        <f ca="1">IFERROR(__xludf.DUMMYFUNCTION("""COMPUTED_VALUE"""),"N/A")</f>
        <v>N/A</v>
      </c>
      <c r="K94" t="str">
        <f ca="1">IFERROR(__xludf.DUMMYFUNCTION("""COMPUTED_VALUE"""),"Swift Delivery")</f>
        <v>Swift Delivery</v>
      </c>
      <c r="L94" t="str">
        <f ca="1">IFERROR(__xludf.DUMMYFUNCTION("""COMPUTED_VALUE"""),"Y")</f>
        <v>Y</v>
      </c>
      <c r="M94" t="str">
        <f ca="1">IFERROR(__xludf.DUMMYFUNCTION("""COMPUTED_VALUE"""),"Lg-101")</f>
        <v>Lg-101</v>
      </c>
    </row>
    <row r="95" spans="1:13" ht="12.5" x14ac:dyDescent="0.25">
      <c r="A95" t="str">
        <f ca="1">IFERROR(__xludf.DUMMYFUNCTION("""COMPUTED_VALUE"""),"Johanes")</f>
        <v>Johanes</v>
      </c>
      <c r="B95" t="str">
        <f ca="1">IFERROR(__xludf.DUMMYFUNCTION("""COMPUTED_VALUE"""),"Wewengkang")</f>
        <v>Wewengkang</v>
      </c>
      <c r="C95" t="str">
        <f ca="1">IFERROR(__xludf.DUMMYFUNCTION("""COMPUTED_VALUE"""),"Wewengkang@ymailx.com")</f>
        <v>Wewengkang@ymailx.com</v>
      </c>
      <c r="D95" t="str">
        <f ca="1">IFERROR(__xludf.DUMMYFUNCTION("""COMPUTED_VALUE"""),"Tebingtinggi")</f>
        <v>Tebingtinggi</v>
      </c>
      <c r="E95" s="12">
        <f ca="1">IFERROR(__xludf.DUMMYFUNCTION("""COMPUTED_VALUE"""),43200)</f>
        <v>43200</v>
      </c>
      <c r="F95" t="str">
        <f ca="1">IFERROR(__xludf.DUMMYFUNCTION("""COMPUTED_VALUE"""),"KP0925SG")</f>
        <v>KP0925SG</v>
      </c>
      <c r="G95" s="11">
        <f ca="1">IFERROR(__xludf.DUMMYFUNCTION("""COMPUTED_VALUE"""),120000000)</f>
        <v>120000000</v>
      </c>
      <c r="H95">
        <f ca="1">IFERROR(__xludf.DUMMYFUNCTION("""COMPUTED_VALUE"""),36262)</f>
        <v>36262</v>
      </c>
      <c r="I95">
        <f ca="1">IFERROR(__xludf.DUMMYFUNCTION("""COMPUTED_VALUE"""),8)</f>
        <v>8</v>
      </c>
      <c r="J95" t="str">
        <f ca="1">IFERROR(__xludf.DUMMYFUNCTION("""COMPUTED_VALUE"""),"N/A")</f>
        <v>N/A</v>
      </c>
      <c r="K95" t="str">
        <f ca="1">IFERROR(__xludf.DUMMYFUNCTION("""COMPUTED_VALUE"""),"JENT")</f>
        <v>JENT</v>
      </c>
      <c r="L95" t="str">
        <f ca="1">IFERROR(__xludf.DUMMYFUNCTION("""COMPUTED_VALUE"""),"Y")</f>
        <v>Y</v>
      </c>
      <c r="M95" t="str">
        <f ca="1">IFERROR(__xludf.DUMMYFUNCTION("""COMPUTED_VALUE"""),"Li-662")</f>
        <v>Li-662</v>
      </c>
    </row>
    <row r="96" spans="1:13" ht="12.5" x14ac:dyDescent="0.25">
      <c r="A96" t="str">
        <f ca="1">IFERROR(__xludf.DUMMYFUNCTION("""COMPUTED_VALUE"""),"Henny")</f>
        <v>Henny</v>
      </c>
      <c r="B96" t="str">
        <f ca="1">IFERROR(__xludf.DUMMYFUNCTION("""COMPUTED_VALUE"""),"Salim")</f>
        <v>Salim</v>
      </c>
      <c r="C96" t="str">
        <f ca="1">IFERROR(__xludf.DUMMYFUNCTION("""COMPUTED_VALUE"""),"Salim@ymailx.com")</f>
        <v>Salim@ymailx.com</v>
      </c>
      <c r="D96" t="str">
        <f ca="1">IFERROR(__xludf.DUMMYFUNCTION("""COMPUTED_VALUE"""),"Tanjungpinang")</f>
        <v>Tanjungpinang</v>
      </c>
      <c r="E96" s="12">
        <f ca="1">IFERROR(__xludf.DUMMYFUNCTION("""COMPUTED_VALUE"""),43200)</f>
        <v>43200</v>
      </c>
      <c r="F96" t="str">
        <f ca="1">IFERROR(__xludf.DUMMYFUNCTION("""COMPUTED_VALUE"""),"KP0925SG")</f>
        <v>KP0925SG</v>
      </c>
      <c r="G96" s="11">
        <f ca="1">IFERROR(__xludf.DUMMYFUNCTION("""COMPUTED_VALUE"""),60000000)</f>
        <v>60000000</v>
      </c>
      <c r="H96">
        <f ca="1">IFERROR(__xludf.DUMMYFUNCTION("""COMPUTED_VALUE"""),35161)</f>
        <v>35161</v>
      </c>
      <c r="I96">
        <f ca="1">IFERROR(__xludf.DUMMYFUNCTION("""COMPUTED_VALUE"""),4)</f>
        <v>4</v>
      </c>
      <c r="J96" t="str">
        <f ca="1">IFERROR(__xludf.DUMMYFUNCTION("""COMPUTED_VALUE"""),"N/A")</f>
        <v>N/A</v>
      </c>
      <c r="K96" t="str">
        <f ca="1">IFERROR(__xludf.DUMMYFUNCTION("""COMPUTED_VALUE"""),"JENT")</f>
        <v>JENT</v>
      </c>
      <c r="L96" t="str">
        <f ca="1">IFERROR(__xludf.DUMMYFUNCTION("""COMPUTED_VALUE"""),"Y")</f>
        <v>Y</v>
      </c>
      <c r="M96" t="str">
        <f ca="1">IFERROR(__xludf.DUMMYFUNCTION("""COMPUTED_VALUE"""),"Wd-809")</f>
        <v>Wd-809</v>
      </c>
    </row>
    <row r="97" spans="1:13" ht="12.5" x14ac:dyDescent="0.25">
      <c r="A97" t="str">
        <f ca="1">IFERROR(__xludf.DUMMYFUNCTION("""COMPUTED_VALUE"""),"Nicholas")</f>
        <v>Nicholas</v>
      </c>
      <c r="B97" t="str">
        <f ca="1">IFERROR(__xludf.DUMMYFUNCTION("""COMPUTED_VALUE"""),"Buhay")</f>
        <v>Buhay</v>
      </c>
      <c r="C97" t="str">
        <f ca="1">IFERROR(__xludf.DUMMYFUNCTION("""COMPUTED_VALUE"""),"Buhay@icloudx.com")</f>
        <v>Buhay@icloudx.com</v>
      </c>
      <c r="D97" t="str">
        <f ca="1">IFERROR(__xludf.DUMMYFUNCTION("""COMPUTED_VALUE"""),"Palembang")</f>
        <v>Palembang</v>
      </c>
      <c r="E97" s="12">
        <f ca="1">IFERROR(__xludf.DUMMYFUNCTION("""COMPUTED_VALUE"""),43200)</f>
        <v>43200</v>
      </c>
      <c r="F97" t="str">
        <f ca="1">IFERROR(__xludf.DUMMYFUNCTION("""COMPUTED_VALUE"""),"KP0850FB")</f>
        <v>KP0850FB</v>
      </c>
      <c r="G97" s="11">
        <f ca="1">IFERROR(__xludf.DUMMYFUNCTION("""COMPUTED_VALUE"""),84000000)</f>
        <v>84000000</v>
      </c>
      <c r="H97">
        <f ca="1">IFERROR(__xludf.DUMMYFUNCTION("""COMPUTED_VALUE"""),36097)</f>
        <v>36097</v>
      </c>
      <c r="I97">
        <f ca="1">IFERROR(__xludf.DUMMYFUNCTION("""COMPUTED_VALUE"""),4)</f>
        <v>4</v>
      </c>
      <c r="J97" t="str">
        <f ca="1">IFERROR(__xludf.DUMMYFUNCTION("""COMPUTED_VALUE"""),"N/A")</f>
        <v>N/A</v>
      </c>
      <c r="K97" t="str">
        <f ca="1">IFERROR(__xludf.DUMMYFUNCTION("""COMPUTED_VALUE"""),"Swift Delivery")</f>
        <v>Swift Delivery</v>
      </c>
      <c r="L97" t="str">
        <f ca="1">IFERROR(__xludf.DUMMYFUNCTION("""COMPUTED_VALUE"""),"N")</f>
        <v>N</v>
      </c>
      <c r="M97" t="str">
        <f ca="1">IFERROR(__xludf.DUMMYFUNCTION("""COMPUTED_VALUE"""),"Vp-661")</f>
        <v>Vp-661</v>
      </c>
    </row>
    <row r="98" spans="1:13" ht="12.5" x14ac:dyDescent="0.25">
      <c r="A98" t="str">
        <f ca="1">IFERROR(__xludf.DUMMYFUNCTION("""COMPUTED_VALUE"""),"Chung,")</f>
        <v>Chung,</v>
      </c>
      <c r="B98" t="str">
        <f ca="1">IFERROR(__xludf.DUMMYFUNCTION("""COMPUTED_VALUE"""),"Overseas")</f>
        <v>Overseas</v>
      </c>
      <c r="C98" t="str">
        <f ca="1">IFERROR(__xludf.DUMMYFUNCTION("""COMPUTED_VALUE"""),"Chung@ymailx.com")</f>
        <v>Chung@ymailx.com</v>
      </c>
      <c r="D98" t="str">
        <f ca="1">IFERROR(__xludf.DUMMYFUNCTION("""COMPUTED_VALUE"""),"Pekalongan")</f>
        <v>Pekalongan</v>
      </c>
      <c r="E98" s="12">
        <f ca="1">IFERROR(__xludf.DUMMYFUNCTION("""COMPUTED_VALUE"""),43200)</f>
        <v>43200</v>
      </c>
      <c r="F98" t="str">
        <f ca="1">IFERROR(__xludf.DUMMYFUNCTION("""COMPUTED_VALUE"""),"KP0625AF")</f>
        <v>KP0625AF</v>
      </c>
      <c r="G98" s="11">
        <f ca="1">IFERROR(__xludf.DUMMYFUNCTION("""COMPUTED_VALUE"""),84000000)</f>
        <v>84000000</v>
      </c>
      <c r="H98">
        <f ca="1">IFERROR(__xludf.DUMMYFUNCTION("""COMPUTED_VALUE"""),35713)</f>
        <v>35713</v>
      </c>
      <c r="I98">
        <f ca="1">IFERROR(__xludf.DUMMYFUNCTION("""COMPUTED_VALUE"""),7)</f>
        <v>7</v>
      </c>
      <c r="J98" t="str">
        <f ca="1">IFERROR(__xludf.DUMMYFUNCTION("""COMPUTED_VALUE"""),"N/A")</f>
        <v>N/A</v>
      </c>
      <c r="K98" t="str">
        <f ca="1">IFERROR(__xludf.DUMMYFUNCTION("""COMPUTED_VALUE"""),"JENT")</f>
        <v>JENT</v>
      </c>
      <c r="L98" t="str">
        <f ca="1">IFERROR(__xludf.DUMMYFUNCTION("""COMPUTED_VALUE"""),"Y")</f>
        <v>Y</v>
      </c>
      <c r="M98" t="str">
        <f ca="1">IFERROR(__xludf.DUMMYFUNCTION("""COMPUTED_VALUE"""),"Pa-410")</f>
        <v>Pa-410</v>
      </c>
    </row>
    <row r="99" spans="1:13" ht="12.5" x14ac:dyDescent="0.25">
      <c r="A99" t="str">
        <f ca="1">IFERROR(__xludf.DUMMYFUNCTION("""COMPUTED_VALUE"""),"Soetikno")</f>
        <v>Soetikno</v>
      </c>
      <c r="B99" t="str">
        <f ca="1">IFERROR(__xludf.DUMMYFUNCTION("""COMPUTED_VALUE"""),"Hartono")</f>
        <v>Hartono</v>
      </c>
      <c r="C99" t="str">
        <f ca="1">IFERROR(__xludf.DUMMYFUNCTION("""COMPUTED_VALUE"""),"Hartono@gmailx.com")</f>
        <v>Hartono@gmailx.com</v>
      </c>
      <c r="D99" t="str">
        <f ca="1">IFERROR(__xludf.DUMMYFUNCTION("""COMPUTED_VALUE"""),"Kediri")</f>
        <v>Kediri</v>
      </c>
      <c r="E99" s="12">
        <f ca="1">IFERROR(__xludf.DUMMYFUNCTION("""COMPUTED_VALUE"""),43169)</f>
        <v>43169</v>
      </c>
      <c r="F99" t="str">
        <f ca="1">IFERROR(__xludf.DUMMYFUNCTION("""COMPUTED_VALUE"""),"KP0925SG")</f>
        <v>KP0925SG</v>
      </c>
      <c r="G99" s="11">
        <f ca="1">IFERROR(__xludf.DUMMYFUNCTION("""COMPUTED_VALUE"""),30000000)</f>
        <v>30000000</v>
      </c>
      <c r="H99">
        <f ca="1">IFERROR(__xludf.DUMMYFUNCTION("""COMPUTED_VALUE"""),36340)</f>
        <v>36340</v>
      </c>
      <c r="I99">
        <f ca="1">IFERROR(__xludf.DUMMYFUNCTION("""COMPUTED_VALUE"""),2)</f>
        <v>2</v>
      </c>
      <c r="J99" t="str">
        <f ca="1">IFERROR(__xludf.DUMMYFUNCTION("""COMPUTED_VALUE"""),"N/A")</f>
        <v>N/A</v>
      </c>
      <c r="K99" t="str">
        <f ca="1">IFERROR(__xludf.DUMMYFUNCTION("""COMPUTED_VALUE"""),"Wakanda Express")</f>
        <v>Wakanda Express</v>
      </c>
      <c r="L99" t="str">
        <f ca="1">IFERROR(__xludf.DUMMYFUNCTION("""COMPUTED_VALUE"""),"N")</f>
        <v>N</v>
      </c>
      <c r="M99" t="str">
        <f ca="1">IFERROR(__xludf.DUMMYFUNCTION("""COMPUTED_VALUE"""),"Iu-123")</f>
        <v>Iu-123</v>
      </c>
    </row>
    <row r="100" spans="1:13" ht="12.5" x14ac:dyDescent="0.25">
      <c r="A100" t="str">
        <f ca="1">IFERROR(__xludf.DUMMYFUNCTION("""COMPUTED_VALUE"""),"Soesanto")</f>
        <v>Soesanto</v>
      </c>
      <c r="B100" t="str">
        <f ca="1">IFERROR(__xludf.DUMMYFUNCTION("""COMPUTED_VALUE"""),"Muchsin")</f>
        <v>Muchsin</v>
      </c>
      <c r="C100" t="str">
        <f ca="1">IFERROR(__xludf.DUMMYFUNCTION("""COMPUTED_VALUE"""),"Soesanto@icloudx.com")</f>
        <v>Soesanto@icloudx.com</v>
      </c>
      <c r="D100" t="str">
        <f ca="1">IFERROR(__xludf.DUMMYFUNCTION("""COMPUTED_VALUE"""),"Payakumbuh")</f>
        <v>Payakumbuh</v>
      </c>
      <c r="E100" s="12">
        <f ca="1">IFERROR(__xludf.DUMMYFUNCTION("""COMPUTED_VALUE"""),43169)</f>
        <v>43169</v>
      </c>
      <c r="F100" t="str">
        <f ca="1">IFERROR(__xludf.DUMMYFUNCTION("""COMPUTED_VALUE"""),"KP0425CB")</f>
        <v>KP0425CB</v>
      </c>
      <c r="G100" s="11">
        <f ca="1">IFERROR(__xludf.DUMMYFUNCTION("""COMPUTED_VALUE"""),163500000)</f>
        <v>163500000</v>
      </c>
      <c r="H100">
        <f ca="1">IFERROR(__xludf.DUMMYFUNCTION("""COMPUTED_VALUE"""),35030)</f>
        <v>35030</v>
      </c>
      <c r="I100">
        <f ca="1">IFERROR(__xludf.DUMMYFUNCTION("""COMPUTED_VALUE"""),6)</f>
        <v>6</v>
      </c>
      <c r="J100" t="str">
        <f ca="1">IFERROR(__xludf.DUMMYFUNCTION("""COMPUTED_VALUE"""),"N/A")</f>
        <v>N/A</v>
      </c>
      <c r="K100" t="str">
        <f ca="1">IFERROR(__xludf.DUMMYFUNCTION("""COMPUTED_VALUE"""),"Pru Logistic")</f>
        <v>Pru Logistic</v>
      </c>
      <c r="L100" t="str">
        <f ca="1">IFERROR(__xludf.DUMMYFUNCTION("""COMPUTED_VALUE"""),"N")</f>
        <v>N</v>
      </c>
      <c r="M100" t="str">
        <f ca="1">IFERROR(__xludf.DUMMYFUNCTION("""COMPUTED_VALUE"""),"Gt-559")</f>
        <v>Gt-559</v>
      </c>
    </row>
    <row r="101" spans="1:13" ht="12.5" x14ac:dyDescent="0.25">
      <c r="A101" t="str">
        <f ca="1">IFERROR(__xludf.DUMMYFUNCTION("""COMPUTED_VALUE"""),"Andry")</f>
        <v>Andry</v>
      </c>
      <c r="B101" t="str">
        <f ca="1">IFERROR(__xludf.DUMMYFUNCTION("""COMPUTED_VALUE"""),"Harlim")</f>
        <v>Harlim</v>
      </c>
      <c r="C101" t="str">
        <f ca="1">IFERROR(__xludf.DUMMYFUNCTION("""COMPUTED_VALUE"""),"Harlim@livex.com")</f>
        <v>Harlim@livex.com</v>
      </c>
      <c r="D101" t="str">
        <f ca="1">IFERROR(__xludf.DUMMYFUNCTION("""COMPUTED_VALUE"""),"Depok")</f>
        <v>Depok</v>
      </c>
      <c r="E101" s="12">
        <f ca="1">IFERROR(__xludf.DUMMYFUNCTION("""COMPUTED_VALUE"""),43371)</f>
        <v>43371</v>
      </c>
      <c r="F101" t="str">
        <f ca="1">IFERROR(__xludf.DUMMYFUNCTION("""COMPUTED_VALUE"""),"KP0350CF")</f>
        <v>KP0350CF</v>
      </c>
      <c r="G101" s="11">
        <f ca="1">IFERROR(__xludf.DUMMYFUNCTION("""COMPUTED_VALUE"""),280000000)</f>
        <v>280000000</v>
      </c>
      <c r="H101">
        <f ca="1">IFERROR(__xludf.DUMMYFUNCTION("""COMPUTED_VALUE"""),36607)</f>
        <v>36607</v>
      </c>
      <c r="I101">
        <f ca="1">IFERROR(__xludf.DUMMYFUNCTION("""COMPUTED_VALUE"""),8)</f>
        <v>8</v>
      </c>
      <c r="J101">
        <f ca="1">IFERROR(__xludf.DUMMYFUNCTION("""COMPUTED_VALUE"""),2)</f>
        <v>2</v>
      </c>
      <c r="K101" t="str">
        <f ca="1">IFERROR(__xludf.DUMMYFUNCTION("""COMPUTED_VALUE"""),"JENT")</f>
        <v>JENT</v>
      </c>
      <c r="L101" t="str">
        <f ca="1">IFERROR(__xludf.DUMMYFUNCTION("""COMPUTED_VALUE"""),"Y")</f>
        <v>Y</v>
      </c>
      <c r="M101" t="str">
        <f ca="1">IFERROR(__xludf.DUMMYFUNCTION("""COMPUTED_VALUE"""),"Mn-409")</f>
        <v>Mn-409</v>
      </c>
    </row>
    <row r="102" spans="1:13" ht="12.5" x14ac:dyDescent="0.25">
      <c r="A102" t="str">
        <f ca="1">IFERROR(__xludf.DUMMYFUNCTION("""COMPUTED_VALUE"""),"Mario")</f>
        <v>Mario</v>
      </c>
      <c r="B102" t="str">
        <f ca="1">IFERROR(__xludf.DUMMYFUNCTION("""COMPUTED_VALUE"""),"Dviyudha")</f>
        <v>Dviyudha</v>
      </c>
      <c r="C102" t="str">
        <f ca="1">IFERROR(__xludf.DUMMYFUNCTION("""COMPUTED_VALUE"""),"Dviyudha@rocketmailx.com")</f>
        <v>Dviyudha@rocketmailx.com</v>
      </c>
      <c r="D102" t="str">
        <f ca="1">IFERROR(__xludf.DUMMYFUNCTION("""COMPUTED_VALUE"""),"Bukittinggi")</f>
        <v>Bukittinggi</v>
      </c>
      <c r="E102" s="12">
        <f ca="1">IFERROR(__xludf.DUMMYFUNCTION("""COMPUTED_VALUE"""),43371)</f>
        <v>43371</v>
      </c>
      <c r="F102" t="str">
        <f ca="1">IFERROR(__xludf.DUMMYFUNCTION("""COMPUTED_VALUE"""),"KP0850FB")</f>
        <v>KP0850FB</v>
      </c>
      <c r="G102" s="11">
        <f ca="1">IFERROR(__xludf.DUMMYFUNCTION("""COMPUTED_VALUE"""),63000000)</f>
        <v>63000000</v>
      </c>
      <c r="H102">
        <f ca="1">IFERROR(__xludf.DUMMYFUNCTION("""COMPUTED_VALUE"""),36088)</f>
        <v>36088</v>
      </c>
      <c r="I102">
        <f ca="1">IFERROR(__xludf.DUMMYFUNCTION("""COMPUTED_VALUE"""),3)</f>
        <v>3</v>
      </c>
      <c r="J102">
        <f ca="1">IFERROR(__xludf.DUMMYFUNCTION("""COMPUTED_VALUE"""),4)</f>
        <v>4</v>
      </c>
      <c r="K102" t="str">
        <f ca="1">IFERROR(__xludf.DUMMYFUNCTION("""COMPUTED_VALUE"""),"JENT")</f>
        <v>JENT</v>
      </c>
      <c r="L102" t="str">
        <f ca="1">IFERROR(__xludf.DUMMYFUNCTION("""COMPUTED_VALUE"""),"Y")</f>
        <v>Y</v>
      </c>
      <c r="M102" t="str">
        <f ca="1">IFERROR(__xludf.DUMMYFUNCTION("""COMPUTED_VALUE"""),"Ak-559")</f>
        <v>Ak-559</v>
      </c>
    </row>
    <row r="103" spans="1:13" ht="12.5" x14ac:dyDescent="0.25">
      <c r="A103" t="str">
        <f ca="1">IFERROR(__xludf.DUMMYFUNCTION("""COMPUTED_VALUE"""),"Sindhu")</f>
        <v>Sindhu</v>
      </c>
      <c r="B103" t="str">
        <f ca="1">IFERROR(__xludf.DUMMYFUNCTION("""COMPUTED_VALUE"""),"Group")</f>
        <v>Group</v>
      </c>
      <c r="C103" t="str">
        <f ca="1">IFERROR(__xludf.DUMMYFUNCTION("""COMPUTED_VALUE"""),"Sindhu@ymailx.com")</f>
        <v>Sindhu@ymailx.com</v>
      </c>
      <c r="D103" t="str">
        <f ca="1">IFERROR(__xludf.DUMMYFUNCTION("""COMPUTED_VALUE"""),"Kendari")</f>
        <v>Kendari</v>
      </c>
      <c r="E103" s="12">
        <f ca="1">IFERROR(__xludf.DUMMYFUNCTION("""COMPUTED_VALUE"""),43371)</f>
        <v>43371</v>
      </c>
      <c r="F103" t="str">
        <f ca="1">IFERROR(__xludf.DUMMYFUNCTION("""COMPUTED_VALUE"""),"KP0850FB")</f>
        <v>KP0850FB</v>
      </c>
      <c r="G103" s="11">
        <f ca="1">IFERROR(__xludf.DUMMYFUNCTION("""COMPUTED_VALUE"""),189000000)</f>
        <v>189000000</v>
      </c>
      <c r="H103">
        <f ca="1">IFERROR(__xludf.DUMMYFUNCTION("""COMPUTED_VALUE"""),36332)</f>
        <v>36332</v>
      </c>
      <c r="I103">
        <f ca="1">IFERROR(__xludf.DUMMYFUNCTION("""COMPUTED_VALUE"""),9)</f>
        <v>9</v>
      </c>
      <c r="J103" t="str">
        <f ca="1">IFERROR(__xludf.DUMMYFUNCTION("""COMPUTED_VALUE"""),"N/A")</f>
        <v>N/A</v>
      </c>
      <c r="K103" t="str">
        <f ca="1">IFERROR(__xludf.DUMMYFUNCTION("""COMPUTED_VALUE"""),"Cepat Kirim")</f>
        <v>Cepat Kirim</v>
      </c>
      <c r="L103" t="str">
        <f ca="1">IFERROR(__xludf.DUMMYFUNCTION("""COMPUTED_VALUE"""),"N")</f>
        <v>N</v>
      </c>
      <c r="M103" t="str">
        <f ca="1">IFERROR(__xludf.DUMMYFUNCTION("""COMPUTED_VALUE"""),"Ls-250")</f>
        <v>Ls-250</v>
      </c>
    </row>
    <row r="104" spans="1:13" ht="12.5" x14ac:dyDescent="0.25">
      <c r="A104" t="str">
        <f ca="1">IFERROR(__xludf.DUMMYFUNCTION("""COMPUTED_VALUE"""),"Jenny")</f>
        <v>Jenny</v>
      </c>
      <c r="B104" t="str">
        <f ca="1">IFERROR(__xludf.DUMMYFUNCTION("""COMPUTED_VALUE"""),"Tirtanata")</f>
        <v>Tirtanata</v>
      </c>
      <c r="C104" t="str">
        <f ca="1">IFERROR(__xludf.DUMMYFUNCTION("""COMPUTED_VALUE"""),"Tirtanata@ymailx.com")</f>
        <v>Tirtanata@ymailx.com</v>
      </c>
      <c r="D104" t="str">
        <f ca="1">IFERROR(__xludf.DUMMYFUNCTION("""COMPUTED_VALUE"""),"Medan")</f>
        <v>Medan</v>
      </c>
      <c r="E104" s="12">
        <f ca="1">IFERROR(__xludf.DUMMYFUNCTION("""COMPUTED_VALUE"""),43371)</f>
        <v>43371</v>
      </c>
      <c r="F104" t="str">
        <f ca="1">IFERROR(__xludf.DUMMYFUNCTION("""COMPUTED_VALUE"""),"KP0925SG")</f>
        <v>KP0925SG</v>
      </c>
      <c r="G104" s="11">
        <f ca="1">IFERROR(__xludf.DUMMYFUNCTION("""COMPUTED_VALUE"""),60000000)</f>
        <v>60000000</v>
      </c>
      <c r="H104">
        <f ca="1">IFERROR(__xludf.DUMMYFUNCTION("""COMPUTED_VALUE"""),36693)</f>
        <v>36693</v>
      </c>
      <c r="I104">
        <f ca="1">IFERROR(__xludf.DUMMYFUNCTION("""COMPUTED_VALUE"""),4)</f>
        <v>4</v>
      </c>
      <c r="J104" t="str">
        <f ca="1">IFERROR(__xludf.DUMMYFUNCTION("""COMPUTED_VALUE"""),"N/A")</f>
        <v>N/A</v>
      </c>
      <c r="K104" t="str">
        <f ca="1">IFERROR(__xludf.DUMMYFUNCTION("""COMPUTED_VALUE"""),"JENT")</f>
        <v>JENT</v>
      </c>
      <c r="L104" t="str">
        <f ca="1">IFERROR(__xludf.DUMMYFUNCTION("""COMPUTED_VALUE"""),"Y")</f>
        <v>Y</v>
      </c>
      <c r="M104" t="str">
        <f ca="1">IFERROR(__xludf.DUMMYFUNCTION("""COMPUTED_VALUE"""),"Dl-662")</f>
        <v>Dl-662</v>
      </c>
    </row>
    <row r="105" spans="1:13" ht="12.5" x14ac:dyDescent="0.25">
      <c r="A105" t="str">
        <f ca="1">IFERROR(__xludf.DUMMYFUNCTION("""COMPUTED_VALUE"""),"Hindarto")</f>
        <v>Hindarto</v>
      </c>
      <c r="B105" t="str">
        <f ca="1">IFERROR(__xludf.DUMMYFUNCTION("""COMPUTED_VALUE"""),"Jackson")</f>
        <v>Jackson</v>
      </c>
      <c r="C105" t="str">
        <f ca="1">IFERROR(__xludf.DUMMYFUNCTION("""COMPUTED_VALUE"""),"Jackson@gmailx.com")</f>
        <v>Jackson@gmailx.com</v>
      </c>
      <c r="D105" t="str">
        <f ca="1">IFERROR(__xludf.DUMMYFUNCTION("""COMPUTED_VALUE"""),"Padangpanjang")</f>
        <v>Padangpanjang</v>
      </c>
      <c r="E105" s="12">
        <f ca="1">IFERROR(__xludf.DUMMYFUNCTION("""COMPUTED_VALUE"""),43368)</f>
        <v>43368</v>
      </c>
      <c r="F105" t="str">
        <f ca="1">IFERROR(__xludf.DUMMYFUNCTION("""COMPUTED_VALUE"""),"KP0225BB")</f>
        <v>KP0225BB</v>
      </c>
      <c r="G105" s="11">
        <f ca="1">IFERROR(__xludf.DUMMYFUNCTION("""COMPUTED_VALUE"""),50000000)</f>
        <v>50000000</v>
      </c>
      <c r="H105">
        <f ca="1">IFERROR(__xludf.DUMMYFUNCTION("""COMPUTED_VALUE"""),36724)</f>
        <v>36724</v>
      </c>
      <c r="I105">
        <f ca="1">IFERROR(__xludf.DUMMYFUNCTION("""COMPUTED_VALUE"""),5)</f>
        <v>5</v>
      </c>
      <c r="J105">
        <f ca="1">IFERROR(__xludf.DUMMYFUNCTION("""COMPUTED_VALUE"""),1)</f>
        <v>1</v>
      </c>
      <c r="K105" t="str">
        <f ca="1">IFERROR(__xludf.DUMMYFUNCTION("""COMPUTED_VALUE"""),"JENT")</f>
        <v>JENT</v>
      </c>
      <c r="L105" t="str">
        <f ca="1">IFERROR(__xludf.DUMMYFUNCTION("""COMPUTED_VALUE"""),"Y")</f>
        <v>Y</v>
      </c>
      <c r="M105" t="str">
        <f ca="1">IFERROR(__xludf.DUMMYFUNCTION("""COMPUTED_VALUE"""),"Tc-559")</f>
        <v>Tc-559</v>
      </c>
    </row>
    <row r="106" spans="1:13" ht="12.5" x14ac:dyDescent="0.25">
      <c r="A106" t="str">
        <f ca="1">IFERROR(__xludf.DUMMYFUNCTION("""COMPUTED_VALUE"""),"Said")</f>
        <v>Said</v>
      </c>
      <c r="B106" t="str">
        <f ca="1">IFERROR(__xludf.DUMMYFUNCTION("""COMPUTED_VALUE"""),"Gina")</f>
        <v>Gina</v>
      </c>
      <c r="C106" t="str">
        <f ca="1">IFERROR(__xludf.DUMMYFUNCTION("""COMPUTED_VALUE"""),"Said@gmailx.com")</f>
        <v>Said@gmailx.com</v>
      </c>
      <c r="D106" t="str">
        <f ca="1">IFERROR(__xludf.DUMMYFUNCTION("""COMPUTED_VALUE"""),"Binjai")</f>
        <v>Binjai</v>
      </c>
      <c r="E106" s="12">
        <f ca="1">IFERROR(__xludf.DUMMYFUNCTION("""COMPUTED_VALUE"""),43367)</f>
        <v>43367</v>
      </c>
      <c r="F106" t="str">
        <f ca="1">IFERROR(__xludf.DUMMYFUNCTION("""COMPUTED_VALUE"""),"KP0850FB")</f>
        <v>KP0850FB</v>
      </c>
      <c r="G106" s="11">
        <f ca="1">IFERROR(__xludf.DUMMYFUNCTION("""COMPUTED_VALUE"""),42000000)</f>
        <v>42000000</v>
      </c>
      <c r="H106">
        <f ca="1">IFERROR(__xludf.DUMMYFUNCTION("""COMPUTED_VALUE"""),35678)</f>
        <v>35678</v>
      </c>
      <c r="I106">
        <f ca="1">IFERROR(__xludf.DUMMYFUNCTION("""COMPUTED_VALUE"""),2)</f>
        <v>2</v>
      </c>
      <c r="J106" t="str">
        <f ca="1">IFERROR(__xludf.DUMMYFUNCTION("""COMPUTED_VALUE"""),"N/A")</f>
        <v>N/A</v>
      </c>
      <c r="K106" t="str">
        <f ca="1">IFERROR(__xludf.DUMMYFUNCTION("""COMPUTED_VALUE"""),"Swift Delivery")</f>
        <v>Swift Delivery</v>
      </c>
      <c r="L106" t="str">
        <f ca="1">IFERROR(__xludf.DUMMYFUNCTION("""COMPUTED_VALUE"""),"N")</f>
        <v>N</v>
      </c>
      <c r="M106" t="str">
        <f ca="1">IFERROR(__xludf.DUMMYFUNCTION("""COMPUTED_VALUE"""),"Dj-662")</f>
        <v>Dj-662</v>
      </c>
    </row>
    <row r="107" spans="1:13" ht="12.5" x14ac:dyDescent="0.25">
      <c r="A107" t="str">
        <f ca="1">IFERROR(__xludf.DUMMYFUNCTION("""COMPUTED_VALUE"""),"Imelda")</f>
        <v>Imelda</v>
      </c>
      <c r="B107" t="str">
        <f ca="1">IFERROR(__xludf.DUMMYFUNCTION("""COMPUTED_VALUE"""),"Nurdin")</f>
        <v>Nurdin</v>
      </c>
      <c r="C107" t="str">
        <f ca="1">IFERROR(__xludf.DUMMYFUNCTION("""COMPUTED_VALUE"""),"Imelda@gmailx.com")</f>
        <v>Imelda@gmailx.com</v>
      </c>
      <c r="D107" t="str">
        <f ca="1">IFERROR(__xludf.DUMMYFUNCTION("""COMPUTED_VALUE"""),"Tual")</f>
        <v>Tual</v>
      </c>
      <c r="E107" s="12">
        <f ca="1">IFERROR(__xludf.DUMMYFUNCTION("""COMPUTED_VALUE"""),43367)</f>
        <v>43367</v>
      </c>
      <c r="F107" t="str">
        <f ca="1">IFERROR(__xludf.DUMMYFUNCTION("""COMPUTED_VALUE"""),"KP0625AF")</f>
        <v>KP0625AF</v>
      </c>
      <c r="G107" s="11">
        <f ca="1">IFERROR(__xludf.DUMMYFUNCTION("""COMPUTED_VALUE"""),72000000)</f>
        <v>72000000</v>
      </c>
      <c r="H107">
        <f ca="1">IFERROR(__xludf.DUMMYFUNCTION("""COMPUTED_VALUE"""),35670)</f>
        <v>35670</v>
      </c>
      <c r="I107">
        <f ca="1">IFERROR(__xludf.DUMMYFUNCTION("""COMPUTED_VALUE"""),6)</f>
        <v>6</v>
      </c>
      <c r="J107" t="str">
        <f ca="1">IFERROR(__xludf.DUMMYFUNCTION("""COMPUTED_VALUE"""),"N/A")</f>
        <v>N/A</v>
      </c>
      <c r="K107" t="str">
        <f ca="1">IFERROR(__xludf.DUMMYFUNCTION("""COMPUTED_VALUE"""),"Swift Delivery")</f>
        <v>Swift Delivery</v>
      </c>
      <c r="L107" t="str">
        <f ca="1">IFERROR(__xludf.DUMMYFUNCTION("""COMPUTED_VALUE"""),"Y")</f>
        <v>Y</v>
      </c>
      <c r="M107" t="str">
        <f ca="1">IFERROR(__xludf.DUMMYFUNCTION("""COMPUTED_VALUE"""),"Qv-171")</f>
        <v>Qv-171</v>
      </c>
    </row>
    <row r="108" spans="1:13" ht="12.5" x14ac:dyDescent="0.25">
      <c r="A108" t="str">
        <f ca="1">IFERROR(__xludf.DUMMYFUNCTION("""COMPUTED_VALUE"""),"Muljana")</f>
        <v>Muljana</v>
      </c>
      <c r="B108" t="str">
        <f ca="1">IFERROR(__xludf.DUMMYFUNCTION("""COMPUTED_VALUE"""),"Iswandi")</f>
        <v>Iswandi</v>
      </c>
      <c r="C108" t="str">
        <f ca="1">IFERROR(__xludf.DUMMYFUNCTION("""COMPUTED_VALUE"""),"Muljana@icloudx.com")</f>
        <v>Muljana@icloudx.com</v>
      </c>
      <c r="D108" t="str">
        <f ca="1">IFERROR(__xludf.DUMMYFUNCTION("""COMPUTED_VALUE"""),"Serang")</f>
        <v>Serang</v>
      </c>
      <c r="E108" s="12">
        <f ca="1">IFERROR(__xludf.DUMMYFUNCTION("""COMPUTED_VALUE"""),43365)</f>
        <v>43365</v>
      </c>
      <c r="F108" t="str">
        <f ca="1">IFERROR(__xludf.DUMMYFUNCTION("""COMPUTED_VALUE"""),"KP0225BB")</f>
        <v>KP0225BB</v>
      </c>
      <c r="G108" s="11">
        <f ca="1">IFERROR(__xludf.DUMMYFUNCTION("""COMPUTED_VALUE"""),30000000)</f>
        <v>30000000</v>
      </c>
      <c r="H108">
        <f ca="1">IFERROR(__xludf.DUMMYFUNCTION("""COMPUTED_VALUE"""),36096)</f>
        <v>36096</v>
      </c>
      <c r="I108">
        <f ca="1">IFERROR(__xludf.DUMMYFUNCTION("""COMPUTED_VALUE"""),3)</f>
        <v>3</v>
      </c>
      <c r="J108" t="str">
        <f ca="1">IFERROR(__xludf.DUMMYFUNCTION("""COMPUTED_VALUE"""),"N/A")</f>
        <v>N/A</v>
      </c>
      <c r="K108" t="str">
        <f ca="1">IFERROR(__xludf.DUMMYFUNCTION("""COMPUTED_VALUE"""),"Swift Delivery")</f>
        <v>Swift Delivery</v>
      </c>
      <c r="L108" t="str">
        <f ca="1">IFERROR(__xludf.DUMMYFUNCTION("""COMPUTED_VALUE"""),"N")</f>
        <v>N</v>
      </c>
      <c r="M108" t="str">
        <f ca="1">IFERROR(__xludf.DUMMYFUNCTION("""COMPUTED_VALUE"""),"Qb-500")</f>
        <v>Qb-500</v>
      </c>
    </row>
    <row r="109" spans="1:13" ht="12.5" x14ac:dyDescent="0.25">
      <c r="A109" t="str">
        <f ca="1">IFERROR(__xludf.DUMMYFUNCTION("""COMPUTED_VALUE"""),"David")</f>
        <v>David</v>
      </c>
      <c r="B109" t="str">
        <f ca="1">IFERROR(__xludf.DUMMYFUNCTION("""COMPUTED_VALUE"""),"Tjahjanto")</f>
        <v>Tjahjanto</v>
      </c>
      <c r="C109" t="str">
        <f ca="1">IFERROR(__xludf.DUMMYFUNCTION("""COMPUTED_VALUE"""),"Tjahjanto@ymailx.com")</f>
        <v>Tjahjanto@ymailx.com</v>
      </c>
      <c r="D109" t="str">
        <f ca="1">IFERROR(__xludf.DUMMYFUNCTION("""COMPUTED_VALUE"""),"Jakarta Utara")</f>
        <v>Jakarta Utara</v>
      </c>
      <c r="E109" s="12">
        <f ca="1">IFERROR(__xludf.DUMMYFUNCTION("""COMPUTED_VALUE"""),43362)</f>
        <v>43362</v>
      </c>
      <c r="F109" t="str">
        <f ca="1">IFERROR(__xludf.DUMMYFUNCTION("""COMPUTED_VALUE"""),"KP0625AF")</f>
        <v>KP0625AF</v>
      </c>
      <c r="G109" s="11">
        <f ca="1">IFERROR(__xludf.DUMMYFUNCTION("""COMPUTED_VALUE"""),24000000)</f>
        <v>24000000</v>
      </c>
      <c r="H109">
        <f ca="1">IFERROR(__xludf.DUMMYFUNCTION("""COMPUTED_VALUE"""),36995)</f>
        <v>36995</v>
      </c>
      <c r="I109">
        <f ca="1">IFERROR(__xludf.DUMMYFUNCTION("""COMPUTED_VALUE"""),2)</f>
        <v>2</v>
      </c>
      <c r="J109">
        <f ca="1">IFERROR(__xludf.DUMMYFUNCTION("""COMPUTED_VALUE"""),4)</f>
        <v>4</v>
      </c>
      <c r="K109" t="str">
        <f ca="1">IFERROR(__xludf.DUMMYFUNCTION("""COMPUTED_VALUE"""),"JENT")</f>
        <v>JENT</v>
      </c>
      <c r="L109" t="str">
        <f ca="1">IFERROR(__xludf.DUMMYFUNCTION("""COMPUTED_VALUE"""),"Y")</f>
        <v>Y</v>
      </c>
      <c r="M109" t="str">
        <f ca="1">IFERROR(__xludf.DUMMYFUNCTION("""COMPUTED_VALUE"""),"Fg-333")</f>
        <v>Fg-333</v>
      </c>
    </row>
    <row r="110" spans="1:13" ht="12.5" x14ac:dyDescent="0.25">
      <c r="A110" t="str">
        <f ca="1">IFERROR(__xludf.DUMMYFUNCTION("""COMPUTED_VALUE"""),"Minny")</f>
        <v>Minny</v>
      </c>
      <c r="B110" t="str">
        <f ca="1">IFERROR(__xludf.DUMMYFUNCTION("""COMPUTED_VALUE"""),"Rita")</f>
        <v>Rita</v>
      </c>
      <c r="C110" t="str">
        <f ca="1">IFERROR(__xludf.DUMMYFUNCTION("""COMPUTED_VALUE"""),"Minny@icloudx.com")</f>
        <v>Minny@icloudx.com</v>
      </c>
      <c r="D110" t="str">
        <f ca="1">IFERROR(__xludf.DUMMYFUNCTION("""COMPUTED_VALUE"""),"Probolinggo")</f>
        <v>Probolinggo</v>
      </c>
      <c r="E110" s="12">
        <f ca="1">IFERROR(__xludf.DUMMYFUNCTION("""COMPUTED_VALUE"""),43362)</f>
        <v>43362</v>
      </c>
      <c r="F110" t="str">
        <f ca="1">IFERROR(__xludf.DUMMYFUNCTION("""COMPUTED_VALUE"""),"KP0425CB")</f>
        <v>KP0425CB</v>
      </c>
      <c r="G110" s="11">
        <f ca="1">IFERROR(__xludf.DUMMYFUNCTION("""COMPUTED_VALUE"""),218000000)</f>
        <v>218000000</v>
      </c>
      <c r="H110">
        <f ca="1">IFERROR(__xludf.DUMMYFUNCTION("""COMPUTED_VALUE"""),36878)</f>
        <v>36878</v>
      </c>
      <c r="I110">
        <f ca="1">IFERROR(__xludf.DUMMYFUNCTION("""COMPUTED_VALUE"""),8)</f>
        <v>8</v>
      </c>
      <c r="J110">
        <f ca="1">IFERROR(__xludf.DUMMYFUNCTION("""COMPUTED_VALUE"""),4)</f>
        <v>4</v>
      </c>
      <c r="K110" t="str">
        <f ca="1">IFERROR(__xludf.DUMMYFUNCTION("""COMPUTED_VALUE"""),"Wakanda Express")</f>
        <v>Wakanda Express</v>
      </c>
      <c r="L110" t="str">
        <f ca="1">IFERROR(__xludf.DUMMYFUNCTION("""COMPUTED_VALUE"""),"Y")</f>
        <v>Y</v>
      </c>
      <c r="M110" t="str">
        <f ca="1">IFERROR(__xludf.DUMMYFUNCTION("""COMPUTED_VALUE"""),"Yu-123")</f>
        <v>Yu-123</v>
      </c>
    </row>
    <row r="111" spans="1:13" ht="12.5" x14ac:dyDescent="0.25">
      <c r="A111" t="str">
        <f ca="1">IFERROR(__xludf.DUMMYFUNCTION("""COMPUTED_VALUE"""),"Djajadinata")</f>
        <v>Djajadinata</v>
      </c>
      <c r="B111" t="str">
        <f ca="1">IFERROR(__xludf.DUMMYFUNCTION("""COMPUTED_VALUE"""),"Setiawan")</f>
        <v>Setiawan</v>
      </c>
      <c r="C111" t="str">
        <f ca="1">IFERROR(__xludf.DUMMYFUNCTION("""COMPUTED_VALUE"""),"Djajadinata@icloudx.com")</f>
        <v>Djajadinata@icloudx.com</v>
      </c>
      <c r="D111" t="str">
        <f ca="1">IFERROR(__xludf.DUMMYFUNCTION("""COMPUTED_VALUE"""),"Mataram")</f>
        <v>Mataram</v>
      </c>
      <c r="E111" s="12">
        <f ca="1">IFERROR(__xludf.DUMMYFUNCTION("""COMPUTED_VALUE"""),43362)</f>
        <v>43362</v>
      </c>
      <c r="F111" t="str">
        <f ca="1">IFERROR(__xludf.DUMMYFUNCTION("""COMPUTED_VALUE"""),"KP0925SG")</f>
        <v>KP0925SG</v>
      </c>
      <c r="G111" s="11">
        <f ca="1">IFERROR(__xludf.DUMMYFUNCTION("""COMPUTED_VALUE"""),30000000)</f>
        <v>30000000</v>
      </c>
      <c r="H111">
        <f ca="1">IFERROR(__xludf.DUMMYFUNCTION("""COMPUTED_VALUE"""),36260)</f>
        <v>36260</v>
      </c>
      <c r="I111">
        <f ca="1">IFERROR(__xludf.DUMMYFUNCTION("""COMPUTED_VALUE"""),2)</f>
        <v>2</v>
      </c>
      <c r="J111" t="str">
        <f ca="1">IFERROR(__xludf.DUMMYFUNCTION("""COMPUTED_VALUE"""),"N/A")</f>
        <v>N/A</v>
      </c>
      <c r="K111" t="str">
        <f ca="1">IFERROR(__xludf.DUMMYFUNCTION("""COMPUTED_VALUE"""),"JENT")</f>
        <v>JENT</v>
      </c>
      <c r="L111" t="str">
        <f ca="1">IFERROR(__xludf.DUMMYFUNCTION("""COMPUTED_VALUE"""),"Y")</f>
        <v>Y</v>
      </c>
      <c r="M111" t="str">
        <f ca="1">IFERROR(__xludf.DUMMYFUNCTION("""COMPUTED_VALUE"""),"Yv-183")</f>
        <v>Yv-183</v>
      </c>
    </row>
    <row r="112" spans="1:13" ht="12.5" x14ac:dyDescent="0.25">
      <c r="A112" t="str">
        <f ca="1">IFERROR(__xludf.DUMMYFUNCTION("""COMPUTED_VALUE"""),"Evi")</f>
        <v>Evi</v>
      </c>
      <c r="B112" t="str">
        <f ca="1">IFERROR(__xludf.DUMMYFUNCTION("""COMPUTED_VALUE"""),"Tjokrosapoetro")</f>
        <v>Tjokrosapoetro</v>
      </c>
      <c r="C112" t="str">
        <f ca="1">IFERROR(__xludf.DUMMYFUNCTION("""COMPUTED_VALUE"""),"Evi@livex.com")</f>
        <v>Evi@livex.com</v>
      </c>
      <c r="D112" t="str">
        <f ca="1">IFERROR(__xludf.DUMMYFUNCTION("""COMPUTED_VALUE"""),"Kendari")</f>
        <v>Kendari</v>
      </c>
      <c r="E112" s="12">
        <f ca="1">IFERROR(__xludf.DUMMYFUNCTION("""COMPUTED_VALUE"""),43360)</f>
        <v>43360</v>
      </c>
      <c r="F112" t="str">
        <f ca="1">IFERROR(__xludf.DUMMYFUNCTION("""COMPUTED_VALUE"""),"KP0425CB")</f>
        <v>KP0425CB</v>
      </c>
      <c r="G112" s="11">
        <f ca="1">IFERROR(__xludf.DUMMYFUNCTION("""COMPUTED_VALUE"""),190750000)</f>
        <v>190750000</v>
      </c>
      <c r="H112">
        <f ca="1">IFERROR(__xludf.DUMMYFUNCTION("""COMPUTED_VALUE"""),36927)</f>
        <v>36927</v>
      </c>
      <c r="I112">
        <f ca="1">IFERROR(__xludf.DUMMYFUNCTION("""COMPUTED_VALUE"""),7)</f>
        <v>7</v>
      </c>
      <c r="J112" t="str">
        <f ca="1">IFERROR(__xludf.DUMMYFUNCTION("""COMPUTED_VALUE"""),"N/A")</f>
        <v>N/A</v>
      </c>
      <c r="K112" t="str">
        <f ca="1">IFERROR(__xludf.DUMMYFUNCTION("""COMPUTED_VALUE"""),"Swift Delivery")</f>
        <v>Swift Delivery</v>
      </c>
      <c r="L112" t="str">
        <f ca="1">IFERROR(__xludf.DUMMYFUNCTION("""COMPUTED_VALUE"""),"Y")</f>
        <v>Y</v>
      </c>
      <c r="M112" t="str">
        <f ca="1">IFERROR(__xludf.DUMMYFUNCTION("""COMPUTED_VALUE"""),"Sk-250")</f>
        <v>Sk-250</v>
      </c>
    </row>
    <row r="113" spans="1:13" ht="12.5" x14ac:dyDescent="0.25">
      <c r="A113" t="str">
        <f ca="1">IFERROR(__xludf.DUMMYFUNCTION("""COMPUTED_VALUE"""),"Arianto")</f>
        <v>Arianto</v>
      </c>
      <c r="B113" t="str">
        <f ca="1">IFERROR(__xludf.DUMMYFUNCTION("""COMPUTED_VALUE"""),"Zain")</f>
        <v>Zain</v>
      </c>
      <c r="C113" t="str">
        <f ca="1">IFERROR(__xludf.DUMMYFUNCTION("""COMPUTED_VALUE"""),"Arianto@gmailx.com")</f>
        <v>Arianto@gmailx.com</v>
      </c>
      <c r="D113" t="str">
        <f ca="1">IFERROR(__xludf.DUMMYFUNCTION("""COMPUTED_VALUE"""),"Jakarta Utara")</f>
        <v>Jakarta Utara</v>
      </c>
      <c r="E113" s="12">
        <f ca="1">IFERROR(__xludf.DUMMYFUNCTION("""COMPUTED_VALUE"""),43360)</f>
        <v>43360</v>
      </c>
      <c r="F113" t="str">
        <f ca="1">IFERROR(__xludf.DUMMYFUNCTION("""COMPUTED_VALUE"""),"KP0625AF")</f>
        <v>KP0625AF</v>
      </c>
      <c r="G113" s="11">
        <f ca="1">IFERROR(__xludf.DUMMYFUNCTION("""COMPUTED_VALUE"""),60000000)</f>
        <v>60000000</v>
      </c>
      <c r="H113">
        <f ca="1">IFERROR(__xludf.DUMMYFUNCTION("""COMPUTED_VALUE"""),36274)</f>
        <v>36274</v>
      </c>
      <c r="I113">
        <f ca="1">IFERROR(__xludf.DUMMYFUNCTION("""COMPUTED_VALUE"""),5)</f>
        <v>5</v>
      </c>
      <c r="J113" t="str">
        <f ca="1">IFERROR(__xludf.DUMMYFUNCTION("""COMPUTED_VALUE"""),"N/A")</f>
        <v>N/A</v>
      </c>
      <c r="K113" t="str">
        <f ca="1">IFERROR(__xludf.DUMMYFUNCTION("""COMPUTED_VALUE"""),"Pru Logistic")</f>
        <v>Pru Logistic</v>
      </c>
      <c r="L113" t="str">
        <f ca="1">IFERROR(__xludf.DUMMYFUNCTION("""COMPUTED_VALUE"""),"Y")</f>
        <v>Y</v>
      </c>
      <c r="M113" t="str">
        <f ca="1">IFERROR(__xludf.DUMMYFUNCTION("""COMPUTED_VALUE"""),"Ps-333")</f>
        <v>Ps-333</v>
      </c>
    </row>
    <row r="114" spans="1:13" ht="12.5" x14ac:dyDescent="0.25">
      <c r="A114" t="str">
        <f ca="1">IFERROR(__xludf.DUMMYFUNCTION("""COMPUTED_VALUE"""),"Rudi")</f>
        <v>Rudi</v>
      </c>
      <c r="B114" t="str">
        <f ca="1">IFERROR(__xludf.DUMMYFUNCTION("""COMPUTED_VALUE"""),"Wiria")</f>
        <v>Wiria</v>
      </c>
      <c r="C114" t="str">
        <f ca="1">IFERROR(__xludf.DUMMYFUNCTION("""COMPUTED_VALUE"""),"Rudi@rocketmailx.com")</f>
        <v>Rudi@rocketmailx.com</v>
      </c>
      <c r="D114" t="str">
        <f ca="1">IFERROR(__xludf.DUMMYFUNCTION("""COMPUTED_VALUE"""),"Blitar")</f>
        <v>Blitar</v>
      </c>
      <c r="E114" s="12">
        <f ca="1">IFERROR(__xludf.DUMMYFUNCTION("""COMPUTED_VALUE"""),43358)</f>
        <v>43358</v>
      </c>
      <c r="F114" t="str">
        <f ca="1">IFERROR(__xludf.DUMMYFUNCTION("""COMPUTED_VALUE"""),"KP0225BB")</f>
        <v>KP0225BB</v>
      </c>
      <c r="G114" s="11">
        <f ca="1">IFERROR(__xludf.DUMMYFUNCTION("""COMPUTED_VALUE"""),90000000)</f>
        <v>90000000</v>
      </c>
      <c r="H114">
        <f ca="1">IFERROR(__xludf.DUMMYFUNCTION("""COMPUTED_VALUE"""),36570)</f>
        <v>36570</v>
      </c>
      <c r="I114">
        <f ca="1">IFERROR(__xludf.DUMMYFUNCTION("""COMPUTED_VALUE"""),9)</f>
        <v>9</v>
      </c>
      <c r="J114" t="str">
        <f ca="1">IFERROR(__xludf.DUMMYFUNCTION("""COMPUTED_VALUE"""),"N/A")</f>
        <v>N/A</v>
      </c>
      <c r="K114" t="str">
        <f ca="1">IFERROR(__xludf.DUMMYFUNCTION("""COMPUTED_VALUE"""),"Pru Logistic")</f>
        <v>Pru Logistic</v>
      </c>
      <c r="L114" t="str">
        <f ca="1">IFERROR(__xludf.DUMMYFUNCTION("""COMPUTED_VALUE"""),"N")</f>
        <v>N</v>
      </c>
      <c r="M114" t="str">
        <f ca="1">IFERROR(__xludf.DUMMYFUNCTION("""COMPUTED_VALUE"""),"Ab-123")</f>
        <v>Ab-123</v>
      </c>
    </row>
    <row r="115" spans="1:13" ht="12.5" x14ac:dyDescent="0.25">
      <c r="A115" t="str">
        <f ca="1">IFERROR(__xludf.DUMMYFUNCTION("""COMPUTED_VALUE"""),"Piong")</f>
        <v>Piong</v>
      </c>
      <c r="B115" t="str">
        <f ca="1">IFERROR(__xludf.DUMMYFUNCTION("""COMPUTED_VALUE"""),"Lisangan")</f>
        <v>Lisangan</v>
      </c>
      <c r="C115" t="str">
        <f ca="1">IFERROR(__xludf.DUMMYFUNCTION("""COMPUTED_VALUE"""),"Piong@mex.com")</f>
        <v>Piong@mex.com</v>
      </c>
      <c r="D115" t="str">
        <f ca="1">IFERROR(__xludf.DUMMYFUNCTION("""COMPUTED_VALUE"""),"Batu")</f>
        <v>Batu</v>
      </c>
      <c r="E115" s="12">
        <f ca="1">IFERROR(__xludf.DUMMYFUNCTION("""COMPUTED_VALUE"""),43356)</f>
        <v>43356</v>
      </c>
      <c r="F115" t="str">
        <f ca="1">IFERROR(__xludf.DUMMYFUNCTION("""COMPUTED_VALUE"""),"KP0850FB")</f>
        <v>KP0850FB</v>
      </c>
      <c r="G115" s="11">
        <f ca="1">IFERROR(__xludf.DUMMYFUNCTION("""COMPUTED_VALUE"""),126000000)</f>
        <v>126000000</v>
      </c>
      <c r="H115">
        <f ca="1">IFERROR(__xludf.DUMMYFUNCTION("""COMPUTED_VALUE"""),35185)</f>
        <v>35185</v>
      </c>
      <c r="I115">
        <f ca="1">IFERROR(__xludf.DUMMYFUNCTION("""COMPUTED_VALUE"""),6)</f>
        <v>6</v>
      </c>
      <c r="J115">
        <f ca="1">IFERROR(__xludf.DUMMYFUNCTION("""COMPUTED_VALUE"""),4)</f>
        <v>4</v>
      </c>
      <c r="K115" t="str">
        <f ca="1">IFERROR(__xludf.DUMMYFUNCTION("""COMPUTED_VALUE"""),"Cepat Kirim")</f>
        <v>Cepat Kirim</v>
      </c>
      <c r="L115" t="str">
        <f ca="1">IFERROR(__xludf.DUMMYFUNCTION("""COMPUTED_VALUE"""),"N")</f>
        <v>N</v>
      </c>
      <c r="M115" t="str">
        <f ca="1">IFERROR(__xludf.DUMMYFUNCTION("""COMPUTED_VALUE"""),"Se-123")</f>
        <v>Se-123</v>
      </c>
    </row>
    <row r="116" spans="1:13" ht="12.5" x14ac:dyDescent="0.25">
      <c r="A116" t="str">
        <f ca="1">IFERROR(__xludf.DUMMYFUNCTION("""COMPUTED_VALUE"""),"Iwan")</f>
        <v>Iwan</v>
      </c>
      <c r="B116" t="str">
        <f ca="1">IFERROR(__xludf.DUMMYFUNCTION("""COMPUTED_VALUE"""),"Sim")</f>
        <v>Sim</v>
      </c>
      <c r="C116" t="str">
        <f ca="1">IFERROR(__xludf.DUMMYFUNCTION("""COMPUTED_VALUE"""),"Iwan@ymailx.com")</f>
        <v>Iwan@ymailx.com</v>
      </c>
      <c r="D116" t="str">
        <f ca="1">IFERROR(__xludf.DUMMYFUNCTION("""COMPUTED_VALUE"""),"Bontang")</f>
        <v>Bontang</v>
      </c>
      <c r="E116" s="12">
        <f ca="1">IFERROR(__xludf.DUMMYFUNCTION("""COMPUTED_VALUE"""),43356)</f>
        <v>43356</v>
      </c>
      <c r="F116" t="str">
        <f ca="1">IFERROR(__xludf.DUMMYFUNCTION("""COMPUTED_VALUE"""),"KP0850FB")</f>
        <v>KP0850FB</v>
      </c>
      <c r="G116" s="11">
        <f ca="1">IFERROR(__xludf.DUMMYFUNCTION("""COMPUTED_VALUE"""),84000000)</f>
        <v>84000000</v>
      </c>
      <c r="H116">
        <f ca="1">IFERROR(__xludf.DUMMYFUNCTION("""COMPUTED_VALUE"""),36496)</f>
        <v>36496</v>
      </c>
      <c r="I116">
        <f ca="1">IFERROR(__xludf.DUMMYFUNCTION("""COMPUTED_VALUE"""),4)</f>
        <v>4</v>
      </c>
      <c r="J116" t="str">
        <f ca="1">IFERROR(__xludf.DUMMYFUNCTION("""COMPUTED_VALUE"""),"N/A")</f>
        <v>N/A</v>
      </c>
      <c r="K116" t="str">
        <f ca="1">IFERROR(__xludf.DUMMYFUNCTION("""COMPUTED_VALUE"""),"Wakanda Express")</f>
        <v>Wakanda Express</v>
      </c>
      <c r="L116" t="str">
        <f ca="1">IFERROR(__xludf.DUMMYFUNCTION("""COMPUTED_VALUE"""),"Y")</f>
        <v>Y</v>
      </c>
      <c r="M116" t="str">
        <f ca="1">IFERROR(__xludf.DUMMYFUNCTION("""COMPUTED_VALUE"""),"Ft-993")</f>
        <v>Ft-993</v>
      </c>
    </row>
    <row r="117" spans="1:13" ht="12.5" x14ac:dyDescent="0.25">
      <c r="A117" t="str">
        <f ca="1">IFERROR(__xludf.DUMMYFUNCTION("""COMPUTED_VALUE"""),"Ernitha")</f>
        <v>Ernitha</v>
      </c>
      <c r="B117" t="str">
        <f ca="1">IFERROR(__xludf.DUMMYFUNCTION("""COMPUTED_VALUE"""),"Edhie")</f>
        <v>Edhie</v>
      </c>
      <c r="C117" t="str">
        <f ca="1">IFERROR(__xludf.DUMMYFUNCTION("""COMPUTED_VALUE"""),"EDHIE@livex.com")</f>
        <v>EDHIE@livex.com</v>
      </c>
      <c r="D117" t="str">
        <f ca="1">IFERROR(__xludf.DUMMYFUNCTION("""COMPUTED_VALUE"""),"Ambon")</f>
        <v>Ambon</v>
      </c>
      <c r="E117" s="12">
        <f ca="1">IFERROR(__xludf.DUMMYFUNCTION("""COMPUTED_VALUE"""),43443)</f>
        <v>43443</v>
      </c>
      <c r="F117" t="str">
        <f ca="1">IFERROR(__xludf.DUMMYFUNCTION("""COMPUTED_VALUE"""),"KP0150BH")</f>
        <v>KP0150BH</v>
      </c>
      <c r="G117" s="11">
        <f ca="1">IFERROR(__xludf.DUMMYFUNCTION("""COMPUTED_VALUE"""),81000000)</f>
        <v>81000000</v>
      </c>
      <c r="H117">
        <f ca="1">IFERROR(__xludf.DUMMYFUNCTION("""COMPUTED_VALUE"""),36663)</f>
        <v>36663</v>
      </c>
      <c r="I117">
        <f ca="1">IFERROR(__xludf.DUMMYFUNCTION("""COMPUTED_VALUE"""),3)</f>
        <v>3</v>
      </c>
      <c r="J117" t="str">
        <f ca="1">IFERROR(__xludf.DUMMYFUNCTION("""COMPUTED_VALUE"""),"N/A")</f>
        <v>N/A</v>
      </c>
      <c r="K117" t="str">
        <f ca="1">IFERROR(__xludf.DUMMYFUNCTION("""COMPUTED_VALUE"""),"JENT")</f>
        <v>JENT</v>
      </c>
      <c r="L117" t="str">
        <f ca="1">IFERROR(__xludf.DUMMYFUNCTION("""COMPUTED_VALUE"""),"Y")</f>
        <v>Y</v>
      </c>
      <c r="M117" t="str">
        <f ca="1">IFERROR(__xludf.DUMMYFUNCTION("""COMPUTED_VALUE"""),"Ui-171")</f>
        <v>Ui-171</v>
      </c>
    </row>
    <row r="118" spans="1:13" ht="12.5" x14ac:dyDescent="0.25">
      <c r="A118" t="str">
        <f ca="1">IFERROR(__xludf.DUMMYFUNCTION("""COMPUTED_VALUE"""),"Sanyo")</f>
        <v>Sanyo</v>
      </c>
      <c r="B118" t="str">
        <f ca="1">IFERROR(__xludf.DUMMYFUNCTION("""COMPUTED_VALUE"""),"Wen")</f>
        <v>Wen</v>
      </c>
      <c r="C118" t="str">
        <f ca="1">IFERROR(__xludf.DUMMYFUNCTION("""COMPUTED_VALUE"""),"Sanyo@livex.com")</f>
        <v>Sanyo@livex.com</v>
      </c>
      <c r="D118" t="str">
        <f ca="1">IFERROR(__xludf.DUMMYFUNCTION("""COMPUTED_VALUE"""),"Tebingtinggi")</f>
        <v>Tebingtinggi</v>
      </c>
      <c r="E118" s="12">
        <f ca="1">IFERROR(__xludf.DUMMYFUNCTION("""COMPUTED_VALUE"""),43382)</f>
        <v>43382</v>
      </c>
      <c r="F118" t="str">
        <f ca="1">IFERROR(__xludf.DUMMYFUNCTION("""COMPUTED_VALUE"""),"KP0350CF")</f>
        <v>KP0350CF</v>
      </c>
      <c r="G118" s="11">
        <f ca="1">IFERROR(__xludf.DUMMYFUNCTION("""COMPUTED_VALUE"""),245000000)</f>
        <v>245000000</v>
      </c>
      <c r="H118">
        <f ca="1">IFERROR(__xludf.DUMMYFUNCTION("""COMPUTED_VALUE"""),35038)</f>
        <v>35038</v>
      </c>
      <c r="I118">
        <f ca="1">IFERROR(__xludf.DUMMYFUNCTION("""COMPUTED_VALUE"""),7)</f>
        <v>7</v>
      </c>
      <c r="J118" t="str">
        <f ca="1">IFERROR(__xludf.DUMMYFUNCTION("""COMPUTED_VALUE"""),"N/A")</f>
        <v>N/A</v>
      </c>
      <c r="K118" t="str">
        <f ca="1">IFERROR(__xludf.DUMMYFUNCTION("""COMPUTED_VALUE"""),"Cepat Kirim")</f>
        <v>Cepat Kirim</v>
      </c>
      <c r="L118" t="str">
        <f ca="1">IFERROR(__xludf.DUMMYFUNCTION("""COMPUTED_VALUE"""),"N")</f>
        <v>N</v>
      </c>
      <c r="M118" t="str">
        <f ca="1">IFERROR(__xludf.DUMMYFUNCTION("""COMPUTED_VALUE"""),"Tu-662")</f>
        <v>Tu-662</v>
      </c>
    </row>
    <row r="119" spans="1:13" ht="12.5" x14ac:dyDescent="0.25">
      <c r="A119" t="str">
        <f ca="1">IFERROR(__xludf.DUMMYFUNCTION("""COMPUTED_VALUE"""),"Asia")</f>
        <v>Asia</v>
      </c>
      <c r="B119" t="str">
        <f ca="1">IFERROR(__xludf.DUMMYFUNCTION("""COMPUTED_VALUE"""),"Susanto")</f>
        <v>Susanto</v>
      </c>
      <c r="C119" t="str">
        <f ca="1">IFERROR(__xludf.DUMMYFUNCTION("""COMPUTED_VALUE"""),"Susanto@gmailx.com")</f>
        <v>Susanto@gmailx.com</v>
      </c>
      <c r="D119" t="str">
        <f ca="1">IFERROR(__xludf.DUMMYFUNCTION("""COMPUTED_VALUE"""),"Madiun")</f>
        <v>Madiun</v>
      </c>
      <c r="E119" s="12">
        <f ca="1">IFERROR(__xludf.DUMMYFUNCTION("""COMPUTED_VALUE"""),43382)</f>
        <v>43382</v>
      </c>
      <c r="F119" t="str">
        <f ca="1">IFERROR(__xludf.DUMMYFUNCTION("""COMPUTED_VALUE"""),"KP0925SG")</f>
        <v>KP0925SG</v>
      </c>
      <c r="G119" s="11">
        <f ca="1">IFERROR(__xludf.DUMMYFUNCTION("""COMPUTED_VALUE"""),75000000)</f>
        <v>75000000</v>
      </c>
      <c r="H119">
        <f ca="1">IFERROR(__xludf.DUMMYFUNCTION("""COMPUTED_VALUE"""),35993)</f>
        <v>35993</v>
      </c>
      <c r="I119">
        <f ca="1">IFERROR(__xludf.DUMMYFUNCTION("""COMPUTED_VALUE"""),5)</f>
        <v>5</v>
      </c>
      <c r="J119" t="str">
        <f ca="1">IFERROR(__xludf.DUMMYFUNCTION("""COMPUTED_VALUE"""),"N/A")</f>
        <v>N/A</v>
      </c>
      <c r="K119" t="str">
        <f ca="1">IFERROR(__xludf.DUMMYFUNCTION("""COMPUTED_VALUE"""),"Wakanda Express")</f>
        <v>Wakanda Express</v>
      </c>
      <c r="L119" t="str">
        <f ca="1">IFERROR(__xludf.DUMMYFUNCTION("""COMPUTED_VALUE"""),"Y")</f>
        <v>Y</v>
      </c>
      <c r="M119" t="str">
        <f ca="1">IFERROR(__xludf.DUMMYFUNCTION("""COMPUTED_VALUE"""),"Th-123")</f>
        <v>Th-123</v>
      </c>
    </row>
    <row r="120" spans="1:13" ht="12.5" x14ac:dyDescent="0.25">
      <c r="A120" t="str">
        <f ca="1">IFERROR(__xludf.DUMMYFUNCTION("""COMPUTED_VALUE"""),"Sugianto")</f>
        <v>Sugianto</v>
      </c>
      <c r="B120" t="str">
        <f ca="1">IFERROR(__xludf.DUMMYFUNCTION("""COMPUTED_VALUE"""),"Mas")</f>
        <v>Mas</v>
      </c>
      <c r="C120" t="str">
        <f ca="1">IFERROR(__xludf.DUMMYFUNCTION("""COMPUTED_VALUE"""),"Mas@gmailx.com")</f>
        <v>Mas@gmailx.com</v>
      </c>
      <c r="D120" t="str">
        <f ca="1">IFERROR(__xludf.DUMMYFUNCTION("""COMPUTED_VALUE"""),"Banjar")</f>
        <v>Banjar</v>
      </c>
      <c r="E120" s="12">
        <f ca="1">IFERROR(__xludf.DUMMYFUNCTION("""COMPUTED_VALUE"""),43352)</f>
        <v>43352</v>
      </c>
      <c r="F120" t="str">
        <f ca="1">IFERROR(__xludf.DUMMYFUNCTION("""COMPUTED_VALUE"""),"KP0750AJ")</f>
        <v>KP0750AJ</v>
      </c>
      <c r="G120" s="11">
        <f ca="1">IFERROR(__xludf.DUMMYFUNCTION("""COMPUTED_VALUE"""),72000000)</f>
        <v>72000000</v>
      </c>
      <c r="H120">
        <f ca="1">IFERROR(__xludf.DUMMYFUNCTION("""COMPUTED_VALUE"""),36031)</f>
        <v>36031</v>
      </c>
      <c r="I120">
        <f ca="1">IFERROR(__xludf.DUMMYFUNCTION("""COMPUTED_VALUE"""),4)</f>
        <v>4</v>
      </c>
      <c r="J120" t="str">
        <f ca="1">IFERROR(__xludf.DUMMYFUNCTION("""COMPUTED_VALUE"""),"N/A")</f>
        <v>N/A</v>
      </c>
      <c r="K120" t="str">
        <f ca="1">IFERROR(__xludf.DUMMYFUNCTION("""COMPUTED_VALUE"""),"JENT")</f>
        <v>JENT</v>
      </c>
      <c r="L120" t="str">
        <f ca="1">IFERROR(__xludf.DUMMYFUNCTION("""COMPUTED_VALUE"""),"N")</f>
        <v>N</v>
      </c>
      <c r="M120" t="str">
        <f ca="1">IFERROR(__xludf.DUMMYFUNCTION("""COMPUTED_VALUE"""),"Xb-409")</f>
        <v>Xb-409</v>
      </c>
    </row>
    <row r="121" spans="1:13" ht="12.5" x14ac:dyDescent="0.25">
      <c r="A121" t="str">
        <f ca="1">IFERROR(__xludf.DUMMYFUNCTION("""COMPUTED_VALUE"""),"Belinda")</f>
        <v>Belinda</v>
      </c>
      <c r="B121" t="str">
        <f ca="1">IFERROR(__xludf.DUMMYFUNCTION("""COMPUTED_VALUE"""),"Sofyan")</f>
        <v>Sofyan</v>
      </c>
      <c r="C121" t="str">
        <f ca="1">IFERROR(__xludf.DUMMYFUNCTION("""COMPUTED_VALUE"""),"Sofyan@ymailx.com")</f>
        <v>Sofyan@ymailx.com</v>
      </c>
      <c r="D121" t="str">
        <f ca="1">IFERROR(__xludf.DUMMYFUNCTION("""COMPUTED_VALUE"""),"Lubuklinggau")</f>
        <v>Lubuklinggau</v>
      </c>
      <c r="E121" s="12">
        <f ca="1">IFERROR(__xludf.DUMMYFUNCTION("""COMPUTED_VALUE"""),43321)</f>
        <v>43321</v>
      </c>
      <c r="F121" t="str">
        <f ca="1">IFERROR(__xludf.DUMMYFUNCTION("""COMPUTED_VALUE"""),"KP0425CB")</f>
        <v>KP0425CB</v>
      </c>
      <c r="G121" s="11">
        <f ca="1">IFERROR(__xludf.DUMMYFUNCTION("""COMPUTED_VALUE"""),245250000)</f>
        <v>245250000</v>
      </c>
      <c r="H121">
        <f ca="1">IFERROR(__xludf.DUMMYFUNCTION("""COMPUTED_VALUE"""),35483)</f>
        <v>35483</v>
      </c>
      <c r="I121">
        <f ca="1">IFERROR(__xludf.DUMMYFUNCTION("""COMPUTED_VALUE"""),9)</f>
        <v>9</v>
      </c>
      <c r="J121">
        <f ca="1">IFERROR(__xludf.DUMMYFUNCTION("""COMPUTED_VALUE"""),2)</f>
        <v>2</v>
      </c>
      <c r="K121" t="str">
        <f ca="1">IFERROR(__xludf.DUMMYFUNCTION("""COMPUTED_VALUE"""),"JENT")</f>
        <v>JENT</v>
      </c>
      <c r="L121" t="str">
        <f ca="1">IFERROR(__xludf.DUMMYFUNCTION("""COMPUTED_VALUE"""),"Y")</f>
        <v>Y</v>
      </c>
      <c r="M121" t="str">
        <f ca="1">IFERROR(__xludf.DUMMYFUNCTION("""COMPUTED_VALUE"""),"Ch-661")</f>
        <v>Ch-661</v>
      </c>
    </row>
    <row r="122" spans="1:13" ht="12.5" x14ac:dyDescent="0.25">
      <c r="A122" t="str">
        <f ca="1">IFERROR(__xludf.DUMMYFUNCTION("""COMPUTED_VALUE"""),"Fadjar")</f>
        <v>Fadjar</v>
      </c>
      <c r="B122" t="str">
        <f ca="1">IFERROR(__xludf.DUMMYFUNCTION("""COMPUTED_VALUE"""),"Sung")</f>
        <v>Sung</v>
      </c>
      <c r="C122" t="str">
        <f ca="1">IFERROR(__xludf.DUMMYFUNCTION("""COMPUTED_VALUE"""),"Sung@outlookx.com")</f>
        <v>Sung@outlookx.com</v>
      </c>
      <c r="D122" t="str">
        <f ca="1">IFERROR(__xludf.DUMMYFUNCTION("""COMPUTED_VALUE"""),"Semarang")</f>
        <v>Semarang</v>
      </c>
      <c r="E122" s="12">
        <f ca="1">IFERROR(__xludf.DUMMYFUNCTION("""COMPUTED_VALUE"""),43199)</f>
        <v>43199</v>
      </c>
      <c r="F122" t="str">
        <f ca="1">IFERROR(__xludf.DUMMYFUNCTION("""COMPUTED_VALUE"""),"KP0925SG")</f>
        <v>KP0925SG</v>
      </c>
      <c r="G122" s="11">
        <f ca="1">IFERROR(__xludf.DUMMYFUNCTION("""COMPUTED_VALUE"""),75000000)</f>
        <v>75000000</v>
      </c>
      <c r="H122">
        <f ca="1">IFERROR(__xludf.DUMMYFUNCTION("""COMPUTED_VALUE"""),35231)</f>
        <v>35231</v>
      </c>
      <c r="I122">
        <f ca="1">IFERROR(__xludf.DUMMYFUNCTION("""COMPUTED_VALUE"""),5)</f>
        <v>5</v>
      </c>
      <c r="J122">
        <f ca="1">IFERROR(__xludf.DUMMYFUNCTION("""COMPUTED_VALUE"""),3)</f>
        <v>3</v>
      </c>
      <c r="K122" t="str">
        <f ca="1">IFERROR(__xludf.DUMMYFUNCTION("""COMPUTED_VALUE"""),"Wakanda Express")</f>
        <v>Wakanda Express</v>
      </c>
      <c r="L122" t="str">
        <f ca="1">IFERROR(__xludf.DUMMYFUNCTION("""COMPUTED_VALUE"""),"Y")</f>
        <v>Y</v>
      </c>
      <c r="M122" t="str">
        <f ca="1">IFERROR(__xludf.DUMMYFUNCTION("""COMPUTED_VALUE"""),"Lp-410")</f>
        <v>Lp-410</v>
      </c>
    </row>
    <row r="123" spans="1:13" ht="12.5" x14ac:dyDescent="0.25">
      <c r="A123" t="str">
        <f ca="1">IFERROR(__xludf.DUMMYFUNCTION("""COMPUTED_VALUE"""),"Didi")</f>
        <v>Didi</v>
      </c>
      <c r="B123" t="str">
        <f ca="1">IFERROR(__xludf.DUMMYFUNCTION("""COMPUTED_VALUE"""),"Boot")</f>
        <v>Boot</v>
      </c>
      <c r="C123" t="str">
        <f ca="1">IFERROR(__xludf.DUMMYFUNCTION("""COMPUTED_VALUE"""),"Didi@ymailx.com")</f>
        <v>Didi@ymailx.com</v>
      </c>
      <c r="D123" t="str">
        <f ca="1">IFERROR(__xludf.DUMMYFUNCTION("""COMPUTED_VALUE"""),"Parepare")</f>
        <v>Parepare</v>
      </c>
      <c r="E123" s="12">
        <f ca="1">IFERROR(__xludf.DUMMYFUNCTION("""COMPUTED_VALUE"""),43168)</f>
        <v>43168</v>
      </c>
      <c r="F123" t="str">
        <f ca="1">IFERROR(__xludf.DUMMYFUNCTION("""COMPUTED_VALUE"""),"KP0225BB")</f>
        <v>KP0225BB</v>
      </c>
      <c r="G123" s="11">
        <f ca="1">IFERROR(__xludf.DUMMYFUNCTION("""COMPUTED_VALUE"""),30000000)</f>
        <v>30000000</v>
      </c>
      <c r="H123">
        <f ca="1">IFERROR(__xludf.DUMMYFUNCTION("""COMPUTED_VALUE"""),36462)</f>
        <v>36462</v>
      </c>
      <c r="I123">
        <f ca="1">IFERROR(__xludf.DUMMYFUNCTION("""COMPUTED_VALUE"""),3)</f>
        <v>3</v>
      </c>
      <c r="J123">
        <f ca="1">IFERROR(__xludf.DUMMYFUNCTION("""COMPUTED_VALUE"""),1)</f>
        <v>1</v>
      </c>
      <c r="K123" t="str">
        <f ca="1">IFERROR(__xludf.DUMMYFUNCTION("""COMPUTED_VALUE"""),"Cepat Kirim")</f>
        <v>Cepat Kirim</v>
      </c>
      <c r="L123" t="str">
        <f ca="1">IFERROR(__xludf.DUMMYFUNCTION("""COMPUTED_VALUE"""),"Y")</f>
        <v>Y</v>
      </c>
      <c r="M123" t="str">
        <f ca="1">IFERROR(__xludf.DUMMYFUNCTION("""COMPUTED_VALUE"""),"Nk-290")</f>
        <v>Nk-290</v>
      </c>
    </row>
    <row r="124" spans="1:13" ht="12.5" x14ac:dyDescent="0.25">
      <c r="A124" t="str">
        <f ca="1">IFERROR(__xludf.DUMMYFUNCTION("""COMPUTED_VALUE"""),"Ivan")</f>
        <v>Ivan</v>
      </c>
      <c r="B124" t="str">
        <f ca="1">IFERROR(__xludf.DUMMYFUNCTION("""COMPUTED_VALUE"""),"Budiarto")</f>
        <v>Budiarto</v>
      </c>
      <c r="C124" t="str">
        <f ca="1">IFERROR(__xludf.DUMMYFUNCTION("""COMPUTED_VALUE"""),"Ivan@ymailx.com")</f>
        <v>Ivan@ymailx.com</v>
      </c>
      <c r="D124" t="str">
        <f ca="1">IFERROR(__xludf.DUMMYFUNCTION("""COMPUTED_VALUE"""),"Pariaman")</f>
        <v>Pariaman</v>
      </c>
      <c r="E124" s="12">
        <f ca="1">IFERROR(__xludf.DUMMYFUNCTION("""COMPUTED_VALUE"""),43140)</f>
        <v>43140</v>
      </c>
      <c r="F124" t="str">
        <f ca="1">IFERROR(__xludf.DUMMYFUNCTION("""COMPUTED_VALUE"""),"KP0750AJ")</f>
        <v>KP0750AJ</v>
      </c>
      <c r="G124" s="11">
        <f ca="1">IFERROR(__xludf.DUMMYFUNCTION("""COMPUTED_VALUE"""),36000000)</f>
        <v>36000000</v>
      </c>
      <c r="H124">
        <f ca="1">IFERROR(__xludf.DUMMYFUNCTION("""COMPUTED_VALUE"""),36747)</f>
        <v>36747</v>
      </c>
      <c r="I124">
        <f ca="1">IFERROR(__xludf.DUMMYFUNCTION("""COMPUTED_VALUE"""),2)</f>
        <v>2</v>
      </c>
      <c r="J124">
        <f ca="1">IFERROR(__xludf.DUMMYFUNCTION("""COMPUTED_VALUE"""),2)</f>
        <v>2</v>
      </c>
      <c r="K124" t="str">
        <f ca="1">IFERROR(__xludf.DUMMYFUNCTION("""COMPUTED_VALUE"""),"Swift Delivery")</f>
        <v>Swift Delivery</v>
      </c>
      <c r="L124" t="str">
        <f ca="1">IFERROR(__xludf.DUMMYFUNCTION("""COMPUTED_VALUE"""),"Y")</f>
        <v>Y</v>
      </c>
      <c r="M124" t="str">
        <f ca="1">IFERROR(__xludf.DUMMYFUNCTION("""COMPUTED_VALUE"""),"Dl-559")</f>
        <v>Dl-559</v>
      </c>
    </row>
    <row r="125" spans="1:13" ht="12.5" x14ac:dyDescent="0.25">
      <c r="A125" t="str">
        <f ca="1">IFERROR(__xludf.DUMMYFUNCTION("""COMPUTED_VALUE"""),"Agoeng")</f>
        <v>Agoeng</v>
      </c>
      <c r="B125" t="str">
        <f ca="1">IFERROR(__xludf.DUMMYFUNCTION("""COMPUTED_VALUE"""),"Y.S.")</f>
        <v>Y.S.</v>
      </c>
      <c r="C125" t="str">
        <f ca="1">IFERROR(__xludf.DUMMYFUNCTION("""COMPUTED_VALUE"""),"Y.S.@ymailx.com")</f>
        <v>Y.S.@ymailx.com</v>
      </c>
      <c r="D125" t="str">
        <f ca="1">IFERROR(__xludf.DUMMYFUNCTION("""COMPUTED_VALUE"""),"Jayapura")</f>
        <v>Jayapura</v>
      </c>
      <c r="E125" s="12">
        <f ca="1">IFERROR(__xludf.DUMMYFUNCTION("""COMPUTED_VALUE"""),43109)</f>
        <v>43109</v>
      </c>
      <c r="F125" t="str">
        <f ca="1">IFERROR(__xludf.DUMMYFUNCTION("""COMPUTED_VALUE"""),"KP0150BH")</f>
        <v>KP0150BH</v>
      </c>
      <c r="G125" s="11">
        <f ca="1">IFERROR(__xludf.DUMMYFUNCTION("""COMPUTED_VALUE"""),189000000)</f>
        <v>189000000</v>
      </c>
      <c r="H125">
        <f ca="1">IFERROR(__xludf.DUMMYFUNCTION("""COMPUTED_VALUE"""),36430)</f>
        <v>36430</v>
      </c>
      <c r="I125">
        <f ca="1">IFERROR(__xludf.DUMMYFUNCTION("""COMPUTED_VALUE"""),7)</f>
        <v>7</v>
      </c>
      <c r="J125" t="str">
        <f ca="1">IFERROR(__xludf.DUMMYFUNCTION("""COMPUTED_VALUE"""),"N/A")</f>
        <v>N/A</v>
      </c>
      <c r="K125" t="str">
        <f ca="1">IFERROR(__xludf.DUMMYFUNCTION("""COMPUTED_VALUE"""),"JENT")</f>
        <v>JENT</v>
      </c>
      <c r="L125" t="str">
        <f ca="1">IFERROR(__xludf.DUMMYFUNCTION("""COMPUTED_VALUE"""),"Y")</f>
        <v>Y</v>
      </c>
      <c r="M125" t="str">
        <f ca="1">IFERROR(__xludf.DUMMYFUNCTION("""COMPUTED_VALUE"""),"Jm-990")</f>
        <v>Jm-990</v>
      </c>
    </row>
    <row r="126" spans="1:13" ht="12.5" x14ac:dyDescent="0.25">
      <c r="A126" t="str">
        <f ca="1">IFERROR(__xludf.DUMMYFUNCTION("""COMPUTED_VALUE"""),"Jacobus")</f>
        <v>Jacobus</v>
      </c>
      <c r="B126" t="str">
        <f ca="1">IFERROR(__xludf.DUMMYFUNCTION("""COMPUTED_VALUE"""),"Suwignjo")</f>
        <v>Suwignjo</v>
      </c>
      <c r="C126" t="str">
        <f ca="1">IFERROR(__xludf.DUMMYFUNCTION("""COMPUTED_VALUE"""),"Jacobus@gmailx.com")</f>
        <v>Jacobus@gmailx.com</v>
      </c>
      <c r="D126" t="str">
        <f ca="1">IFERROR(__xludf.DUMMYFUNCTION("""COMPUTED_VALUE"""),"Tidore Kepulauan")</f>
        <v>Tidore Kepulauan</v>
      </c>
      <c r="E126" s="12">
        <f ca="1">IFERROR(__xludf.DUMMYFUNCTION("""COMPUTED_VALUE"""),43338)</f>
        <v>43338</v>
      </c>
      <c r="F126" t="str">
        <f ca="1">IFERROR(__xludf.DUMMYFUNCTION("""COMPUTED_VALUE"""),"KP0750AJ")</f>
        <v>KP0750AJ</v>
      </c>
      <c r="G126" s="11">
        <f ca="1">IFERROR(__xludf.DUMMYFUNCTION("""COMPUTED_VALUE"""),180000000)</f>
        <v>180000000</v>
      </c>
      <c r="H126">
        <f ca="1">IFERROR(__xludf.DUMMYFUNCTION("""COMPUTED_VALUE"""),36951)</f>
        <v>36951</v>
      </c>
      <c r="I126">
        <f ca="1">IFERROR(__xludf.DUMMYFUNCTION("""COMPUTED_VALUE"""),10)</f>
        <v>10</v>
      </c>
      <c r="J126">
        <f ca="1">IFERROR(__xludf.DUMMYFUNCTION("""COMPUTED_VALUE"""),4)</f>
        <v>4</v>
      </c>
      <c r="K126" t="str">
        <f ca="1">IFERROR(__xludf.DUMMYFUNCTION("""COMPUTED_VALUE"""),"Cepat Kirim")</f>
        <v>Cepat Kirim</v>
      </c>
      <c r="L126" t="str">
        <f ca="1">IFERROR(__xludf.DUMMYFUNCTION("""COMPUTED_VALUE"""),"Y")</f>
        <v>Y</v>
      </c>
      <c r="M126" t="str">
        <f ca="1">IFERROR(__xludf.DUMMYFUNCTION("""COMPUTED_VALUE"""),"Fr-160")</f>
        <v>Fr-160</v>
      </c>
    </row>
    <row r="127" spans="1:13" ht="12.5" x14ac:dyDescent="0.25">
      <c r="A127" t="str">
        <f ca="1">IFERROR(__xludf.DUMMYFUNCTION("""COMPUTED_VALUE"""),"Juwita")</f>
        <v>Juwita</v>
      </c>
      <c r="B127" t="str">
        <f ca="1">IFERROR(__xludf.DUMMYFUNCTION("""COMPUTED_VALUE"""),"Achmad")</f>
        <v>Achmad</v>
      </c>
      <c r="C127" t="str">
        <f ca="1">IFERROR(__xludf.DUMMYFUNCTION("""COMPUTED_VALUE"""),"Juwita@gmailx.com")</f>
        <v>Juwita@gmailx.com</v>
      </c>
      <c r="D127" t="str">
        <f ca="1">IFERROR(__xludf.DUMMYFUNCTION("""COMPUTED_VALUE"""),"Bengkulu")</f>
        <v>Bengkulu</v>
      </c>
      <c r="E127" s="12">
        <f ca="1">IFERROR(__xludf.DUMMYFUNCTION("""COMPUTED_VALUE"""),43337)</f>
        <v>43337</v>
      </c>
      <c r="F127" t="str">
        <f ca="1">IFERROR(__xludf.DUMMYFUNCTION("""COMPUTED_VALUE"""),"KP0925SG")</f>
        <v>KP0925SG</v>
      </c>
      <c r="G127" s="11">
        <f ca="1">IFERROR(__xludf.DUMMYFUNCTION("""COMPUTED_VALUE"""),60000000)</f>
        <v>60000000</v>
      </c>
      <c r="H127">
        <f ca="1">IFERROR(__xludf.DUMMYFUNCTION("""COMPUTED_VALUE"""),36194)</f>
        <v>36194</v>
      </c>
      <c r="I127">
        <f ca="1">IFERROR(__xludf.DUMMYFUNCTION("""COMPUTED_VALUE"""),4)</f>
        <v>4</v>
      </c>
      <c r="J127">
        <f ca="1">IFERROR(__xludf.DUMMYFUNCTION("""COMPUTED_VALUE"""),5)</f>
        <v>5</v>
      </c>
      <c r="K127" t="str">
        <f ca="1">IFERROR(__xludf.DUMMYFUNCTION("""COMPUTED_VALUE"""),"JENT")</f>
        <v>JENT</v>
      </c>
      <c r="L127" t="str">
        <f ca="1">IFERROR(__xludf.DUMMYFUNCTION("""COMPUTED_VALUE"""),"Y")</f>
        <v>Y</v>
      </c>
      <c r="M127" t="str">
        <f ca="1">IFERROR(__xludf.DUMMYFUNCTION("""COMPUTED_VALUE"""),"Jv-300")</f>
        <v>Jv-300</v>
      </c>
    </row>
    <row r="128" spans="1:13" ht="12.5" x14ac:dyDescent="0.25">
      <c r="A128" t="str">
        <f ca="1">IFERROR(__xludf.DUMMYFUNCTION("""COMPUTED_VALUE"""),"Freddyanto")</f>
        <v>Freddyanto</v>
      </c>
      <c r="B128" t="str">
        <f ca="1">IFERROR(__xludf.DUMMYFUNCTION("""COMPUTED_VALUE"""),"Ang")</f>
        <v>Ang</v>
      </c>
      <c r="C128" t="str">
        <f ca="1">IFERROR(__xludf.DUMMYFUNCTION("""COMPUTED_VALUE"""),"Freddyanto@livex.com")</f>
        <v>Freddyanto@livex.com</v>
      </c>
      <c r="D128" t="str">
        <f ca="1">IFERROR(__xludf.DUMMYFUNCTION("""COMPUTED_VALUE"""),"Payakumbuh")</f>
        <v>Payakumbuh</v>
      </c>
      <c r="E128" s="12">
        <f ca="1">IFERROR(__xludf.DUMMYFUNCTION("""COMPUTED_VALUE"""),43334)</f>
        <v>43334</v>
      </c>
      <c r="F128" t="str">
        <f ca="1">IFERROR(__xludf.DUMMYFUNCTION("""COMPUTED_VALUE"""),"KP0150BH")</f>
        <v>KP0150BH</v>
      </c>
      <c r="G128" s="11">
        <f ca="1">IFERROR(__xludf.DUMMYFUNCTION("""COMPUTED_VALUE"""),54000000)</f>
        <v>54000000</v>
      </c>
      <c r="H128">
        <f ca="1">IFERROR(__xludf.DUMMYFUNCTION("""COMPUTED_VALUE"""),36160)</f>
        <v>36160</v>
      </c>
      <c r="I128">
        <f ca="1">IFERROR(__xludf.DUMMYFUNCTION("""COMPUTED_VALUE"""),2)</f>
        <v>2</v>
      </c>
      <c r="J128">
        <f ca="1">IFERROR(__xludf.DUMMYFUNCTION("""COMPUTED_VALUE"""),4)</f>
        <v>4</v>
      </c>
      <c r="K128" t="str">
        <f ca="1">IFERROR(__xludf.DUMMYFUNCTION("""COMPUTED_VALUE"""),"JENT")</f>
        <v>JENT</v>
      </c>
      <c r="L128" t="str">
        <f ca="1">IFERROR(__xludf.DUMMYFUNCTION("""COMPUTED_VALUE"""),"Y")</f>
        <v>Y</v>
      </c>
      <c r="M128" t="str">
        <f ca="1">IFERROR(__xludf.DUMMYFUNCTION("""COMPUTED_VALUE"""),"Pk-559")</f>
        <v>Pk-559</v>
      </c>
    </row>
    <row r="129" spans="1:13" ht="12.5" x14ac:dyDescent="0.25">
      <c r="A129" t="str">
        <f ca="1">IFERROR(__xludf.DUMMYFUNCTION("""COMPUTED_VALUE"""),"Ameesh")</f>
        <v>Ameesh</v>
      </c>
      <c r="B129" t="str">
        <f ca="1">IFERROR(__xludf.DUMMYFUNCTION("""COMPUTED_VALUE"""),"Pacific")</f>
        <v>Pacific</v>
      </c>
      <c r="C129" t="str">
        <f ca="1">IFERROR(__xludf.DUMMYFUNCTION("""COMPUTED_VALUE"""),"Ameesh@livex.com")</f>
        <v>Ameesh@livex.com</v>
      </c>
      <c r="D129" t="str">
        <f ca="1">IFERROR(__xludf.DUMMYFUNCTION("""COMPUTED_VALUE"""),"Padang")</f>
        <v>Padang</v>
      </c>
      <c r="E129" s="12">
        <f ca="1">IFERROR(__xludf.DUMMYFUNCTION("""COMPUTED_VALUE"""),43334)</f>
        <v>43334</v>
      </c>
      <c r="F129" t="str">
        <f ca="1">IFERROR(__xludf.DUMMYFUNCTION("""COMPUTED_VALUE"""),"KP0425CB")</f>
        <v>KP0425CB</v>
      </c>
      <c r="G129" s="11">
        <f ca="1">IFERROR(__xludf.DUMMYFUNCTION("""COMPUTED_VALUE"""),163500000)</f>
        <v>163500000</v>
      </c>
      <c r="H129">
        <f ca="1">IFERROR(__xludf.DUMMYFUNCTION("""COMPUTED_VALUE"""),35856)</f>
        <v>35856</v>
      </c>
      <c r="I129">
        <f ca="1">IFERROR(__xludf.DUMMYFUNCTION("""COMPUTED_VALUE"""),6)</f>
        <v>6</v>
      </c>
      <c r="J129" t="str">
        <f ca="1">IFERROR(__xludf.DUMMYFUNCTION("""COMPUTED_VALUE"""),"N/A")</f>
        <v>N/A</v>
      </c>
      <c r="K129" t="str">
        <f ca="1">IFERROR(__xludf.DUMMYFUNCTION("""COMPUTED_VALUE"""),"JENT")</f>
        <v>JENT</v>
      </c>
      <c r="L129" t="str">
        <f ca="1">IFERROR(__xludf.DUMMYFUNCTION("""COMPUTED_VALUE"""),"Y")</f>
        <v>Y</v>
      </c>
      <c r="M129" t="str">
        <f ca="1">IFERROR(__xludf.DUMMYFUNCTION("""COMPUTED_VALUE"""),"Bz-559")</f>
        <v>Bz-559</v>
      </c>
    </row>
    <row r="130" spans="1:13" ht="12.5" x14ac:dyDescent="0.25">
      <c r="A130" t="str">
        <f ca="1">IFERROR(__xludf.DUMMYFUNCTION("""COMPUTED_VALUE"""),"Aluinanto")</f>
        <v>Aluinanto</v>
      </c>
      <c r="B130" t="str">
        <f ca="1">IFERROR(__xludf.DUMMYFUNCTION("""COMPUTED_VALUE"""),"Pribadi")</f>
        <v>Pribadi</v>
      </c>
      <c r="C130" t="str">
        <f ca="1">IFERROR(__xludf.DUMMYFUNCTION("""COMPUTED_VALUE"""),"Aluinanto@ymailx.com")</f>
        <v>Aluinanto@ymailx.com</v>
      </c>
      <c r="D130" t="str">
        <f ca="1">IFERROR(__xludf.DUMMYFUNCTION("""COMPUTED_VALUE"""),"Banda Aceh")</f>
        <v>Banda Aceh</v>
      </c>
      <c r="E130" s="12">
        <f ca="1">IFERROR(__xludf.DUMMYFUNCTION("""COMPUTED_VALUE"""),43333)</f>
        <v>43333</v>
      </c>
      <c r="F130" t="str">
        <f ca="1">IFERROR(__xludf.DUMMYFUNCTION("""COMPUTED_VALUE"""),"KP0050AG")</f>
        <v>KP0050AG</v>
      </c>
      <c r="G130" s="11">
        <f ca="1">IFERROR(__xludf.DUMMYFUNCTION("""COMPUTED_VALUE"""),146250000)</f>
        <v>146250000</v>
      </c>
      <c r="H130">
        <f ca="1">IFERROR(__xludf.DUMMYFUNCTION("""COMPUTED_VALUE"""),36204)</f>
        <v>36204</v>
      </c>
      <c r="I130">
        <f ca="1">IFERROR(__xludf.DUMMYFUNCTION("""COMPUTED_VALUE"""),9)</f>
        <v>9</v>
      </c>
      <c r="J130">
        <f ca="1">IFERROR(__xludf.DUMMYFUNCTION("""COMPUTED_VALUE"""),4)</f>
        <v>4</v>
      </c>
      <c r="K130" t="str">
        <f ca="1">IFERROR(__xludf.DUMMYFUNCTION("""COMPUTED_VALUE"""),"Cepat Kirim")</f>
        <v>Cepat Kirim</v>
      </c>
      <c r="L130" t="str">
        <f ca="1">IFERROR(__xludf.DUMMYFUNCTION("""COMPUTED_VALUE"""),"Y")</f>
        <v>Y</v>
      </c>
      <c r="M130" t="str">
        <f ca="1">IFERROR(__xludf.DUMMYFUNCTION("""COMPUTED_VALUE"""),"Ig-101")</f>
        <v>Ig-101</v>
      </c>
    </row>
    <row r="131" spans="1:13" ht="12.5" x14ac:dyDescent="0.25">
      <c r="A131" t="str">
        <f ca="1">IFERROR(__xludf.DUMMYFUNCTION("""COMPUTED_VALUE"""),"Hartono")</f>
        <v>Hartono</v>
      </c>
      <c r="B131" t="str">
        <f ca="1">IFERROR(__xludf.DUMMYFUNCTION("""COMPUTED_VALUE"""),"Liu")</f>
        <v>Liu</v>
      </c>
      <c r="C131" t="str">
        <f ca="1">IFERROR(__xludf.DUMMYFUNCTION("""COMPUTED_VALUE"""),"Hartono@ymailx.com")</f>
        <v>Hartono@ymailx.com</v>
      </c>
      <c r="D131" t="str">
        <f ca="1">IFERROR(__xludf.DUMMYFUNCTION("""COMPUTED_VALUE"""),"Jakarta Selatan")</f>
        <v>Jakarta Selatan</v>
      </c>
      <c r="E131" s="12">
        <f ca="1">IFERROR(__xludf.DUMMYFUNCTION("""COMPUTED_VALUE"""),43332)</f>
        <v>43332</v>
      </c>
      <c r="F131" t="str">
        <f ca="1">IFERROR(__xludf.DUMMYFUNCTION("""COMPUTED_VALUE"""),"KP0750AJ")</f>
        <v>KP0750AJ</v>
      </c>
      <c r="G131" s="11">
        <f ca="1">IFERROR(__xludf.DUMMYFUNCTION("""COMPUTED_VALUE"""),108000000)</f>
        <v>108000000</v>
      </c>
      <c r="H131">
        <f ca="1">IFERROR(__xludf.DUMMYFUNCTION("""COMPUTED_VALUE"""),36513)</f>
        <v>36513</v>
      </c>
      <c r="I131">
        <f ca="1">IFERROR(__xludf.DUMMYFUNCTION("""COMPUTED_VALUE"""),6)</f>
        <v>6</v>
      </c>
      <c r="J131" t="str">
        <f ca="1">IFERROR(__xludf.DUMMYFUNCTION("""COMPUTED_VALUE"""),"N/A")</f>
        <v>N/A</v>
      </c>
      <c r="K131" t="str">
        <f ca="1">IFERROR(__xludf.DUMMYFUNCTION("""COMPUTED_VALUE"""),"Pru Logistic")</f>
        <v>Pru Logistic</v>
      </c>
      <c r="L131" t="str">
        <f ca="1">IFERROR(__xludf.DUMMYFUNCTION("""COMPUTED_VALUE"""),"Y")</f>
        <v>Y</v>
      </c>
      <c r="M131" t="str">
        <f ca="1">IFERROR(__xludf.DUMMYFUNCTION("""COMPUTED_VALUE"""),"Ie-333")</f>
        <v>Ie-333</v>
      </c>
    </row>
    <row r="132" spans="1:13" ht="12.5" x14ac:dyDescent="0.25">
      <c r="A132" t="str">
        <f ca="1">IFERROR(__xludf.DUMMYFUNCTION("""COMPUTED_VALUE"""),"Irsanto")</f>
        <v>Irsanto</v>
      </c>
      <c r="B132" t="str">
        <f ca="1">IFERROR(__xludf.DUMMYFUNCTION("""COMPUTED_VALUE"""),"Imam")</f>
        <v>Imam</v>
      </c>
      <c r="C132" t="str">
        <f ca="1">IFERROR(__xludf.DUMMYFUNCTION("""COMPUTED_VALUE"""),"IRSANTO@ymailx.com")</f>
        <v>IRSANTO@ymailx.com</v>
      </c>
      <c r="D132" t="str">
        <f ca="1">IFERROR(__xludf.DUMMYFUNCTION("""COMPUTED_VALUE"""),"Prabumulih")</f>
        <v>Prabumulih</v>
      </c>
      <c r="E132" s="12">
        <f ca="1">IFERROR(__xludf.DUMMYFUNCTION("""COMPUTED_VALUE"""),43332)</f>
        <v>43332</v>
      </c>
      <c r="F132" t="str">
        <f ca="1">IFERROR(__xludf.DUMMYFUNCTION("""COMPUTED_VALUE"""),"KP0925SG")</f>
        <v>KP0925SG</v>
      </c>
      <c r="G132" s="11">
        <f ca="1">IFERROR(__xludf.DUMMYFUNCTION("""COMPUTED_VALUE"""),105000000)</f>
        <v>105000000</v>
      </c>
      <c r="H132">
        <f ca="1">IFERROR(__xludf.DUMMYFUNCTION("""COMPUTED_VALUE"""),35770)</f>
        <v>35770</v>
      </c>
      <c r="I132">
        <f ca="1">IFERROR(__xludf.DUMMYFUNCTION("""COMPUTED_VALUE"""),7)</f>
        <v>7</v>
      </c>
      <c r="J132" t="str">
        <f ca="1">IFERROR(__xludf.DUMMYFUNCTION("""COMPUTED_VALUE"""),"N/A")</f>
        <v>N/A</v>
      </c>
      <c r="K132" t="str">
        <f ca="1">IFERROR(__xludf.DUMMYFUNCTION("""COMPUTED_VALUE"""),"JENT")</f>
        <v>JENT</v>
      </c>
      <c r="L132" t="str">
        <f ca="1">IFERROR(__xludf.DUMMYFUNCTION("""COMPUTED_VALUE"""),"Y")</f>
        <v>Y</v>
      </c>
      <c r="M132" t="str">
        <f ca="1">IFERROR(__xludf.DUMMYFUNCTION("""COMPUTED_VALUE"""),"Oe-661")</f>
        <v>Oe-661</v>
      </c>
    </row>
    <row r="133" spans="1:13" ht="12.5" x14ac:dyDescent="0.25">
      <c r="A133" t="str">
        <f ca="1">IFERROR(__xludf.DUMMYFUNCTION("""COMPUTED_VALUE"""),"Ng")</f>
        <v>Ng</v>
      </c>
      <c r="B133" t="str">
        <f ca="1">IFERROR(__xludf.DUMMYFUNCTION("""COMPUTED_VALUE"""),"Tanuwidjaja")</f>
        <v>Tanuwidjaja</v>
      </c>
      <c r="C133" t="str">
        <f ca="1">IFERROR(__xludf.DUMMYFUNCTION("""COMPUTED_VALUE"""),"NG@mex.com")</f>
        <v>NG@mex.com</v>
      </c>
      <c r="D133" t="str">
        <f ca="1">IFERROR(__xludf.DUMMYFUNCTION("""COMPUTED_VALUE"""),"Pekalongan")</f>
        <v>Pekalongan</v>
      </c>
      <c r="E133" s="12">
        <f ca="1">IFERROR(__xludf.DUMMYFUNCTION("""COMPUTED_VALUE"""),43332)</f>
        <v>43332</v>
      </c>
      <c r="F133" t="str">
        <f ca="1">IFERROR(__xludf.DUMMYFUNCTION("""COMPUTED_VALUE"""),"KP0350CF")</f>
        <v>KP0350CF</v>
      </c>
      <c r="G133" s="11">
        <f ca="1">IFERROR(__xludf.DUMMYFUNCTION("""COMPUTED_VALUE"""),350000000)</f>
        <v>350000000</v>
      </c>
      <c r="H133">
        <f ca="1">IFERROR(__xludf.DUMMYFUNCTION("""COMPUTED_VALUE"""),36291)</f>
        <v>36291</v>
      </c>
      <c r="I133">
        <f ca="1">IFERROR(__xludf.DUMMYFUNCTION("""COMPUTED_VALUE"""),10)</f>
        <v>10</v>
      </c>
      <c r="J133" t="str">
        <f ca="1">IFERROR(__xludf.DUMMYFUNCTION("""COMPUTED_VALUE"""),"N/A")</f>
        <v>N/A</v>
      </c>
      <c r="K133" t="str">
        <f ca="1">IFERROR(__xludf.DUMMYFUNCTION("""COMPUTED_VALUE"""),"JENT")</f>
        <v>JENT</v>
      </c>
      <c r="L133" t="str">
        <f ca="1">IFERROR(__xludf.DUMMYFUNCTION("""COMPUTED_VALUE"""),"N")</f>
        <v>N</v>
      </c>
      <c r="M133" t="str">
        <f ca="1">IFERROR(__xludf.DUMMYFUNCTION("""COMPUTED_VALUE"""),"Sf-410")</f>
        <v>Sf-410</v>
      </c>
    </row>
    <row r="134" spans="1:13" ht="12.5" x14ac:dyDescent="0.25">
      <c r="A134" t="str">
        <f ca="1">IFERROR(__xludf.DUMMYFUNCTION("""COMPUTED_VALUE"""),"Rudy")</f>
        <v>Rudy</v>
      </c>
      <c r="B134" t="str">
        <f ca="1">IFERROR(__xludf.DUMMYFUNCTION("""COMPUTED_VALUE"""),"Sumarno")</f>
        <v>Sumarno</v>
      </c>
      <c r="C134" t="str">
        <f ca="1">IFERROR(__xludf.DUMMYFUNCTION("""COMPUTED_VALUE"""),"Sumarno@rocketmailx.com")</f>
        <v>Sumarno@rocketmailx.com</v>
      </c>
      <c r="D134" t="str">
        <f ca="1">IFERROR(__xludf.DUMMYFUNCTION("""COMPUTED_VALUE"""),"Pasuruan")</f>
        <v>Pasuruan</v>
      </c>
      <c r="E134" s="12">
        <f ca="1">IFERROR(__xludf.DUMMYFUNCTION("""COMPUTED_VALUE"""),43331)</f>
        <v>43331</v>
      </c>
      <c r="F134" t="str">
        <f ca="1">IFERROR(__xludf.DUMMYFUNCTION("""COMPUTED_VALUE"""),"KP0350CF")</f>
        <v>KP0350CF</v>
      </c>
      <c r="G134" s="11">
        <f ca="1">IFERROR(__xludf.DUMMYFUNCTION("""COMPUTED_VALUE"""),140000000)</f>
        <v>140000000</v>
      </c>
      <c r="H134">
        <f ca="1">IFERROR(__xludf.DUMMYFUNCTION("""COMPUTED_VALUE"""),35466)</f>
        <v>35466</v>
      </c>
      <c r="I134">
        <f ca="1">IFERROR(__xludf.DUMMYFUNCTION("""COMPUTED_VALUE"""),4)</f>
        <v>4</v>
      </c>
      <c r="J134" t="str">
        <f ca="1">IFERROR(__xludf.DUMMYFUNCTION("""COMPUTED_VALUE"""),"N/A")</f>
        <v>N/A</v>
      </c>
      <c r="K134" t="str">
        <f ca="1">IFERROR(__xludf.DUMMYFUNCTION("""COMPUTED_VALUE"""),"Swift Delivery")</f>
        <v>Swift Delivery</v>
      </c>
      <c r="L134" t="str">
        <f ca="1">IFERROR(__xludf.DUMMYFUNCTION("""COMPUTED_VALUE"""),"N")</f>
        <v>N</v>
      </c>
      <c r="M134" t="str">
        <f ca="1">IFERROR(__xludf.DUMMYFUNCTION("""COMPUTED_VALUE"""),"Ko-123")</f>
        <v>Ko-123</v>
      </c>
    </row>
    <row r="135" spans="1:13" ht="12.5" x14ac:dyDescent="0.25">
      <c r="A135" t="str">
        <f ca="1">IFERROR(__xludf.DUMMYFUNCTION("""COMPUTED_VALUE"""),"Endang")</f>
        <v>Endang</v>
      </c>
      <c r="B135" t="str">
        <f ca="1">IFERROR(__xludf.DUMMYFUNCTION("""COMPUTED_VALUE"""),"Fong")</f>
        <v>Fong</v>
      </c>
      <c r="C135" t="str">
        <f ca="1">IFERROR(__xludf.DUMMYFUNCTION("""COMPUTED_VALUE"""),"Fong@ymailx.com")</f>
        <v>Fong@ymailx.com</v>
      </c>
      <c r="D135" t="str">
        <f ca="1">IFERROR(__xludf.DUMMYFUNCTION("""COMPUTED_VALUE"""),"Pematangsiantar")</f>
        <v>Pematangsiantar</v>
      </c>
      <c r="E135" s="12">
        <f ca="1">IFERROR(__xludf.DUMMYFUNCTION("""COMPUTED_VALUE"""),43330)</f>
        <v>43330</v>
      </c>
      <c r="F135" t="str">
        <f ca="1">IFERROR(__xludf.DUMMYFUNCTION("""COMPUTED_VALUE"""),"KP0150BH")</f>
        <v>KP0150BH</v>
      </c>
      <c r="G135" s="11">
        <f ca="1">IFERROR(__xludf.DUMMYFUNCTION("""COMPUTED_VALUE"""),162000000)</f>
        <v>162000000</v>
      </c>
      <c r="H135">
        <f ca="1">IFERROR(__xludf.DUMMYFUNCTION("""COMPUTED_VALUE"""),35322)</f>
        <v>35322</v>
      </c>
      <c r="I135">
        <f ca="1">IFERROR(__xludf.DUMMYFUNCTION("""COMPUTED_VALUE"""),6)</f>
        <v>6</v>
      </c>
      <c r="J135">
        <f ca="1">IFERROR(__xludf.DUMMYFUNCTION("""COMPUTED_VALUE"""),5)</f>
        <v>5</v>
      </c>
      <c r="K135" t="str">
        <f ca="1">IFERROR(__xludf.DUMMYFUNCTION("""COMPUTED_VALUE"""),"Swift Delivery")</f>
        <v>Swift Delivery</v>
      </c>
      <c r="L135" t="str">
        <f ca="1">IFERROR(__xludf.DUMMYFUNCTION("""COMPUTED_VALUE"""),"Y")</f>
        <v>Y</v>
      </c>
      <c r="M135" t="str">
        <f ca="1">IFERROR(__xludf.DUMMYFUNCTION("""COMPUTED_VALUE"""),"To-662")</f>
        <v>To-662</v>
      </c>
    </row>
    <row r="136" spans="1:13" ht="12.5" x14ac:dyDescent="0.25">
      <c r="A136" t="str">
        <f ca="1">IFERROR(__xludf.DUMMYFUNCTION("""COMPUTED_VALUE"""),"Lam")</f>
        <v>Lam</v>
      </c>
      <c r="B136" t="str">
        <f ca="1">IFERROR(__xludf.DUMMYFUNCTION("""COMPUTED_VALUE"""),"Supanini")</f>
        <v>Supanini</v>
      </c>
      <c r="C136" t="str">
        <f ca="1">IFERROR(__xludf.DUMMYFUNCTION("""COMPUTED_VALUE"""),"Lam@icloudx.com")</f>
        <v>Lam@icloudx.com</v>
      </c>
      <c r="D136" t="str">
        <f ca="1">IFERROR(__xludf.DUMMYFUNCTION("""COMPUTED_VALUE"""),"Pangkalpinang")</f>
        <v>Pangkalpinang</v>
      </c>
      <c r="E136" s="12">
        <f ca="1">IFERROR(__xludf.DUMMYFUNCTION("""COMPUTED_VALUE"""),43330)</f>
        <v>43330</v>
      </c>
      <c r="F136" t="str">
        <f ca="1">IFERROR(__xludf.DUMMYFUNCTION("""COMPUTED_VALUE"""),"KP0850FB")</f>
        <v>KP0850FB</v>
      </c>
      <c r="G136" s="11">
        <f ca="1">IFERROR(__xludf.DUMMYFUNCTION("""COMPUTED_VALUE"""),147000000)</f>
        <v>147000000</v>
      </c>
      <c r="H136">
        <f ca="1">IFERROR(__xludf.DUMMYFUNCTION("""COMPUTED_VALUE"""),36873)</f>
        <v>36873</v>
      </c>
      <c r="I136">
        <f ca="1">IFERROR(__xludf.DUMMYFUNCTION("""COMPUTED_VALUE"""),7)</f>
        <v>7</v>
      </c>
      <c r="J136" t="str">
        <f ca="1">IFERROR(__xludf.DUMMYFUNCTION("""COMPUTED_VALUE"""),"N/A")</f>
        <v>N/A</v>
      </c>
      <c r="K136" t="str">
        <f ca="1">IFERROR(__xludf.DUMMYFUNCTION("""COMPUTED_VALUE"""),"Cepat Kirim")</f>
        <v>Cepat Kirim</v>
      </c>
      <c r="L136" t="str">
        <f ca="1">IFERROR(__xludf.DUMMYFUNCTION("""COMPUTED_VALUE"""),"Y")</f>
        <v>Y</v>
      </c>
      <c r="M136" t="str">
        <f ca="1">IFERROR(__xludf.DUMMYFUNCTION("""COMPUTED_VALUE"""),"Cl-120")</f>
        <v>Cl-120</v>
      </c>
    </row>
    <row r="137" spans="1:13" ht="12.5" x14ac:dyDescent="0.25">
      <c r="A137" t="str">
        <f ca="1">IFERROR(__xludf.DUMMYFUNCTION("""COMPUTED_VALUE"""),"Era")</f>
        <v>Era</v>
      </c>
      <c r="B137" t="str">
        <f ca="1">IFERROR(__xludf.DUMMYFUNCTION("""COMPUTED_VALUE"""),"Afif")</f>
        <v>Afif</v>
      </c>
      <c r="C137" t="str">
        <f ca="1">IFERROR(__xludf.DUMMYFUNCTION("""COMPUTED_VALUE"""),"Afif@outlookx.com")</f>
        <v>Afif@outlookx.com</v>
      </c>
      <c r="D137" t="str">
        <f ca="1">IFERROR(__xludf.DUMMYFUNCTION("""COMPUTED_VALUE"""),"Jakarta Selatan")</f>
        <v>Jakarta Selatan</v>
      </c>
      <c r="E137" s="12">
        <f ca="1">IFERROR(__xludf.DUMMYFUNCTION("""COMPUTED_VALUE"""),43328)</f>
        <v>43328</v>
      </c>
      <c r="F137" t="str">
        <f ca="1">IFERROR(__xludf.DUMMYFUNCTION("""COMPUTED_VALUE"""),"KP0050AG")</f>
        <v>KP0050AG</v>
      </c>
      <c r="G137" s="11">
        <f ca="1">IFERROR(__xludf.DUMMYFUNCTION("""COMPUTED_VALUE"""),113750000)</f>
        <v>113750000</v>
      </c>
      <c r="H137">
        <f ca="1">IFERROR(__xludf.DUMMYFUNCTION("""COMPUTED_VALUE"""),36283)</f>
        <v>36283</v>
      </c>
      <c r="I137">
        <f ca="1">IFERROR(__xludf.DUMMYFUNCTION("""COMPUTED_VALUE"""),7)</f>
        <v>7</v>
      </c>
      <c r="J137" t="str">
        <f ca="1">IFERROR(__xludf.DUMMYFUNCTION("""COMPUTED_VALUE"""),"N/A")</f>
        <v>N/A</v>
      </c>
      <c r="K137" t="str">
        <f ca="1">IFERROR(__xludf.DUMMYFUNCTION("""COMPUTED_VALUE"""),"Swift Delivery")</f>
        <v>Swift Delivery</v>
      </c>
      <c r="L137" t="str">
        <f ca="1">IFERROR(__xludf.DUMMYFUNCTION("""COMPUTED_VALUE"""),"Y")</f>
        <v>Y</v>
      </c>
      <c r="M137" t="str">
        <f ca="1">IFERROR(__xludf.DUMMYFUNCTION("""COMPUTED_VALUE"""),"Bw-333")</f>
        <v>Bw-333</v>
      </c>
    </row>
    <row r="138" spans="1:13" ht="12.5" x14ac:dyDescent="0.25">
      <c r="A138" t="str">
        <f ca="1">IFERROR(__xludf.DUMMYFUNCTION("""COMPUTED_VALUE"""),"Arthur")</f>
        <v>Arthur</v>
      </c>
      <c r="B138" t="str">
        <f ca="1">IFERROR(__xludf.DUMMYFUNCTION("""COMPUTED_VALUE"""),"Ananto")</f>
        <v>Ananto</v>
      </c>
      <c r="C138" t="str">
        <f ca="1">IFERROR(__xludf.DUMMYFUNCTION("""COMPUTED_VALUE"""),"Arthur@livex.com")</f>
        <v>Arthur@livex.com</v>
      </c>
      <c r="D138" t="str">
        <f ca="1">IFERROR(__xludf.DUMMYFUNCTION("""COMPUTED_VALUE"""),"Tasikmalaya")</f>
        <v>Tasikmalaya</v>
      </c>
      <c r="E138" s="12">
        <f ca="1">IFERROR(__xludf.DUMMYFUNCTION("""COMPUTED_VALUE"""),43327)</f>
        <v>43327</v>
      </c>
      <c r="F138" t="str">
        <f ca="1">IFERROR(__xludf.DUMMYFUNCTION("""COMPUTED_VALUE"""),"KP0750AJ")</f>
        <v>KP0750AJ</v>
      </c>
      <c r="G138" s="11">
        <f ca="1">IFERROR(__xludf.DUMMYFUNCTION("""COMPUTED_VALUE"""),72000000)</f>
        <v>72000000</v>
      </c>
      <c r="H138">
        <f ca="1">IFERROR(__xludf.DUMMYFUNCTION("""COMPUTED_VALUE"""),36288)</f>
        <v>36288</v>
      </c>
      <c r="I138">
        <f ca="1">IFERROR(__xludf.DUMMYFUNCTION("""COMPUTED_VALUE"""),4)</f>
        <v>4</v>
      </c>
      <c r="J138">
        <f ca="1">IFERROR(__xludf.DUMMYFUNCTION("""COMPUTED_VALUE"""),1)</f>
        <v>1</v>
      </c>
      <c r="K138" t="str">
        <f ca="1">IFERROR(__xludf.DUMMYFUNCTION("""COMPUTED_VALUE"""),"JENT")</f>
        <v>JENT</v>
      </c>
      <c r="L138" t="str">
        <f ca="1">IFERROR(__xludf.DUMMYFUNCTION("""COMPUTED_VALUE"""),"Y")</f>
        <v>Y</v>
      </c>
      <c r="M138" t="str">
        <f ca="1">IFERROR(__xludf.DUMMYFUNCTION("""COMPUTED_VALUE"""),"Wi-409")</f>
        <v>Wi-409</v>
      </c>
    </row>
    <row r="139" spans="1:13" ht="12.5" x14ac:dyDescent="0.25">
      <c r="A139" t="str">
        <f ca="1">IFERROR(__xludf.DUMMYFUNCTION("""COMPUTED_VALUE"""),"Prayitno")</f>
        <v>Prayitno</v>
      </c>
      <c r="B139" t="str">
        <f ca="1">IFERROR(__xludf.DUMMYFUNCTION("""COMPUTED_VALUE"""),"Kurniawan")</f>
        <v>Kurniawan</v>
      </c>
      <c r="C139" t="str">
        <f ca="1">IFERROR(__xludf.DUMMYFUNCTION("""COMPUTED_VALUE"""),"KURNIAWAN@gmailx.com")</f>
        <v>KURNIAWAN@gmailx.com</v>
      </c>
      <c r="D139" t="str">
        <f ca="1">IFERROR(__xludf.DUMMYFUNCTION("""COMPUTED_VALUE"""),"Bandar Lampung")</f>
        <v>Bandar Lampung</v>
      </c>
      <c r="E139" s="12">
        <f ca="1">IFERROR(__xludf.DUMMYFUNCTION("""COMPUTED_VALUE"""),43326)</f>
        <v>43326</v>
      </c>
      <c r="F139" t="str">
        <f ca="1">IFERROR(__xludf.DUMMYFUNCTION("""COMPUTED_VALUE"""),"KP0625AF")</f>
        <v>KP0625AF</v>
      </c>
      <c r="G139" s="11">
        <f ca="1">IFERROR(__xludf.DUMMYFUNCTION("""COMPUTED_VALUE"""),96000000)</f>
        <v>96000000</v>
      </c>
      <c r="H139">
        <f ca="1">IFERROR(__xludf.DUMMYFUNCTION("""COMPUTED_VALUE"""),35594)</f>
        <v>35594</v>
      </c>
      <c r="I139">
        <f ca="1">IFERROR(__xludf.DUMMYFUNCTION("""COMPUTED_VALUE"""),8)</f>
        <v>8</v>
      </c>
      <c r="J139" t="str">
        <f ca="1">IFERROR(__xludf.DUMMYFUNCTION("""COMPUTED_VALUE"""),"N/A")</f>
        <v>N/A</v>
      </c>
      <c r="K139" t="str">
        <f ca="1">IFERROR(__xludf.DUMMYFUNCTION("""COMPUTED_VALUE"""),"JENT")</f>
        <v>JENT</v>
      </c>
      <c r="L139" t="str">
        <f ca="1">IFERROR(__xludf.DUMMYFUNCTION("""COMPUTED_VALUE"""),"N")</f>
        <v>N</v>
      </c>
      <c r="M139" t="str">
        <f ca="1">IFERROR(__xludf.DUMMYFUNCTION("""COMPUTED_VALUE"""),"Vh-150")</f>
        <v>Vh-150</v>
      </c>
    </row>
    <row r="140" spans="1:13" ht="12.5" x14ac:dyDescent="0.25">
      <c r="A140" t="str">
        <f ca="1">IFERROR(__xludf.DUMMYFUNCTION("""COMPUTED_VALUE"""),"Herry")</f>
        <v>Herry</v>
      </c>
      <c r="B140" t="str">
        <f ca="1">IFERROR(__xludf.DUMMYFUNCTION("""COMPUTED_VALUE"""),"Lintje")</f>
        <v>Lintje</v>
      </c>
      <c r="C140" t="str">
        <f ca="1">IFERROR(__xludf.DUMMYFUNCTION("""COMPUTED_VALUE"""),"Lintje@gmailx.com")</f>
        <v>Lintje@gmailx.com</v>
      </c>
      <c r="D140" t="str">
        <f ca="1">IFERROR(__xludf.DUMMYFUNCTION("""COMPUTED_VALUE"""),"Meulaboh")</f>
        <v>Meulaboh</v>
      </c>
      <c r="E140" s="12">
        <f ca="1">IFERROR(__xludf.DUMMYFUNCTION("""COMPUTED_VALUE"""),43442)</f>
        <v>43442</v>
      </c>
      <c r="F140" t="str">
        <f ca="1">IFERROR(__xludf.DUMMYFUNCTION("""COMPUTED_VALUE"""),"KP0150BH")</f>
        <v>KP0150BH</v>
      </c>
      <c r="G140" s="11">
        <f ca="1">IFERROR(__xludf.DUMMYFUNCTION("""COMPUTED_VALUE"""),270000000)</f>
        <v>270000000</v>
      </c>
      <c r="H140">
        <f ca="1">IFERROR(__xludf.DUMMYFUNCTION("""COMPUTED_VALUE"""),36514)</f>
        <v>36514</v>
      </c>
      <c r="I140">
        <f ca="1">IFERROR(__xludf.DUMMYFUNCTION("""COMPUTED_VALUE"""),10)</f>
        <v>10</v>
      </c>
      <c r="J140" t="str">
        <f ca="1">IFERROR(__xludf.DUMMYFUNCTION("""COMPUTED_VALUE"""),"N/A")</f>
        <v>N/A</v>
      </c>
      <c r="K140" t="str">
        <f ca="1">IFERROR(__xludf.DUMMYFUNCTION("""COMPUTED_VALUE"""),"Wakanda Express")</f>
        <v>Wakanda Express</v>
      </c>
      <c r="L140" t="str">
        <f ca="1">IFERROR(__xludf.DUMMYFUNCTION("""COMPUTED_VALUE"""),"Y")</f>
        <v>Y</v>
      </c>
      <c r="M140" t="str">
        <f ca="1">IFERROR(__xludf.DUMMYFUNCTION("""COMPUTED_VALUE"""),"Lj-101")</f>
        <v>Lj-101</v>
      </c>
    </row>
    <row r="141" spans="1:13" ht="12.5" x14ac:dyDescent="0.25">
      <c r="A141" t="str">
        <f ca="1">IFERROR(__xludf.DUMMYFUNCTION("""COMPUTED_VALUE"""),"Nurmalasari")</f>
        <v>Nurmalasari</v>
      </c>
      <c r="B141" t="str">
        <f ca="1">IFERROR(__xludf.DUMMYFUNCTION("""COMPUTED_VALUE"""),"Ricarda")</f>
        <v>Ricarda</v>
      </c>
      <c r="C141" t="str">
        <f ca="1">IFERROR(__xludf.DUMMYFUNCTION("""COMPUTED_VALUE"""),"Ricarda@outlookx.com")</f>
        <v>Ricarda@outlookx.com</v>
      </c>
      <c r="D141" t="str">
        <f ca="1">IFERROR(__xludf.DUMMYFUNCTION("""COMPUTED_VALUE"""),"Sibolga")</f>
        <v>Sibolga</v>
      </c>
      <c r="E141" s="12">
        <f ca="1">IFERROR(__xludf.DUMMYFUNCTION("""COMPUTED_VALUE"""),43351)</f>
        <v>43351</v>
      </c>
      <c r="F141" t="str">
        <f ca="1">IFERROR(__xludf.DUMMYFUNCTION("""COMPUTED_VALUE"""),"KP0625AF")</f>
        <v>KP0625AF</v>
      </c>
      <c r="G141" s="11">
        <f ca="1">IFERROR(__xludf.DUMMYFUNCTION("""COMPUTED_VALUE"""),48000000)</f>
        <v>48000000</v>
      </c>
      <c r="H141">
        <f ca="1">IFERROR(__xludf.DUMMYFUNCTION("""COMPUTED_VALUE"""),36530)</f>
        <v>36530</v>
      </c>
      <c r="I141">
        <f ca="1">IFERROR(__xludf.DUMMYFUNCTION("""COMPUTED_VALUE"""),4)</f>
        <v>4</v>
      </c>
      <c r="J141">
        <f ca="1">IFERROR(__xludf.DUMMYFUNCTION("""COMPUTED_VALUE"""),4)</f>
        <v>4</v>
      </c>
      <c r="K141" t="str">
        <f ca="1">IFERROR(__xludf.DUMMYFUNCTION("""COMPUTED_VALUE"""),"Wakanda Express")</f>
        <v>Wakanda Express</v>
      </c>
      <c r="L141" t="str">
        <f ca="1">IFERROR(__xludf.DUMMYFUNCTION("""COMPUTED_VALUE"""),"N")</f>
        <v>N</v>
      </c>
      <c r="M141" t="str">
        <f ca="1">IFERROR(__xludf.DUMMYFUNCTION("""COMPUTED_VALUE"""),"Nl-662")</f>
        <v>Nl-662</v>
      </c>
    </row>
    <row r="142" spans="1:13" ht="12.5" x14ac:dyDescent="0.25">
      <c r="A142" t="str">
        <f ca="1">IFERROR(__xludf.DUMMYFUNCTION("""COMPUTED_VALUE"""),"Sangeeta")</f>
        <v>Sangeeta</v>
      </c>
      <c r="B142" t="str">
        <f ca="1">IFERROR(__xludf.DUMMYFUNCTION("""COMPUTED_VALUE"""),"Sulistio")</f>
        <v>Sulistio</v>
      </c>
      <c r="C142" t="str">
        <f ca="1">IFERROR(__xludf.DUMMYFUNCTION("""COMPUTED_VALUE"""),"Sangeeta@icloudx.com")</f>
        <v>Sangeeta@icloudx.com</v>
      </c>
      <c r="D142" t="str">
        <f ca="1">IFERROR(__xludf.DUMMYFUNCTION("""COMPUTED_VALUE"""),"Cirebon")</f>
        <v>Cirebon</v>
      </c>
      <c r="E142" s="12">
        <f ca="1">IFERROR(__xludf.DUMMYFUNCTION("""COMPUTED_VALUE"""),43259)</f>
        <v>43259</v>
      </c>
      <c r="F142" t="str">
        <f ca="1">IFERROR(__xludf.DUMMYFUNCTION("""COMPUTED_VALUE"""),"KP0150BH")</f>
        <v>KP0150BH</v>
      </c>
      <c r="G142" s="11">
        <f ca="1">IFERROR(__xludf.DUMMYFUNCTION("""COMPUTED_VALUE"""),216000000)</f>
        <v>216000000</v>
      </c>
      <c r="H142">
        <f ca="1">IFERROR(__xludf.DUMMYFUNCTION("""COMPUTED_VALUE"""),36157)</f>
        <v>36157</v>
      </c>
      <c r="I142">
        <f ca="1">IFERROR(__xludf.DUMMYFUNCTION("""COMPUTED_VALUE"""),8)</f>
        <v>8</v>
      </c>
      <c r="J142" t="str">
        <f ca="1">IFERROR(__xludf.DUMMYFUNCTION("""COMPUTED_VALUE"""),"N/A")</f>
        <v>N/A</v>
      </c>
      <c r="K142" t="str">
        <f ca="1">IFERROR(__xludf.DUMMYFUNCTION("""COMPUTED_VALUE"""),"Wakanda Express")</f>
        <v>Wakanda Express</v>
      </c>
      <c r="L142" t="str">
        <f ca="1">IFERROR(__xludf.DUMMYFUNCTION("""COMPUTED_VALUE"""),"N")</f>
        <v>N</v>
      </c>
      <c r="M142" t="str">
        <f ca="1">IFERROR(__xludf.DUMMYFUNCTION("""COMPUTED_VALUE"""),"Ih-409")</f>
        <v>Ih-409</v>
      </c>
    </row>
    <row r="143" spans="1:13" ht="12.5" x14ac:dyDescent="0.25">
      <c r="A143" t="str">
        <f ca="1">IFERROR(__xludf.DUMMYFUNCTION("""COMPUTED_VALUE"""),"Sengman")</f>
        <v>Sengman</v>
      </c>
      <c r="B143" t="str">
        <f ca="1">IFERROR(__xludf.DUMMYFUNCTION("""COMPUTED_VALUE"""),"Fie")</f>
        <v>Fie</v>
      </c>
      <c r="C143" t="str">
        <f ca="1">IFERROR(__xludf.DUMMYFUNCTION("""COMPUTED_VALUE"""),"Sengman@livex.com")</f>
        <v>Sengman@livex.com</v>
      </c>
      <c r="D143" t="str">
        <f ca="1">IFERROR(__xludf.DUMMYFUNCTION("""COMPUTED_VALUE"""),"Kendari")</f>
        <v>Kendari</v>
      </c>
      <c r="E143" s="12">
        <f ca="1">IFERROR(__xludf.DUMMYFUNCTION("""COMPUTED_VALUE"""),43228)</f>
        <v>43228</v>
      </c>
      <c r="F143" t="str">
        <f ca="1">IFERROR(__xludf.DUMMYFUNCTION("""COMPUTED_VALUE"""),"KP0850FB")</f>
        <v>KP0850FB</v>
      </c>
      <c r="G143" s="11">
        <f ca="1">IFERROR(__xludf.DUMMYFUNCTION("""COMPUTED_VALUE"""),42000000)</f>
        <v>42000000</v>
      </c>
      <c r="H143">
        <f ca="1">IFERROR(__xludf.DUMMYFUNCTION("""COMPUTED_VALUE"""),36773)</f>
        <v>36773</v>
      </c>
      <c r="I143">
        <f ca="1">IFERROR(__xludf.DUMMYFUNCTION("""COMPUTED_VALUE"""),2)</f>
        <v>2</v>
      </c>
      <c r="J143" t="str">
        <f ca="1">IFERROR(__xludf.DUMMYFUNCTION("""COMPUTED_VALUE"""),"N/A")</f>
        <v>N/A</v>
      </c>
      <c r="K143" t="str">
        <f ca="1">IFERROR(__xludf.DUMMYFUNCTION("""COMPUTED_VALUE"""),"Wakanda Express")</f>
        <v>Wakanda Express</v>
      </c>
      <c r="L143" t="str">
        <f ca="1">IFERROR(__xludf.DUMMYFUNCTION("""COMPUTED_VALUE"""),"N")</f>
        <v>N</v>
      </c>
      <c r="M143" t="str">
        <f ca="1">IFERROR(__xludf.DUMMYFUNCTION("""COMPUTED_VALUE"""),"Ib-250")</f>
        <v>Ib-250</v>
      </c>
    </row>
    <row r="144" spans="1:13" ht="12.5" x14ac:dyDescent="0.25">
      <c r="A144" t="str">
        <f ca="1">IFERROR(__xludf.DUMMYFUNCTION("""COMPUTED_VALUE"""),"Edward")</f>
        <v>Edward</v>
      </c>
      <c r="B144" t="str">
        <f ca="1">IFERROR(__xludf.DUMMYFUNCTION("""COMPUTED_VALUE"""),"Adjie")</f>
        <v>Adjie</v>
      </c>
      <c r="C144" t="str">
        <f ca="1">IFERROR(__xludf.DUMMYFUNCTION("""COMPUTED_VALUE"""),"Edward@ymailx.com")</f>
        <v>Edward@ymailx.com</v>
      </c>
      <c r="D144" t="str">
        <f ca="1">IFERROR(__xludf.DUMMYFUNCTION("""COMPUTED_VALUE"""),"Parepare")</f>
        <v>Parepare</v>
      </c>
      <c r="E144" s="12">
        <f ca="1">IFERROR(__xludf.DUMMYFUNCTION("""COMPUTED_VALUE"""),43167)</f>
        <v>43167</v>
      </c>
      <c r="F144" t="str">
        <f ca="1">IFERROR(__xludf.DUMMYFUNCTION("""COMPUTED_VALUE"""),"KP0750AJ")</f>
        <v>KP0750AJ</v>
      </c>
      <c r="G144" s="11">
        <f ca="1">IFERROR(__xludf.DUMMYFUNCTION("""COMPUTED_VALUE"""),72000000)</f>
        <v>72000000</v>
      </c>
      <c r="H144">
        <f ca="1">IFERROR(__xludf.DUMMYFUNCTION("""COMPUTED_VALUE"""),35404)</f>
        <v>35404</v>
      </c>
      <c r="I144">
        <f ca="1">IFERROR(__xludf.DUMMYFUNCTION("""COMPUTED_VALUE"""),4)</f>
        <v>4</v>
      </c>
      <c r="J144">
        <f ca="1">IFERROR(__xludf.DUMMYFUNCTION("""COMPUTED_VALUE"""),3)</f>
        <v>3</v>
      </c>
      <c r="K144" t="str">
        <f ca="1">IFERROR(__xludf.DUMMYFUNCTION("""COMPUTED_VALUE"""),"Wakanda Express")</f>
        <v>Wakanda Express</v>
      </c>
      <c r="L144" t="str">
        <f ca="1">IFERROR(__xludf.DUMMYFUNCTION("""COMPUTED_VALUE"""),"Y")</f>
        <v>Y</v>
      </c>
      <c r="M144" t="str">
        <f ca="1">IFERROR(__xludf.DUMMYFUNCTION("""COMPUTED_VALUE"""),"Gp-290")</f>
        <v>Gp-290</v>
      </c>
    </row>
    <row r="145" spans="1:13" ht="12.5" x14ac:dyDescent="0.25">
      <c r="A145" t="str">
        <f ca="1">IFERROR(__xludf.DUMMYFUNCTION("""COMPUTED_VALUE"""),"Melina")</f>
        <v>Melina</v>
      </c>
      <c r="B145" t="str">
        <f ca="1">IFERROR(__xludf.DUMMYFUNCTION("""COMPUTED_VALUE"""),"Rahmawaty")</f>
        <v>Rahmawaty</v>
      </c>
      <c r="C145" t="str">
        <f ca="1">IFERROR(__xludf.DUMMYFUNCTION("""COMPUTED_VALUE"""),"Melina@gmailx.com")</f>
        <v>Melina@gmailx.com</v>
      </c>
      <c r="D145" t="str">
        <f ca="1">IFERROR(__xludf.DUMMYFUNCTION("""COMPUTED_VALUE"""),"Solok")</f>
        <v>Solok</v>
      </c>
      <c r="E145" s="12">
        <f ca="1">IFERROR(__xludf.DUMMYFUNCTION("""COMPUTED_VALUE"""),43167)</f>
        <v>43167</v>
      </c>
      <c r="F145" t="str">
        <f ca="1">IFERROR(__xludf.DUMMYFUNCTION("""COMPUTED_VALUE"""),"KP0925SG")</f>
        <v>KP0925SG</v>
      </c>
      <c r="G145" s="11">
        <f ca="1">IFERROR(__xludf.DUMMYFUNCTION("""COMPUTED_VALUE"""),45000000)</f>
        <v>45000000</v>
      </c>
      <c r="H145">
        <f ca="1">IFERROR(__xludf.DUMMYFUNCTION("""COMPUTED_VALUE"""),36640)</f>
        <v>36640</v>
      </c>
      <c r="I145">
        <f ca="1">IFERROR(__xludf.DUMMYFUNCTION("""COMPUTED_VALUE"""),3)</f>
        <v>3</v>
      </c>
      <c r="J145" t="str">
        <f ca="1">IFERROR(__xludf.DUMMYFUNCTION("""COMPUTED_VALUE"""),"N/A")</f>
        <v>N/A</v>
      </c>
      <c r="K145" t="str">
        <f ca="1">IFERROR(__xludf.DUMMYFUNCTION("""COMPUTED_VALUE"""),"Wakanda Express")</f>
        <v>Wakanda Express</v>
      </c>
      <c r="L145" t="str">
        <f ca="1">IFERROR(__xludf.DUMMYFUNCTION("""COMPUTED_VALUE"""),"Y")</f>
        <v>Y</v>
      </c>
      <c r="M145" t="str">
        <f ca="1">IFERROR(__xludf.DUMMYFUNCTION("""COMPUTED_VALUE"""),"Gk-559")</f>
        <v>Gk-559</v>
      </c>
    </row>
    <row r="146" spans="1:13" ht="12.5" x14ac:dyDescent="0.25">
      <c r="A146" t="str">
        <f ca="1">IFERROR(__xludf.DUMMYFUNCTION("""COMPUTED_VALUE"""),"Rat")</f>
        <v>Rat</v>
      </c>
      <c r="B146" t="str">
        <f ca="1">IFERROR(__xludf.DUMMYFUNCTION("""COMPUTED_VALUE"""),"Liem")</f>
        <v>Liem</v>
      </c>
      <c r="C146" t="str">
        <f ca="1">IFERROR(__xludf.DUMMYFUNCTION("""COMPUTED_VALUE"""),"Rat@rocketmailx.com")</f>
        <v>Rat@rocketmailx.com</v>
      </c>
      <c r="D146" t="str">
        <f ca="1">IFERROR(__xludf.DUMMYFUNCTION("""COMPUTED_VALUE"""),"Kupang")</f>
        <v>Kupang</v>
      </c>
      <c r="E146" s="12">
        <f ca="1">IFERROR(__xludf.DUMMYFUNCTION("""COMPUTED_VALUE"""),43139)</f>
        <v>43139</v>
      </c>
      <c r="F146" t="str">
        <f ca="1">IFERROR(__xludf.DUMMYFUNCTION("""COMPUTED_VALUE"""),"KP0750AJ")</f>
        <v>KP0750AJ</v>
      </c>
      <c r="G146" s="11">
        <f ca="1">IFERROR(__xludf.DUMMYFUNCTION("""COMPUTED_VALUE"""),180000000)</f>
        <v>180000000</v>
      </c>
      <c r="H146">
        <f ca="1">IFERROR(__xludf.DUMMYFUNCTION("""COMPUTED_VALUE"""),35541)</f>
        <v>35541</v>
      </c>
      <c r="I146">
        <f ca="1">IFERROR(__xludf.DUMMYFUNCTION("""COMPUTED_VALUE"""),10)</f>
        <v>10</v>
      </c>
      <c r="J146" t="str">
        <f ca="1">IFERROR(__xludf.DUMMYFUNCTION("""COMPUTED_VALUE"""),"N/A")</f>
        <v>N/A</v>
      </c>
      <c r="K146" t="str">
        <f ca="1">IFERROR(__xludf.DUMMYFUNCTION("""COMPUTED_VALUE"""),"Cepat Kirim")</f>
        <v>Cepat Kirim</v>
      </c>
      <c r="L146" t="str">
        <f ca="1">IFERROR(__xludf.DUMMYFUNCTION("""COMPUTED_VALUE"""),"N")</f>
        <v>N</v>
      </c>
      <c r="M146" t="str">
        <f ca="1">IFERROR(__xludf.DUMMYFUNCTION("""COMPUTED_VALUE"""),"Mj-185")</f>
        <v>Mj-185</v>
      </c>
    </row>
    <row r="147" spans="1:13" ht="12.5" x14ac:dyDescent="0.25">
      <c r="A147" t="str">
        <f ca="1">IFERROR(__xludf.DUMMYFUNCTION("""COMPUTED_VALUE"""),"Ari")</f>
        <v>Ari</v>
      </c>
      <c r="B147" t="str">
        <f ca="1">IFERROR(__xludf.DUMMYFUNCTION("""COMPUTED_VALUE"""),"Christoph")</f>
        <v>Christoph</v>
      </c>
      <c r="C147" t="str">
        <f ca="1">IFERROR(__xludf.DUMMYFUNCTION("""COMPUTED_VALUE"""),"Ari@gmailx.com")</f>
        <v>Ari@gmailx.com</v>
      </c>
      <c r="D147" t="str">
        <f ca="1">IFERROR(__xludf.DUMMYFUNCTION("""COMPUTED_VALUE"""),"Malang")</f>
        <v>Malang</v>
      </c>
      <c r="E147" s="12">
        <f ca="1">IFERROR(__xludf.DUMMYFUNCTION("""COMPUTED_VALUE"""),43108)</f>
        <v>43108</v>
      </c>
      <c r="F147" t="str">
        <f ca="1">IFERROR(__xludf.DUMMYFUNCTION("""COMPUTED_VALUE"""),"KP0625AF")</f>
        <v>KP0625AF</v>
      </c>
      <c r="G147" s="11">
        <f ca="1">IFERROR(__xludf.DUMMYFUNCTION("""COMPUTED_VALUE"""),84000000)</f>
        <v>84000000</v>
      </c>
      <c r="H147">
        <f ca="1">IFERROR(__xludf.DUMMYFUNCTION("""COMPUTED_VALUE"""),35319)</f>
        <v>35319</v>
      </c>
      <c r="I147">
        <f ca="1">IFERROR(__xludf.DUMMYFUNCTION("""COMPUTED_VALUE"""),7)</f>
        <v>7</v>
      </c>
      <c r="J147" t="str">
        <f ca="1">IFERROR(__xludf.DUMMYFUNCTION("""COMPUTED_VALUE"""),"N/A")</f>
        <v>N/A</v>
      </c>
      <c r="K147" t="str">
        <f ca="1">IFERROR(__xludf.DUMMYFUNCTION("""COMPUTED_VALUE"""),"Wakanda Express")</f>
        <v>Wakanda Express</v>
      </c>
      <c r="L147" t="str">
        <f ca="1">IFERROR(__xludf.DUMMYFUNCTION("""COMPUTED_VALUE"""),"Y")</f>
        <v>Y</v>
      </c>
      <c r="M147" t="str">
        <f ca="1">IFERROR(__xludf.DUMMYFUNCTION("""COMPUTED_VALUE"""),"Lw-123")</f>
        <v>Lw-123</v>
      </c>
    </row>
    <row r="148" spans="1:13" ht="12.5" x14ac:dyDescent="0.25">
      <c r="A148" t="str">
        <f ca="1">IFERROR(__xludf.DUMMYFUNCTION("""COMPUTED_VALUE"""),"Ewik")</f>
        <v>Ewik</v>
      </c>
      <c r="B148" t="str">
        <f ca="1">IFERROR(__xludf.DUMMYFUNCTION("""COMPUTED_VALUE"""),"Suhardjo")</f>
        <v>Suhardjo</v>
      </c>
      <c r="C148" t="str">
        <f ca="1">IFERROR(__xludf.DUMMYFUNCTION("""COMPUTED_VALUE"""),"Suhardjo@icloudx.com")</f>
        <v>Suhardjo@icloudx.com</v>
      </c>
      <c r="D148" t="str">
        <f ca="1">IFERROR(__xludf.DUMMYFUNCTION("""COMPUTED_VALUE"""),"Tanjungpinang")</f>
        <v>Tanjungpinang</v>
      </c>
      <c r="E148" s="12">
        <f ca="1">IFERROR(__xludf.DUMMYFUNCTION("""COMPUTED_VALUE"""),43307)</f>
        <v>43307</v>
      </c>
      <c r="F148" t="str">
        <f ca="1">IFERROR(__xludf.DUMMYFUNCTION("""COMPUTED_VALUE"""),"KP0625AF")</f>
        <v>KP0625AF</v>
      </c>
      <c r="G148" s="11">
        <f ca="1">IFERROR(__xludf.DUMMYFUNCTION("""COMPUTED_VALUE"""),120000000)</f>
        <v>120000000</v>
      </c>
      <c r="H148">
        <f ca="1">IFERROR(__xludf.DUMMYFUNCTION("""COMPUTED_VALUE"""),36302)</f>
        <v>36302</v>
      </c>
      <c r="I148">
        <f ca="1">IFERROR(__xludf.DUMMYFUNCTION("""COMPUTED_VALUE"""),10)</f>
        <v>10</v>
      </c>
      <c r="J148" t="str">
        <f ca="1">IFERROR(__xludf.DUMMYFUNCTION("""COMPUTED_VALUE"""),"N/A")</f>
        <v>N/A</v>
      </c>
      <c r="K148" t="str">
        <f ca="1">IFERROR(__xludf.DUMMYFUNCTION("""COMPUTED_VALUE"""),"Pru Logistic")</f>
        <v>Pru Logistic</v>
      </c>
      <c r="L148" t="str">
        <f ca="1">IFERROR(__xludf.DUMMYFUNCTION("""COMPUTED_VALUE"""),"Y")</f>
        <v>Y</v>
      </c>
      <c r="M148" t="str">
        <f ca="1">IFERROR(__xludf.DUMMYFUNCTION("""COMPUTED_VALUE"""),"Sr-809")</f>
        <v>Sr-809</v>
      </c>
    </row>
    <row r="149" spans="1:13" ht="12.5" x14ac:dyDescent="0.25">
      <c r="A149" t="str">
        <f ca="1">IFERROR(__xludf.DUMMYFUNCTION("""COMPUTED_VALUE"""),"Elly")</f>
        <v>Elly</v>
      </c>
      <c r="B149" t="str">
        <f ca="1">IFERROR(__xludf.DUMMYFUNCTION("""COMPUTED_VALUE"""),"Gondotirto")</f>
        <v>Gondotirto</v>
      </c>
      <c r="C149" t="str">
        <f ca="1">IFERROR(__xludf.DUMMYFUNCTION("""COMPUTED_VALUE"""),"Elly@gmailx.com")</f>
        <v>Elly@gmailx.com</v>
      </c>
      <c r="D149" t="str">
        <f ca="1">IFERROR(__xludf.DUMMYFUNCTION("""COMPUTED_VALUE"""),"Bitung")</f>
        <v>Bitung</v>
      </c>
      <c r="E149" s="12">
        <f ca="1">IFERROR(__xludf.DUMMYFUNCTION("""COMPUTED_VALUE"""),43306)</f>
        <v>43306</v>
      </c>
      <c r="F149" t="str">
        <f ca="1">IFERROR(__xludf.DUMMYFUNCTION("""COMPUTED_VALUE"""),"KP0425CB")</f>
        <v>KP0425CB</v>
      </c>
      <c r="G149" s="11">
        <f ca="1">IFERROR(__xludf.DUMMYFUNCTION("""COMPUTED_VALUE"""),163500000)</f>
        <v>163500000</v>
      </c>
      <c r="H149">
        <f ca="1">IFERROR(__xludf.DUMMYFUNCTION("""COMPUTED_VALUE"""),35527)</f>
        <v>35527</v>
      </c>
      <c r="I149">
        <f ca="1">IFERROR(__xludf.DUMMYFUNCTION("""COMPUTED_VALUE"""),6)</f>
        <v>6</v>
      </c>
      <c r="J149" t="str">
        <f ca="1">IFERROR(__xludf.DUMMYFUNCTION("""COMPUTED_VALUE"""),"N/A")</f>
        <v>N/A</v>
      </c>
      <c r="K149" t="str">
        <f ca="1">IFERROR(__xludf.DUMMYFUNCTION("""COMPUTED_VALUE"""),"JENT")</f>
        <v>JENT</v>
      </c>
      <c r="L149" t="str">
        <f ca="1">IFERROR(__xludf.DUMMYFUNCTION("""COMPUTED_VALUE"""),"Y")</f>
        <v>Y</v>
      </c>
      <c r="M149" t="str">
        <f ca="1">IFERROR(__xludf.DUMMYFUNCTION("""COMPUTED_VALUE"""),"Bq-221")</f>
        <v>Bq-221</v>
      </c>
    </row>
    <row r="150" spans="1:13" ht="12.5" x14ac:dyDescent="0.25">
      <c r="A150" t="str">
        <f ca="1">IFERROR(__xludf.DUMMYFUNCTION("""COMPUTED_VALUE"""),"Anthony")</f>
        <v>Anthony</v>
      </c>
      <c r="B150" t="str">
        <f ca="1">IFERROR(__xludf.DUMMYFUNCTION("""COMPUTED_VALUE"""),"Eloy")</f>
        <v>Eloy</v>
      </c>
      <c r="C150" t="str">
        <f ca="1">IFERROR(__xludf.DUMMYFUNCTION("""COMPUTED_VALUE"""),"Anthony@gmailx.com")</f>
        <v>Anthony@gmailx.com</v>
      </c>
      <c r="D150" t="str">
        <f ca="1">IFERROR(__xludf.DUMMYFUNCTION("""COMPUTED_VALUE"""),"Palangkaraya")</f>
        <v>Palangkaraya</v>
      </c>
      <c r="E150" s="12">
        <f ca="1">IFERROR(__xludf.DUMMYFUNCTION("""COMPUTED_VALUE"""),43306)</f>
        <v>43306</v>
      </c>
      <c r="F150" t="str">
        <f ca="1">IFERROR(__xludf.DUMMYFUNCTION("""COMPUTED_VALUE"""),"KP0750AJ")</f>
        <v>KP0750AJ</v>
      </c>
      <c r="G150" s="11">
        <f ca="1">IFERROR(__xludf.DUMMYFUNCTION("""COMPUTED_VALUE"""),54000000)</f>
        <v>54000000</v>
      </c>
      <c r="H150">
        <f ca="1">IFERROR(__xludf.DUMMYFUNCTION("""COMPUTED_VALUE"""),35567)</f>
        <v>35567</v>
      </c>
      <c r="I150">
        <f ca="1">IFERROR(__xludf.DUMMYFUNCTION("""COMPUTED_VALUE"""),3)</f>
        <v>3</v>
      </c>
      <c r="J150" t="str">
        <f ca="1">IFERROR(__xludf.DUMMYFUNCTION("""COMPUTED_VALUE"""),"N/A")</f>
        <v>N/A</v>
      </c>
      <c r="K150" t="str">
        <f ca="1">IFERROR(__xludf.DUMMYFUNCTION("""COMPUTED_VALUE"""),"JENT")</f>
        <v>JENT</v>
      </c>
      <c r="L150" t="str">
        <f ca="1">IFERROR(__xludf.DUMMYFUNCTION("""COMPUTED_VALUE"""),"Y")</f>
        <v>Y</v>
      </c>
      <c r="M150" t="str">
        <f ca="1">IFERROR(__xludf.DUMMYFUNCTION("""COMPUTED_VALUE"""),"Vm-992")</f>
        <v>Vm-992</v>
      </c>
    </row>
    <row r="151" spans="1:13" ht="12.5" x14ac:dyDescent="0.25">
      <c r="A151" t="str">
        <f ca="1">IFERROR(__xludf.DUMMYFUNCTION("""COMPUTED_VALUE"""),"Aizid")</f>
        <v>Aizid</v>
      </c>
      <c r="B151" t="str">
        <f ca="1">IFERROR(__xludf.DUMMYFUNCTION("""COMPUTED_VALUE"""),"Sundoro")</f>
        <v>Sundoro</v>
      </c>
      <c r="C151" t="str">
        <f ca="1">IFERROR(__xludf.DUMMYFUNCTION("""COMPUTED_VALUE"""),"Sundoro@livex.com")</f>
        <v>Sundoro@livex.com</v>
      </c>
      <c r="D151" t="str">
        <f ca="1">IFERROR(__xludf.DUMMYFUNCTION("""COMPUTED_VALUE"""),"Padang Sidempuan")</f>
        <v>Padang Sidempuan</v>
      </c>
      <c r="E151" s="12">
        <f ca="1">IFERROR(__xludf.DUMMYFUNCTION("""COMPUTED_VALUE"""),43304)</f>
        <v>43304</v>
      </c>
      <c r="F151" t="str">
        <f ca="1">IFERROR(__xludf.DUMMYFUNCTION("""COMPUTED_VALUE"""),"KP0225BB")</f>
        <v>KP0225BB</v>
      </c>
      <c r="G151" s="11">
        <f ca="1">IFERROR(__xludf.DUMMYFUNCTION("""COMPUTED_VALUE"""),60000000)</f>
        <v>60000000</v>
      </c>
      <c r="H151">
        <f ca="1">IFERROR(__xludf.DUMMYFUNCTION("""COMPUTED_VALUE"""),35889)</f>
        <v>35889</v>
      </c>
      <c r="I151">
        <f ca="1">IFERROR(__xludf.DUMMYFUNCTION("""COMPUTED_VALUE"""),6)</f>
        <v>6</v>
      </c>
      <c r="J151" t="str">
        <f ca="1">IFERROR(__xludf.DUMMYFUNCTION("""COMPUTED_VALUE"""),"N/A")</f>
        <v>N/A</v>
      </c>
      <c r="K151" t="str">
        <f ca="1">IFERROR(__xludf.DUMMYFUNCTION("""COMPUTED_VALUE"""),"JENT")</f>
        <v>JENT</v>
      </c>
      <c r="L151" t="str">
        <f ca="1">IFERROR(__xludf.DUMMYFUNCTION("""COMPUTED_VALUE"""),"Y")</f>
        <v>Y</v>
      </c>
      <c r="M151" t="str">
        <f ca="1">IFERROR(__xludf.DUMMYFUNCTION("""COMPUTED_VALUE"""),"In-662")</f>
        <v>In-662</v>
      </c>
    </row>
    <row r="152" spans="1:13" ht="12.5" x14ac:dyDescent="0.25">
      <c r="A152" t="str">
        <f ca="1">IFERROR(__xludf.DUMMYFUNCTION("""COMPUTED_VALUE"""),"Michael")</f>
        <v>Michael</v>
      </c>
      <c r="B152" t="str">
        <f ca="1">IFERROR(__xludf.DUMMYFUNCTION("""COMPUTED_VALUE"""),"Narindra")</f>
        <v>Narindra</v>
      </c>
      <c r="C152" t="str">
        <f ca="1">IFERROR(__xludf.DUMMYFUNCTION("""COMPUTED_VALUE"""),"Narindra@outlookx.com")</f>
        <v>Narindra@outlookx.com</v>
      </c>
      <c r="D152" t="str">
        <f ca="1">IFERROR(__xludf.DUMMYFUNCTION("""COMPUTED_VALUE"""),"Bogor")</f>
        <v>Bogor</v>
      </c>
      <c r="E152" s="12">
        <f ca="1">IFERROR(__xludf.DUMMYFUNCTION("""COMPUTED_VALUE"""),43303)</f>
        <v>43303</v>
      </c>
      <c r="F152" t="str">
        <f ca="1">IFERROR(__xludf.DUMMYFUNCTION("""COMPUTED_VALUE"""),"KP0350CF")</f>
        <v>KP0350CF</v>
      </c>
      <c r="G152" s="11">
        <f ca="1">IFERROR(__xludf.DUMMYFUNCTION("""COMPUTED_VALUE"""),70000000)</f>
        <v>70000000</v>
      </c>
      <c r="H152">
        <f ca="1">IFERROR(__xludf.DUMMYFUNCTION("""COMPUTED_VALUE"""),35773)</f>
        <v>35773</v>
      </c>
      <c r="I152">
        <f ca="1">IFERROR(__xludf.DUMMYFUNCTION("""COMPUTED_VALUE"""),2)</f>
        <v>2</v>
      </c>
      <c r="J152">
        <f ca="1">IFERROR(__xludf.DUMMYFUNCTION("""COMPUTED_VALUE"""),3)</f>
        <v>3</v>
      </c>
      <c r="K152" t="str">
        <f ca="1">IFERROR(__xludf.DUMMYFUNCTION("""COMPUTED_VALUE"""),"Cepat Kirim")</f>
        <v>Cepat Kirim</v>
      </c>
      <c r="L152" t="str">
        <f ca="1">IFERROR(__xludf.DUMMYFUNCTION("""COMPUTED_VALUE"""),"Y")</f>
        <v>Y</v>
      </c>
      <c r="M152" t="str">
        <f ca="1">IFERROR(__xludf.DUMMYFUNCTION("""COMPUTED_VALUE"""),"Ew-409")</f>
        <v>Ew-409</v>
      </c>
    </row>
    <row r="153" spans="1:13" ht="12.5" x14ac:dyDescent="0.25">
      <c r="A153" t="str">
        <f ca="1">IFERROR(__xludf.DUMMYFUNCTION("""COMPUTED_VALUE"""),"Henry")</f>
        <v>Henry</v>
      </c>
      <c r="B153" t="str">
        <f ca="1">IFERROR(__xludf.DUMMYFUNCTION("""COMPUTED_VALUE"""),"Steven")</f>
        <v>Steven</v>
      </c>
      <c r="C153" t="str">
        <f ca="1">IFERROR(__xludf.DUMMYFUNCTION("""COMPUTED_VALUE"""),"Henry@ymailx.com")</f>
        <v>Henry@ymailx.com</v>
      </c>
      <c r="D153" t="str">
        <f ca="1">IFERROR(__xludf.DUMMYFUNCTION("""COMPUTED_VALUE"""),"Padang Sidempuan")</f>
        <v>Padang Sidempuan</v>
      </c>
      <c r="E153" s="12">
        <f ca="1">IFERROR(__xludf.DUMMYFUNCTION("""COMPUTED_VALUE"""),43302)</f>
        <v>43302</v>
      </c>
      <c r="F153" t="str">
        <f ca="1">IFERROR(__xludf.DUMMYFUNCTION("""COMPUTED_VALUE"""),"KP0850FB")</f>
        <v>KP0850FB</v>
      </c>
      <c r="G153" s="11">
        <f ca="1">IFERROR(__xludf.DUMMYFUNCTION("""COMPUTED_VALUE"""),210000000)</f>
        <v>210000000</v>
      </c>
      <c r="H153">
        <f ca="1">IFERROR(__xludf.DUMMYFUNCTION("""COMPUTED_VALUE"""),35041)</f>
        <v>35041</v>
      </c>
      <c r="I153">
        <f ca="1">IFERROR(__xludf.DUMMYFUNCTION("""COMPUTED_VALUE"""),10)</f>
        <v>10</v>
      </c>
      <c r="J153" t="str">
        <f ca="1">IFERROR(__xludf.DUMMYFUNCTION("""COMPUTED_VALUE"""),"N/A")</f>
        <v>N/A</v>
      </c>
      <c r="K153" t="str">
        <f ca="1">IFERROR(__xludf.DUMMYFUNCTION("""COMPUTED_VALUE"""),"JENT")</f>
        <v>JENT</v>
      </c>
      <c r="L153" t="str">
        <f ca="1">IFERROR(__xludf.DUMMYFUNCTION("""COMPUTED_VALUE"""),"Y")</f>
        <v>Y</v>
      </c>
      <c r="M153" t="str">
        <f ca="1">IFERROR(__xludf.DUMMYFUNCTION("""COMPUTED_VALUE"""),"Bu-662")</f>
        <v>Bu-662</v>
      </c>
    </row>
    <row r="154" spans="1:13" ht="12.5" x14ac:dyDescent="0.25">
      <c r="A154" t="str">
        <f ca="1">IFERROR(__xludf.DUMMYFUNCTION("""COMPUTED_VALUE"""),"Sulaiman")</f>
        <v>Sulaiman</v>
      </c>
      <c r="B154" t="str">
        <f ca="1">IFERROR(__xludf.DUMMYFUNCTION("""COMPUTED_VALUE"""),"Dudaney")</f>
        <v>Dudaney</v>
      </c>
      <c r="C154" t="str">
        <f ca="1">IFERROR(__xludf.DUMMYFUNCTION("""COMPUTED_VALUE"""),"Sulaiman@rocketmailx.com")</f>
        <v>Sulaiman@rocketmailx.com</v>
      </c>
      <c r="D154" t="str">
        <f ca="1">IFERROR(__xludf.DUMMYFUNCTION("""COMPUTED_VALUE"""),"Kotamobagu")</f>
        <v>Kotamobagu</v>
      </c>
      <c r="E154" s="12">
        <f ca="1">IFERROR(__xludf.DUMMYFUNCTION("""COMPUTED_VALUE"""),43299)</f>
        <v>43299</v>
      </c>
      <c r="F154" t="str">
        <f ca="1">IFERROR(__xludf.DUMMYFUNCTION("""COMPUTED_VALUE"""),"KP0625AF")</f>
        <v>KP0625AF</v>
      </c>
      <c r="G154" s="11">
        <f ca="1">IFERROR(__xludf.DUMMYFUNCTION("""COMPUTED_VALUE"""),72000000)</f>
        <v>72000000</v>
      </c>
      <c r="H154">
        <f ca="1">IFERROR(__xludf.DUMMYFUNCTION("""COMPUTED_VALUE"""),36048)</f>
        <v>36048</v>
      </c>
      <c r="I154">
        <f ca="1">IFERROR(__xludf.DUMMYFUNCTION("""COMPUTED_VALUE"""),6)</f>
        <v>6</v>
      </c>
      <c r="J154">
        <f ca="1">IFERROR(__xludf.DUMMYFUNCTION("""COMPUTED_VALUE"""),1)</f>
        <v>1</v>
      </c>
      <c r="K154" t="str">
        <f ca="1">IFERROR(__xludf.DUMMYFUNCTION("""COMPUTED_VALUE"""),"JENT")</f>
        <v>JENT</v>
      </c>
      <c r="L154" t="str">
        <f ca="1">IFERROR(__xludf.DUMMYFUNCTION("""COMPUTED_VALUE"""),"N")</f>
        <v>N</v>
      </c>
      <c r="M154" t="str">
        <f ca="1">IFERROR(__xludf.DUMMYFUNCTION("""COMPUTED_VALUE"""),"Zt-221")</f>
        <v>Zt-221</v>
      </c>
    </row>
    <row r="155" spans="1:13" ht="12.5" x14ac:dyDescent="0.25">
      <c r="A155" t="str">
        <f ca="1">IFERROR(__xludf.DUMMYFUNCTION("""COMPUTED_VALUE"""),"Brian")</f>
        <v>Brian</v>
      </c>
      <c r="B155" t="str">
        <f ca="1">IFERROR(__xludf.DUMMYFUNCTION("""COMPUTED_VALUE"""),"Abdi")</f>
        <v>Abdi</v>
      </c>
      <c r="C155" t="str">
        <f ca="1">IFERROR(__xludf.DUMMYFUNCTION("""COMPUTED_VALUE"""),"BRIAN@ymailx.com")</f>
        <v>BRIAN@ymailx.com</v>
      </c>
      <c r="D155" t="str">
        <f ca="1">IFERROR(__xludf.DUMMYFUNCTION("""COMPUTED_VALUE"""),"Bau-Bau")</f>
        <v>Bau-Bau</v>
      </c>
      <c r="E155" s="12">
        <f ca="1">IFERROR(__xludf.DUMMYFUNCTION("""COMPUTED_VALUE"""),43297)</f>
        <v>43297</v>
      </c>
      <c r="F155" t="str">
        <f ca="1">IFERROR(__xludf.DUMMYFUNCTION("""COMPUTED_VALUE"""),"KP0225BB")</f>
        <v>KP0225BB</v>
      </c>
      <c r="G155" s="11">
        <f ca="1">IFERROR(__xludf.DUMMYFUNCTION("""COMPUTED_VALUE"""),90000000)</f>
        <v>90000000</v>
      </c>
      <c r="H155">
        <f ca="1">IFERROR(__xludf.DUMMYFUNCTION("""COMPUTED_VALUE"""),36068)</f>
        <v>36068</v>
      </c>
      <c r="I155">
        <f ca="1">IFERROR(__xludf.DUMMYFUNCTION("""COMPUTED_VALUE"""),9)</f>
        <v>9</v>
      </c>
      <c r="J155" t="str">
        <f ca="1">IFERROR(__xludf.DUMMYFUNCTION("""COMPUTED_VALUE"""),"N/A")</f>
        <v>N/A</v>
      </c>
      <c r="K155" t="str">
        <f ca="1">IFERROR(__xludf.DUMMYFUNCTION("""COMPUTED_VALUE"""),"Cepat Kirim")</f>
        <v>Cepat Kirim</v>
      </c>
      <c r="L155" t="str">
        <f ca="1">IFERROR(__xludf.DUMMYFUNCTION("""COMPUTED_VALUE"""),"Y")</f>
        <v>Y</v>
      </c>
      <c r="M155" t="str">
        <f ca="1">IFERROR(__xludf.DUMMYFUNCTION("""COMPUTED_VALUE"""),"Tw-250")</f>
        <v>Tw-250</v>
      </c>
    </row>
    <row r="156" spans="1:13" ht="12.5" x14ac:dyDescent="0.25">
      <c r="A156" t="str">
        <f ca="1">IFERROR(__xludf.DUMMYFUNCTION("""COMPUTED_VALUE"""),"Ago")</f>
        <v>Ago</v>
      </c>
      <c r="B156" t="str">
        <f ca="1">IFERROR(__xludf.DUMMYFUNCTION("""COMPUTED_VALUE"""),"Wibowo")</f>
        <v>Wibowo</v>
      </c>
      <c r="C156" t="str">
        <f ca="1">IFERROR(__xludf.DUMMYFUNCTION("""COMPUTED_VALUE"""),"Wibowo@gmailx.com")</f>
        <v>Wibowo@gmailx.com</v>
      </c>
      <c r="D156" t="str">
        <f ca="1">IFERROR(__xludf.DUMMYFUNCTION("""COMPUTED_VALUE"""),"Sabang")</f>
        <v>Sabang</v>
      </c>
      <c r="E156" s="12">
        <f ca="1">IFERROR(__xludf.DUMMYFUNCTION("""COMPUTED_VALUE"""),43297)</f>
        <v>43297</v>
      </c>
      <c r="F156" t="str">
        <f ca="1">IFERROR(__xludf.DUMMYFUNCTION("""COMPUTED_VALUE"""),"KP0625AF")</f>
        <v>KP0625AF</v>
      </c>
      <c r="G156" s="11">
        <f ca="1">IFERROR(__xludf.DUMMYFUNCTION("""COMPUTED_VALUE"""),96000000)</f>
        <v>96000000</v>
      </c>
      <c r="H156">
        <f ca="1">IFERROR(__xludf.DUMMYFUNCTION("""COMPUTED_VALUE"""),35754)</f>
        <v>35754</v>
      </c>
      <c r="I156">
        <f ca="1">IFERROR(__xludf.DUMMYFUNCTION("""COMPUTED_VALUE"""),8)</f>
        <v>8</v>
      </c>
      <c r="J156" t="str">
        <f ca="1">IFERROR(__xludf.DUMMYFUNCTION("""COMPUTED_VALUE"""),"N/A")</f>
        <v>N/A</v>
      </c>
      <c r="K156" t="str">
        <f ca="1">IFERROR(__xludf.DUMMYFUNCTION("""COMPUTED_VALUE"""),"Pru Logistic")</f>
        <v>Pru Logistic</v>
      </c>
      <c r="L156" t="str">
        <f ca="1">IFERROR(__xludf.DUMMYFUNCTION("""COMPUTED_VALUE"""),"Y")</f>
        <v>Y</v>
      </c>
      <c r="M156" t="str">
        <f ca="1">IFERROR(__xludf.DUMMYFUNCTION("""COMPUTED_VALUE"""),"Ew-101")</f>
        <v>Ew-101</v>
      </c>
    </row>
    <row r="157" spans="1:13" ht="12.5" x14ac:dyDescent="0.25">
      <c r="A157" t="str">
        <f ca="1">IFERROR(__xludf.DUMMYFUNCTION("""COMPUTED_VALUE"""),"Emily")</f>
        <v>Emily</v>
      </c>
      <c r="B157" t="str">
        <f ca="1">IFERROR(__xludf.DUMMYFUNCTION("""COMPUTED_VALUE"""),"Sindoro")</f>
        <v>Sindoro</v>
      </c>
      <c r="C157" t="str">
        <f ca="1">IFERROR(__xludf.DUMMYFUNCTION("""COMPUTED_VALUE"""),"Sindoro@gmailx.com")</f>
        <v>Sindoro@gmailx.com</v>
      </c>
      <c r="D157" t="str">
        <f ca="1">IFERROR(__xludf.DUMMYFUNCTION("""COMPUTED_VALUE"""),"Jakarta Pusat")</f>
        <v>Jakarta Pusat</v>
      </c>
      <c r="E157" s="12">
        <f ca="1">IFERROR(__xludf.DUMMYFUNCTION("""COMPUTED_VALUE"""),43296)</f>
        <v>43296</v>
      </c>
      <c r="F157" t="str">
        <f ca="1">IFERROR(__xludf.DUMMYFUNCTION("""COMPUTED_VALUE"""),"KP0625AF")</f>
        <v>KP0625AF</v>
      </c>
      <c r="G157" s="11">
        <f ca="1">IFERROR(__xludf.DUMMYFUNCTION("""COMPUTED_VALUE"""),96000000)</f>
        <v>96000000</v>
      </c>
      <c r="H157">
        <f ca="1">IFERROR(__xludf.DUMMYFUNCTION("""COMPUTED_VALUE"""),35138)</f>
        <v>35138</v>
      </c>
      <c r="I157">
        <f ca="1">IFERROR(__xludf.DUMMYFUNCTION("""COMPUTED_VALUE"""),8)</f>
        <v>8</v>
      </c>
      <c r="J157" t="str">
        <f ca="1">IFERROR(__xludf.DUMMYFUNCTION("""COMPUTED_VALUE"""),"N/A")</f>
        <v>N/A</v>
      </c>
      <c r="K157" t="str">
        <f ca="1">IFERROR(__xludf.DUMMYFUNCTION("""COMPUTED_VALUE"""),"Swift Delivery")</f>
        <v>Swift Delivery</v>
      </c>
      <c r="L157" t="str">
        <f ca="1">IFERROR(__xludf.DUMMYFUNCTION("""COMPUTED_VALUE"""),"Y")</f>
        <v>Y</v>
      </c>
      <c r="M157" t="str">
        <f ca="1">IFERROR(__xludf.DUMMYFUNCTION("""COMPUTED_VALUE"""),"Et-333")</f>
        <v>Et-333</v>
      </c>
    </row>
    <row r="158" spans="1:13" ht="12.5" x14ac:dyDescent="0.25">
      <c r="A158" t="str">
        <f ca="1">IFERROR(__xludf.DUMMYFUNCTION("""COMPUTED_VALUE"""),"Achirsyah")</f>
        <v>Achirsyah</v>
      </c>
      <c r="B158" t="str">
        <f ca="1">IFERROR(__xludf.DUMMYFUNCTION("""COMPUTED_VALUE"""),"Setiadi")</f>
        <v>Setiadi</v>
      </c>
      <c r="C158" t="str">
        <f ca="1">IFERROR(__xludf.DUMMYFUNCTION("""COMPUTED_VALUE"""),"Setiadi@livex.com")</f>
        <v>Setiadi@livex.com</v>
      </c>
      <c r="D158" t="str">
        <f ca="1">IFERROR(__xludf.DUMMYFUNCTION("""COMPUTED_VALUE"""),"Surabaya")</f>
        <v>Surabaya</v>
      </c>
      <c r="E158" s="12">
        <f ca="1">IFERROR(__xludf.DUMMYFUNCTION("""COMPUTED_VALUE"""),43295)</f>
        <v>43295</v>
      </c>
      <c r="F158" t="str">
        <f ca="1">IFERROR(__xludf.DUMMYFUNCTION("""COMPUTED_VALUE"""),"KP0350CF")</f>
        <v>KP0350CF</v>
      </c>
      <c r="G158" s="11">
        <f ca="1">IFERROR(__xludf.DUMMYFUNCTION("""COMPUTED_VALUE"""),210000000)</f>
        <v>210000000</v>
      </c>
      <c r="H158" t="str">
        <f ca="1">IFERROR(__xludf.DUMMYFUNCTION("""COMPUTED_VALUE"""),"35266")</f>
        <v>35266</v>
      </c>
      <c r="I158">
        <f ca="1">IFERROR(__xludf.DUMMYFUNCTION("""COMPUTED_VALUE"""),6)</f>
        <v>6</v>
      </c>
      <c r="J158" t="str">
        <f ca="1">IFERROR(__xludf.DUMMYFUNCTION("""COMPUTED_VALUE"""),"N/A")</f>
        <v>N/A</v>
      </c>
      <c r="K158" t="str">
        <f ca="1">IFERROR(__xludf.DUMMYFUNCTION("""COMPUTED_VALUE"""),"JENT")</f>
        <v>JENT</v>
      </c>
      <c r="L158" t="str">
        <f ca="1">IFERROR(__xludf.DUMMYFUNCTION("""COMPUTED_VALUE"""),"Y")</f>
        <v>Y</v>
      </c>
      <c r="M158" t="str">
        <f ca="1">IFERROR(__xludf.DUMMYFUNCTION("""COMPUTED_VALUE"""),"Ng-123")</f>
        <v>Ng-123</v>
      </c>
    </row>
    <row r="159" spans="1:13" ht="12.5" x14ac:dyDescent="0.25">
      <c r="A159" t="str">
        <f ca="1">IFERROR(__xludf.DUMMYFUNCTION("""COMPUTED_VALUE"""),"Dewi")</f>
        <v>Dewi</v>
      </c>
      <c r="B159" t="str">
        <f ca="1">IFERROR(__xludf.DUMMYFUNCTION("""COMPUTED_VALUE"""),"Soraya")</f>
        <v>Soraya</v>
      </c>
      <c r="C159" t="str">
        <f ca="1">IFERROR(__xludf.DUMMYFUNCTION("""COMPUTED_VALUE"""),"Dewi@icloudx.com")</f>
        <v>Dewi@icloudx.com</v>
      </c>
      <c r="D159" t="str">
        <f ca="1">IFERROR(__xludf.DUMMYFUNCTION("""COMPUTED_VALUE"""),"Mojokerto")</f>
        <v>Mojokerto</v>
      </c>
      <c r="E159" s="12">
        <f ca="1">IFERROR(__xludf.DUMMYFUNCTION("""COMPUTED_VALUE"""),43295)</f>
        <v>43295</v>
      </c>
      <c r="F159" t="str">
        <f ca="1">IFERROR(__xludf.DUMMYFUNCTION("""COMPUTED_VALUE"""),"KP0625AF")</f>
        <v>KP0625AF</v>
      </c>
      <c r="G159" s="11">
        <f ca="1">IFERROR(__xludf.DUMMYFUNCTION("""COMPUTED_VALUE"""),96000000)</f>
        <v>96000000</v>
      </c>
      <c r="H159">
        <f ca="1">IFERROR(__xludf.DUMMYFUNCTION("""COMPUTED_VALUE"""),35472)</f>
        <v>35472</v>
      </c>
      <c r="I159">
        <f ca="1">IFERROR(__xludf.DUMMYFUNCTION("""COMPUTED_VALUE"""),8)</f>
        <v>8</v>
      </c>
      <c r="J159">
        <f ca="1">IFERROR(__xludf.DUMMYFUNCTION("""COMPUTED_VALUE"""),4)</f>
        <v>4</v>
      </c>
      <c r="K159" t="str">
        <f ca="1">IFERROR(__xludf.DUMMYFUNCTION("""COMPUTED_VALUE"""),"JENT")</f>
        <v>JENT</v>
      </c>
      <c r="L159" t="str">
        <f ca="1">IFERROR(__xludf.DUMMYFUNCTION("""COMPUTED_VALUE"""),"Y")</f>
        <v>Y</v>
      </c>
      <c r="M159" t="str">
        <f ca="1">IFERROR(__xludf.DUMMYFUNCTION("""COMPUTED_VALUE"""),"Fe-123")</f>
        <v>Fe-123</v>
      </c>
    </row>
    <row r="160" spans="1:13" ht="12.5" x14ac:dyDescent="0.25">
      <c r="A160" t="str">
        <f ca="1">IFERROR(__xludf.DUMMYFUNCTION("""COMPUTED_VALUE"""),"Jo")</f>
        <v>Jo</v>
      </c>
      <c r="B160" t="str">
        <f ca="1">IFERROR(__xludf.DUMMYFUNCTION("""COMPUTED_VALUE"""),"Onggowarsito")</f>
        <v>Onggowarsito</v>
      </c>
      <c r="C160" t="str">
        <f ca="1">IFERROR(__xludf.DUMMYFUNCTION("""COMPUTED_VALUE"""),"Jo@ymailx.com")</f>
        <v>Jo@ymailx.com</v>
      </c>
      <c r="D160" t="str">
        <f ca="1">IFERROR(__xludf.DUMMYFUNCTION("""COMPUTED_VALUE"""),"Metro")</f>
        <v>Metro</v>
      </c>
      <c r="E160" s="12">
        <f ca="1">IFERROR(__xludf.DUMMYFUNCTION("""COMPUTED_VALUE"""),43295)</f>
        <v>43295</v>
      </c>
      <c r="F160" t="str">
        <f ca="1">IFERROR(__xludf.DUMMYFUNCTION("""COMPUTED_VALUE"""),"KP0350CF")</f>
        <v>KP0350CF</v>
      </c>
      <c r="G160" s="11">
        <f ca="1">IFERROR(__xludf.DUMMYFUNCTION("""COMPUTED_VALUE"""),245000000)</f>
        <v>245000000</v>
      </c>
      <c r="H160">
        <f ca="1">IFERROR(__xludf.DUMMYFUNCTION("""COMPUTED_VALUE"""),35838)</f>
        <v>35838</v>
      </c>
      <c r="I160">
        <f ca="1">IFERROR(__xludf.DUMMYFUNCTION("""COMPUTED_VALUE"""),7)</f>
        <v>7</v>
      </c>
      <c r="J160" t="str">
        <f ca="1">IFERROR(__xludf.DUMMYFUNCTION("""COMPUTED_VALUE"""),"N/A")</f>
        <v>N/A</v>
      </c>
      <c r="K160" t="str">
        <f ca="1">IFERROR(__xludf.DUMMYFUNCTION("""COMPUTED_VALUE"""),"JENT")</f>
        <v>JENT</v>
      </c>
      <c r="L160" t="str">
        <f ca="1">IFERROR(__xludf.DUMMYFUNCTION("""COMPUTED_VALUE"""),"Y")</f>
        <v>Y</v>
      </c>
      <c r="M160" t="str">
        <f ca="1">IFERROR(__xludf.DUMMYFUNCTION("""COMPUTED_VALUE"""),"Mm-150")</f>
        <v>Mm-150</v>
      </c>
    </row>
    <row r="161" spans="1:13" ht="12.5" x14ac:dyDescent="0.25">
      <c r="A161" t="str">
        <f ca="1">IFERROR(__xludf.DUMMYFUNCTION("""COMPUTED_VALUE"""),"Jogi")</f>
        <v>Jogi</v>
      </c>
      <c r="B161" t="str">
        <f ca="1">IFERROR(__xludf.DUMMYFUNCTION("""COMPUTED_VALUE"""),"Hermawan")</f>
        <v>Hermawan</v>
      </c>
      <c r="C161" t="str">
        <f ca="1">IFERROR(__xludf.DUMMYFUNCTION("""COMPUTED_VALUE"""),"Jogi@gmailx.com")</f>
        <v>Jogi@gmailx.com</v>
      </c>
      <c r="D161" t="str">
        <f ca="1">IFERROR(__xludf.DUMMYFUNCTION("""COMPUTED_VALUE"""),"Palu")</f>
        <v>Palu</v>
      </c>
      <c r="E161" s="12">
        <f ca="1">IFERROR(__xludf.DUMMYFUNCTION("""COMPUTED_VALUE"""),43294)</f>
        <v>43294</v>
      </c>
      <c r="F161" t="str">
        <f ca="1">IFERROR(__xludf.DUMMYFUNCTION("""COMPUTED_VALUE"""),"KP0850FB")</f>
        <v>KP0850FB</v>
      </c>
      <c r="G161" s="11">
        <f ca="1">IFERROR(__xludf.DUMMYFUNCTION("""COMPUTED_VALUE"""),42000000)</f>
        <v>42000000</v>
      </c>
      <c r="H161">
        <f ca="1">IFERROR(__xludf.DUMMYFUNCTION("""COMPUTED_VALUE"""),35582)</f>
        <v>35582</v>
      </c>
      <c r="I161">
        <f ca="1">IFERROR(__xludf.DUMMYFUNCTION("""COMPUTED_VALUE"""),2)</f>
        <v>2</v>
      </c>
      <c r="J161" t="str">
        <f ca="1">IFERROR(__xludf.DUMMYFUNCTION("""COMPUTED_VALUE"""),"N/A")</f>
        <v>N/A</v>
      </c>
      <c r="K161" t="str">
        <f ca="1">IFERROR(__xludf.DUMMYFUNCTION("""COMPUTED_VALUE"""),"Cepat Kirim")</f>
        <v>Cepat Kirim</v>
      </c>
      <c r="L161" t="str">
        <f ca="1">IFERROR(__xludf.DUMMYFUNCTION("""COMPUTED_VALUE"""),"Y")</f>
        <v>Y</v>
      </c>
      <c r="M161" t="str">
        <f ca="1">IFERROR(__xludf.DUMMYFUNCTION("""COMPUTED_VALUE"""),"Ik-280")</f>
        <v>Ik-280</v>
      </c>
    </row>
    <row r="162" spans="1:13" ht="12.5" x14ac:dyDescent="0.25">
      <c r="A162" t="str">
        <f ca="1">IFERROR(__xludf.DUMMYFUNCTION("""COMPUTED_VALUE"""),"James")</f>
        <v>James</v>
      </c>
      <c r="B162" t="str">
        <f ca="1">IFERROR(__xludf.DUMMYFUNCTION("""COMPUTED_VALUE"""),"Indra")</f>
        <v>Indra</v>
      </c>
      <c r="C162" t="str">
        <f ca="1">IFERROR(__xludf.DUMMYFUNCTION("""COMPUTED_VALUE"""),"Indra@gmailx.com")</f>
        <v>Indra@gmailx.com</v>
      </c>
      <c r="D162" t="str">
        <f ca="1">IFERROR(__xludf.DUMMYFUNCTION("""COMPUTED_VALUE"""),"Sawahlunto")</f>
        <v>Sawahlunto</v>
      </c>
      <c r="E162" s="12">
        <f ca="1">IFERROR(__xludf.DUMMYFUNCTION("""COMPUTED_VALUE"""),43294)</f>
        <v>43294</v>
      </c>
      <c r="F162" t="str">
        <f ca="1">IFERROR(__xludf.DUMMYFUNCTION("""COMPUTED_VALUE"""),"KP0150BH")</f>
        <v>KP0150BH</v>
      </c>
      <c r="G162" s="11">
        <f ca="1">IFERROR(__xludf.DUMMYFUNCTION("""COMPUTED_VALUE"""),162000000)</f>
        <v>162000000</v>
      </c>
      <c r="H162">
        <f ca="1">IFERROR(__xludf.DUMMYFUNCTION("""COMPUTED_VALUE"""),36029)</f>
        <v>36029</v>
      </c>
      <c r="I162">
        <f ca="1">IFERROR(__xludf.DUMMYFUNCTION("""COMPUTED_VALUE"""),6)</f>
        <v>6</v>
      </c>
      <c r="J162">
        <f ca="1">IFERROR(__xludf.DUMMYFUNCTION("""COMPUTED_VALUE"""),2)</f>
        <v>2</v>
      </c>
      <c r="K162" t="str">
        <f ca="1">IFERROR(__xludf.DUMMYFUNCTION("""COMPUTED_VALUE"""),"Swift Delivery")</f>
        <v>Swift Delivery</v>
      </c>
      <c r="L162" t="str">
        <f ca="1">IFERROR(__xludf.DUMMYFUNCTION("""COMPUTED_VALUE"""),"Y")</f>
        <v>Y</v>
      </c>
      <c r="M162" t="str">
        <f ca="1">IFERROR(__xludf.DUMMYFUNCTION("""COMPUTED_VALUE"""),"Wf-559")</f>
        <v>Wf-559</v>
      </c>
    </row>
    <row r="163" spans="1:13" ht="12.5" x14ac:dyDescent="0.25">
      <c r="A163" t="str">
        <f ca="1">IFERROR(__xludf.DUMMYFUNCTION("""COMPUTED_VALUE"""),"Mochammad")</f>
        <v>Mochammad</v>
      </c>
      <c r="B163" t="str">
        <f ca="1">IFERROR(__xludf.DUMMYFUNCTION("""COMPUTED_VALUE"""),"Tjahjadi")</f>
        <v>Tjahjadi</v>
      </c>
      <c r="C163" t="str">
        <f ca="1">IFERROR(__xludf.DUMMYFUNCTION("""COMPUTED_VALUE"""),"Mochammad@mex.com")</f>
        <v>Mochammad@mex.com</v>
      </c>
      <c r="D163" t="str">
        <f ca="1">IFERROR(__xludf.DUMMYFUNCTION("""COMPUTED_VALUE"""),"Cilegon")</f>
        <v>Cilegon</v>
      </c>
      <c r="E163" s="12">
        <f ca="1">IFERROR(__xludf.DUMMYFUNCTION("""COMPUTED_VALUE"""),43294)</f>
        <v>43294</v>
      </c>
      <c r="F163" t="str">
        <f ca="1">IFERROR(__xludf.DUMMYFUNCTION("""COMPUTED_VALUE"""),"KP0050AG")</f>
        <v>KP0050AG</v>
      </c>
      <c r="G163" s="11">
        <f ca="1">IFERROR(__xludf.DUMMYFUNCTION("""COMPUTED_VALUE"""),162500000)</f>
        <v>162500000</v>
      </c>
      <c r="H163">
        <f ca="1">IFERROR(__xludf.DUMMYFUNCTION("""COMPUTED_VALUE"""),36908)</f>
        <v>36908</v>
      </c>
      <c r="I163">
        <f ca="1">IFERROR(__xludf.DUMMYFUNCTION("""COMPUTED_VALUE"""),10)</f>
        <v>10</v>
      </c>
      <c r="J163">
        <f ca="1">IFERROR(__xludf.DUMMYFUNCTION("""COMPUTED_VALUE"""),4)</f>
        <v>4</v>
      </c>
      <c r="K163" t="str">
        <f ca="1">IFERROR(__xludf.DUMMYFUNCTION("""COMPUTED_VALUE"""),"Cepat Kirim")</f>
        <v>Cepat Kirim</v>
      </c>
      <c r="L163" t="str">
        <f ca="1">IFERROR(__xludf.DUMMYFUNCTION("""COMPUTED_VALUE"""),"Y")</f>
        <v>Y</v>
      </c>
      <c r="M163" t="str">
        <f ca="1">IFERROR(__xludf.DUMMYFUNCTION("""COMPUTED_VALUE"""),"Uo-500")</f>
        <v>Uo-500</v>
      </c>
    </row>
    <row r="164" spans="1:13" ht="12.5" x14ac:dyDescent="0.25">
      <c r="A164" t="str">
        <f ca="1">IFERROR(__xludf.DUMMYFUNCTION("""COMPUTED_VALUE"""),"Lucia")</f>
        <v>Lucia</v>
      </c>
      <c r="B164" t="str">
        <f ca="1">IFERROR(__xludf.DUMMYFUNCTION("""COMPUTED_VALUE"""),"Irawan")</f>
        <v>Irawan</v>
      </c>
      <c r="C164" t="str">
        <f ca="1">IFERROR(__xludf.DUMMYFUNCTION("""COMPUTED_VALUE"""),"Lucia@outlookx.com")</f>
        <v>Lucia@outlookx.com</v>
      </c>
      <c r="D164" t="str">
        <f ca="1">IFERROR(__xludf.DUMMYFUNCTION("""COMPUTED_VALUE"""),"Mojokerto")</f>
        <v>Mojokerto</v>
      </c>
      <c r="E164" s="12">
        <f ca="1">IFERROR(__xludf.DUMMYFUNCTION("""COMPUTED_VALUE"""),43441)</f>
        <v>43441</v>
      </c>
      <c r="F164" t="str">
        <f ca="1">IFERROR(__xludf.DUMMYFUNCTION("""COMPUTED_VALUE"""),"KP0925SG")</f>
        <v>KP0925SG</v>
      </c>
      <c r="G164" s="11">
        <f ca="1">IFERROR(__xludf.DUMMYFUNCTION("""COMPUTED_VALUE"""),135000000)</f>
        <v>135000000</v>
      </c>
      <c r="H164">
        <f ca="1">IFERROR(__xludf.DUMMYFUNCTION("""COMPUTED_VALUE"""),35934)</f>
        <v>35934</v>
      </c>
      <c r="I164">
        <f ca="1">IFERROR(__xludf.DUMMYFUNCTION("""COMPUTED_VALUE"""),9)</f>
        <v>9</v>
      </c>
      <c r="J164">
        <f ca="1">IFERROR(__xludf.DUMMYFUNCTION("""COMPUTED_VALUE"""),4)</f>
        <v>4</v>
      </c>
      <c r="K164" t="str">
        <f ca="1">IFERROR(__xludf.DUMMYFUNCTION("""COMPUTED_VALUE"""),"JENT")</f>
        <v>JENT</v>
      </c>
      <c r="L164" t="str">
        <f ca="1">IFERROR(__xludf.DUMMYFUNCTION("""COMPUTED_VALUE"""),"Y")</f>
        <v>Y</v>
      </c>
      <c r="M164" t="str">
        <f ca="1">IFERROR(__xludf.DUMMYFUNCTION("""COMPUTED_VALUE"""),"Tt-123")</f>
        <v>Tt-123</v>
      </c>
    </row>
    <row r="165" spans="1:13" ht="12.5" x14ac:dyDescent="0.25">
      <c r="A165" t="str">
        <f ca="1">IFERROR(__xludf.DUMMYFUNCTION("""COMPUTED_VALUE"""),"George")</f>
        <v>George</v>
      </c>
      <c r="B165" t="str">
        <f ca="1">IFERROR(__xludf.DUMMYFUNCTION("""COMPUTED_VALUE"""),"Hakim")</f>
        <v>Hakim</v>
      </c>
      <c r="C165" t="str">
        <f ca="1">IFERROR(__xludf.DUMMYFUNCTION("""COMPUTED_VALUE"""),"George@ymailx.com")</f>
        <v>George@ymailx.com</v>
      </c>
      <c r="D165" t="str">
        <f ca="1">IFERROR(__xludf.DUMMYFUNCTION("""COMPUTED_VALUE"""),"Pontianak")</f>
        <v>Pontianak</v>
      </c>
      <c r="E165" s="12">
        <f ca="1">IFERROR(__xludf.DUMMYFUNCTION("""COMPUTED_VALUE"""),43380)</f>
        <v>43380</v>
      </c>
      <c r="F165" t="str">
        <f ca="1">IFERROR(__xludf.DUMMYFUNCTION("""COMPUTED_VALUE"""),"KP0050AG")</f>
        <v>KP0050AG</v>
      </c>
      <c r="G165" s="11">
        <f ca="1">IFERROR(__xludf.DUMMYFUNCTION("""COMPUTED_VALUE"""),146250000)</f>
        <v>146250000</v>
      </c>
      <c r="H165">
        <f ca="1">IFERROR(__xludf.DUMMYFUNCTION("""COMPUTED_VALUE"""),35165)</f>
        <v>35165</v>
      </c>
      <c r="I165">
        <f ca="1">IFERROR(__xludf.DUMMYFUNCTION("""COMPUTED_VALUE"""),9)</f>
        <v>9</v>
      </c>
      <c r="J165" t="str">
        <f ca="1">IFERROR(__xludf.DUMMYFUNCTION("""COMPUTED_VALUE"""),"N/A")</f>
        <v>N/A</v>
      </c>
      <c r="K165" t="str">
        <f ca="1">IFERROR(__xludf.DUMMYFUNCTION("""COMPUTED_VALUE"""),"Pru Logistic")</f>
        <v>Pru Logistic</v>
      </c>
      <c r="L165" t="str">
        <f ca="1">IFERROR(__xludf.DUMMYFUNCTION("""COMPUTED_VALUE"""),"Y")</f>
        <v>Y</v>
      </c>
      <c r="M165" t="str">
        <f ca="1">IFERROR(__xludf.DUMMYFUNCTION("""COMPUTED_VALUE"""),"Lv-880")</f>
        <v>Lv-880</v>
      </c>
    </row>
    <row r="166" spans="1:13" ht="12.5" x14ac:dyDescent="0.25">
      <c r="A166" t="str">
        <f ca="1">IFERROR(__xludf.DUMMYFUNCTION("""COMPUTED_VALUE"""),"Hilmi")</f>
        <v>Hilmi</v>
      </c>
      <c r="B166" t="str">
        <f ca="1">IFERROR(__xludf.DUMMYFUNCTION("""COMPUTED_VALUE"""),"Charles")</f>
        <v>Charles</v>
      </c>
      <c r="C166" t="str">
        <f ca="1">IFERROR(__xludf.DUMMYFUNCTION("""COMPUTED_VALUE"""),"Charles@gmailx.com")</f>
        <v>Charles@gmailx.com</v>
      </c>
      <c r="D166" t="str">
        <f ca="1">IFERROR(__xludf.DUMMYFUNCTION("""COMPUTED_VALUE"""),"Bogor")</f>
        <v>Bogor</v>
      </c>
      <c r="E166" s="12">
        <f ca="1">IFERROR(__xludf.DUMMYFUNCTION("""COMPUTED_VALUE"""),43380)</f>
        <v>43380</v>
      </c>
      <c r="F166" t="str">
        <f ca="1">IFERROR(__xludf.DUMMYFUNCTION("""COMPUTED_VALUE"""),"KP0750AJ")</f>
        <v>KP0750AJ</v>
      </c>
      <c r="G166" s="11">
        <f ca="1">IFERROR(__xludf.DUMMYFUNCTION("""COMPUTED_VALUE"""),144000000)</f>
        <v>144000000</v>
      </c>
      <c r="H166">
        <f ca="1">IFERROR(__xludf.DUMMYFUNCTION("""COMPUTED_VALUE"""),35698)</f>
        <v>35698</v>
      </c>
      <c r="I166">
        <f ca="1">IFERROR(__xludf.DUMMYFUNCTION("""COMPUTED_VALUE"""),8)</f>
        <v>8</v>
      </c>
      <c r="J166" t="str">
        <f ca="1">IFERROR(__xludf.DUMMYFUNCTION("""COMPUTED_VALUE"""),"N/A")</f>
        <v>N/A</v>
      </c>
      <c r="K166" t="str">
        <f ca="1">IFERROR(__xludf.DUMMYFUNCTION("""COMPUTED_VALUE"""),"Swift Delivery")</f>
        <v>Swift Delivery</v>
      </c>
      <c r="L166" t="str">
        <f ca="1">IFERROR(__xludf.DUMMYFUNCTION("""COMPUTED_VALUE"""),"Y")</f>
        <v>Y</v>
      </c>
      <c r="M166" t="str">
        <f ca="1">IFERROR(__xludf.DUMMYFUNCTION("""COMPUTED_VALUE"""),"Oc-409")</f>
        <v>Oc-409</v>
      </c>
    </row>
    <row r="167" spans="1:13" ht="12.5" x14ac:dyDescent="0.25">
      <c r="A167" t="str">
        <f ca="1">IFERROR(__xludf.DUMMYFUNCTION("""COMPUTED_VALUE"""),"Herman")</f>
        <v>Herman</v>
      </c>
      <c r="B167" t="str">
        <f ca="1">IFERROR(__xludf.DUMMYFUNCTION("""COMPUTED_VALUE"""),"Noveda")</f>
        <v>Noveda</v>
      </c>
      <c r="C167" t="str">
        <f ca="1">IFERROR(__xludf.DUMMYFUNCTION("""COMPUTED_VALUE"""),"Noveda@gmailx.com")</f>
        <v>Noveda@gmailx.com</v>
      </c>
      <c r="D167" t="str">
        <f ca="1">IFERROR(__xludf.DUMMYFUNCTION("""COMPUTED_VALUE"""),"Sibolga")</f>
        <v>Sibolga</v>
      </c>
      <c r="E167" s="12">
        <f ca="1">IFERROR(__xludf.DUMMYFUNCTION("""COMPUTED_VALUE"""),43380)</f>
        <v>43380</v>
      </c>
      <c r="F167" t="str">
        <f ca="1">IFERROR(__xludf.DUMMYFUNCTION("""COMPUTED_VALUE"""),"KP0425CB")</f>
        <v>KP0425CB</v>
      </c>
      <c r="G167" s="11">
        <f ca="1">IFERROR(__xludf.DUMMYFUNCTION("""COMPUTED_VALUE"""),190750000)</f>
        <v>190750000</v>
      </c>
      <c r="H167">
        <f ca="1">IFERROR(__xludf.DUMMYFUNCTION("""COMPUTED_VALUE"""),36455)</f>
        <v>36455</v>
      </c>
      <c r="I167">
        <f ca="1">IFERROR(__xludf.DUMMYFUNCTION("""COMPUTED_VALUE"""),7)</f>
        <v>7</v>
      </c>
      <c r="J167">
        <f ca="1">IFERROR(__xludf.DUMMYFUNCTION("""COMPUTED_VALUE"""),5)</f>
        <v>5</v>
      </c>
      <c r="K167" t="str">
        <f ca="1">IFERROR(__xludf.DUMMYFUNCTION("""COMPUTED_VALUE"""),"Cepat Kirim")</f>
        <v>Cepat Kirim</v>
      </c>
      <c r="L167" t="str">
        <f ca="1">IFERROR(__xludf.DUMMYFUNCTION("""COMPUTED_VALUE"""),"Y")</f>
        <v>Y</v>
      </c>
      <c r="M167" t="str">
        <f ca="1">IFERROR(__xludf.DUMMYFUNCTION("""COMPUTED_VALUE"""),"Hi-662")</f>
        <v>Hi-662</v>
      </c>
    </row>
    <row r="168" spans="1:13" ht="12.5" x14ac:dyDescent="0.25">
      <c r="A168" t="str">
        <f ca="1">IFERROR(__xludf.DUMMYFUNCTION("""COMPUTED_VALUE"""),"Andry")</f>
        <v>Andry</v>
      </c>
      <c r="B168" t="str">
        <f ca="1">IFERROR(__xludf.DUMMYFUNCTION("""COMPUTED_VALUE"""),"Prasetio")</f>
        <v>Prasetio</v>
      </c>
      <c r="C168" t="str">
        <f ca="1">IFERROR(__xludf.DUMMYFUNCTION("""COMPUTED_VALUE"""),"Prasetio@livex.com")</f>
        <v>Prasetio@livex.com</v>
      </c>
      <c r="D168" t="str">
        <f ca="1">IFERROR(__xludf.DUMMYFUNCTION("""COMPUTED_VALUE"""),"Palembang")</f>
        <v>Palembang</v>
      </c>
      <c r="E168" s="12">
        <f ca="1">IFERROR(__xludf.DUMMYFUNCTION("""COMPUTED_VALUE"""),43350)</f>
        <v>43350</v>
      </c>
      <c r="F168" t="str">
        <f ca="1">IFERROR(__xludf.DUMMYFUNCTION("""COMPUTED_VALUE"""),"KP0850FB")</f>
        <v>KP0850FB</v>
      </c>
      <c r="G168" s="11">
        <f ca="1">IFERROR(__xludf.DUMMYFUNCTION("""COMPUTED_VALUE"""),63000000)</f>
        <v>63000000</v>
      </c>
      <c r="H168">
        <f ca="1">IFERROR(__xludf.DUMMYFUNCTION("""COMPUTED_VALUE"""),36363)</f>
        <v>36363</v>
      </c>
      <c r="I168">
        <f ca="1">IFERROR(__xludf.DUMMYFUNCTION("""COMPUTED_VALUE"""),3)</f>
        <v>3</v>
      </c>
      <c r="J168" t="str">
        <f ca="1">IFERROR(__xludf.DUMMYFUNCTION("""COMPUTED_VALUE"""),"N/A")</f>
        <v>N/A</v>
      </c>
      <c r="K168" t="str">
        <f ca="1">IFERROR(__xludf.DUMMYFUNCTION("""COMPUTED_VALUE"""),"JENT")</f>
        <v>JENT</v>
      </c>
      <c r="L168" t="str">
        <f ca="1">IFERROR(__xludf.DUMMYFUNCTION("""COMPUTED_VALUE"""),"Y")</f>
        <v>Y</v>
      </c>
      <c r="M168" t="str">
        <f ca="1">IFERROR(__xludf.DUMMYFUNCTION("""COMPUTED_VALUE"""),"Ed-661")</f>
        <v>Ed-661</v>
      </c>
    </row>
    <row r="169" spans="1:13" ht="12.5" x14ac:dyDescent="0.25">
      <c r="A169" t="str">
        <f ca="1">IFERROR(__xludf.DUMMYFUNCTION("""COMPUTED_VALUE"""),"Indra")</f>
        <v>Indra</v>
      </c>
      <c r="B169" t="str">
        <f ca="1">IFERROR(__xludf.DUMMYFUNCTION("""COMPUTED_VALUE"""),"Purna")</f>
        <v>Purna</v>
      </c>
      <c r="C169" t="str">
        <f ca="1">IFERROR(__xludf.DUMMYFUNCTION("""COMPUTED_VALUE"""),"Indra@ymailx.com")</f>
        <v>Indra@ymailx.com</v>
      </c>
      <c r="D169" t="str">
        <f ca="1">IFERROR(__xludf.DUMMYFUNCTION("""COMPUTED_VALUE"""),"Pontianak")</f>
        <v>Pontianak</v>
      </c>
      <c r="E169" s="12">
        <f ca="1">IFERROR(__xludf.DUMMYFUNCTION("""COMPUTED_VALUE"""),43350)</f>
        <v>43350</v>
      </c>
      <c r="F169" t="str">
        <f ca="1">IFERROR(__xludf.DUMMYFUNCTION("""COMPUTED_VALUE"""),"KP0925SG")</f>
        <v>KP0925SG</v>
      </c>
      <c r="G169" s="11">
        <f ca="1">IFERROR(__xludf.DUMMYFUNCTION("""COMPUTED_VALUE"""),30000000)</f>
        <v>30000000</v>
      </c>
      <c r="H169">
        <f ca="1">IFERROR(__xludf.DUMMYFUNCTION("""COMPUTED_VALUE"""),36610)</f>
        <v>36610</v>
      </c>
      <c r="I169">
        <f ca="1">IFERROR(__xludf.DUMMYFUNCTION("""COMPUTED_VALUE"""),2)</f>
        <v>2</v>
      </c>
      <c r="J169">
        <f ca="1">IFERROR(__xludf.DUMMYFUNCTION("""COMPUTED_VALUE"""),5)</f>
        <v>5</v>
      </c>
      <c r="K169" t="str">
        <f ca="1">IFERROR(__xludf.DUMMYFUNCTION("""COMPUTED_VALUE"""),"Wakanda Express")</f>
        <v>Wakanda Express</v>
      </c>
      <c r="L169" t="str">
        <f ca="1">IFERROR(__xludf.DUMMYFUNCTION("""COMPUTED_VALUE"""),"Y")</f>
        <v>Y</v>
      </c>
      <c r="M169" t="str">
        <f ca="1">IFERROR(__xludf.DUMMYFUNCTION("""COMPUTED_VALUE"""),"Pa-880")</f>
        <v>Pa-880</v>
      </c>
    </row>
    <row r="170" spans="1:13" ht="12.5" x14ac:dyDescent="0.25">
      <c r="A170" t="str">
        <f ca="1">IFERROR(__xludf.DUMMYFUNCTION("""COMPUTED_VALUE"""),"Jennie")</f>
        <v>Jennie</v>
      </c>
      <c r="B170" t="str">
        <f ca="1">IFERROR(__xludf.DUMMYFUNCTION("""COMPUTED_VALUE"""),"Gosal")</f>
        <v>Gosal</v>
      </c>
      <c r="C170" t="str">
        <f ca="1">IFERROR(__xludf.DUMMYFUNCTION("""COMPUTED_VALUE"""),"Jennie@gmailx.com")</f>
        <v>Jennie@gmailx.com</v>
      </c>
      <c r="D170" t="str">
        <f ca="1">IFERROR(__xludf.DUMMYFUNCTION("""COMPUTED_VALUE"""),"Padang")</f>
        <v>Padang</v>
      </c>
      <c r="E170" s="12">
        <f ca="1">IFERROR(__xludf.DUMMYFUNCTION("""COMPUTED_VALUE"""),43319)</f>
        <v>43319</v>
      </c>
      <c r="F170" t="str">
        <f ca="1">IFERROR(__xludf.DUMMYFUNCTION("""COMPUTED_VALUE"""),"KP0850FB")</f>
        <v>KP0850FB</v>
      </c>
      <c r="G170" s="11">
        <f ca="1">IFERROR(__xludf.DUMMYFUNCTION("""COMPUTED_VALUE"""),210000000)</f>
        <v>210000000</v>
      </c>
      <c r="H170">
        <f ca="1">IFERROR(__xludf.DUMMYFUNCTION("""COMPUTED_VALUE"""),36779)</f>
        <v>36779</v>
      </c>
      <c r="I170">
        <f ca="1">IFERROR(__xludf.DUMMYFUNCTION("""COMPUTED_VALUE"""),10)</f>
        <v>10</v>
      </c>
      <c r="J170" t="str">
        <f ca="1">IFERROR(__xludf.DUMMYFUNCTION("""COMPUTED_VALUE"""),"N/A")</f>
        <v>N/A</v>
      </c>
      <c r="K170" t="str">
        <f ca="1">IFERROR(__xludf.DUMMYFUNCTION("""COMPUTED_VALUE"""),"JENT")</f>
        <v>JENT</v>
      </c>
      <c r="L170" t="str">
        <f ca="1">IFERROR(__xludf.DUMMYFUNCTION("""COMPUTED_VALUE"""),"Y")</f>
        <v>Y</v>
      </c>
      <c r="M170" t="str">
        <f ca="1">IFERROR(__xludf.DUMMYFUNCTION("""COMPUTED_VALUE"""),"Po-559")</f>
        <v>Po-559</v>
      </c>
    </row>
    <row r="171" spans="1:13" ht="12.5" x14ac:dyDescent="0.25">
      <c r="A171" t="str">
        <f ca="1">IFERROR(__xludf.DUMMYFUNCTION("""COMPUTED_VALUE"""),"Mario")</f>
        <v>Mario</v>
      </c>
      <c r="B171" t="str">
        <f ca="1">IFERROR(__xludf.DUMMYFUNCTION("""COMPUTED_VALUE"""),"Setiawan")</f>
        <v>Setiawan</v>
      </c>
      <c r="C171" t="str">
        <f ca="1">IFERROR(__xludf.DUMMYFUNCTION("""COMPUTED_VALUE"""),"Setiawan@rocketmailx.com")</f>
        <v>Setiawan@rocketmailx.com</v>
      </c>
      <c r="D171" t="str">
        <f ca="1">IFERROR(__xludf.DUMMYFUNCTION("""COMPUTED_VALUE"""),"Cilegon")</f>
        <v>Cilegon</v>
      </c>
      <c r="E171" s="12">
        <f ca="1">IFERROR(__xludf.DUMMYFUNCTION("""COMPUTED_VALUE"""),43288)</f>
        <v>43288</v>
      </c>
      <c r="F171" t="str">
        <f ca="1">IFERROR(__xludf.DUMMYFUNCTION("""COMPUTED_VALUE"""),"KP0550EH")</f>
        <v>KP0550EH</v>
      </c>
      <c r="G171" s="11">
        <f ca="1">IFERROR(__xludf.DUMMYFUNCTION("""COMPUTED_VALUE"""),450000000)</f>
        <v>450000000</v>
      </c>
      <c r="H171">
        <f ca="1">IFERROR(__xludf.DUMMYFUNCTION("""COMPUTED_VALUE"""),36448)</f>
        <v>36448</v>
      </c>
      <c r="I171">
        <f ca="1">IFERROR(__xludf.DUMMYFUNCTION("""COMPUTED_VALUE"""),10)</f>
        <v>10</v>
      </c>
      <c r="J171">
        <f ca="1">IFERROR(__xludf.DUMMYFUNCTION("""COMPUTED_VALUE"""),4)</f>
        <v>4</v>
      </c>
      <c r="K171" t="str">
        <f ca="1">IFERROR(__xludf.DUMMYFUNCTION("""COMPUTED_VALUE"""),"Swift Delivery")</f>
        <v>Swift Delivery</v>
      </c>
      <c r="L171" t="str">
        <f ca="1">IFERROR(__xludf.DUMMYFUNCTION("""COMPUTED_VALUE"""),"Y")</f>
        <v>Y</v>
      </c>
      <c r="M171" t="str">
        <f ca="1">IFERROR(__xludf.DUMMYFUNCTION("""COMPUTED_VALUE"""),"Fy-500")</f>
        <v>Fy-500</v>
      </c>
    </row>
    <row r="172" spans="1:13" ht="12.5" x14ac:dyDescent="0.25">
      <c r="A172" t="str">
        <f ca="1">IFERROR(__xludf.DUMMYFUNCTION("""COMPUTED_VALUE"""),"Fahmi")</f>
        <v>Fahmi</v>
      </c>
      <c r="B172" t="str">
        <f ca="1">IFERROR(__xludf.DUMMYFUNCTION("""COMPUTED_VALUE"""),"Sutanto")</f>
        <v>Sutanto</v>
      </c>
      <c r="C172" t="str">
        <f ca="1">IFERROR(__xludf.DUMMYFUNCTION("""COMPUTED_VALUE"""),"Fahmi@ymailx.com")</f>
        <v>Fahmi@ymailx.com</v>
      </c>
      <c r="D172" t="str">
        <f ca="1">IFERROR(__xludf.DUMMYFUNCTION("""COMPUTED_VALUE"""),"Dumai")</f>
        <v>Dumai</v>
      </c>
      <c r="E172" s="12">
        <f ca="1">IFERROR(__xludf.DUMMYFUNCTION("""COMPUTED_VALUE"""),43227)</f>
        <v>43227</v>
      </c>
      <c r="F172" t="str">
        <f ca="1">IFERROR(__xludf.DUMMYFUNCTION("""COMPUTED_VALUE"""),"KP0050AG")</f>
        <v>KP0050AG</v>
      </c>
      <c r="G172" s="11">
        <f ca="1">IFERROR(__xludf.DUMMYFUNCTION("""COMPUTED_VALUE"""),48750000)</f>
        <v>48750000</v>
      </c>
      <c r="H172">
        <f ca="1">IFERROR(__xludf.DUMMYFUNCTION("""COMPUTED_VALUE"""),36738)</f>
        <v>36738</v>
      </c>
      <c r="I172">
        <f ca="1">IFERROR(__xludf.DUMMYFUNCTION("""COMPUTED_VALUE"""),3)</f>
        <v>3</v>
      </c>
      <c r="J172" t="str">
        <f ca="1">IFERROR(__xludf.DUMMYFUNCTION("""COMPUTED_VALUE"""),"N/A")</f>
        <v>N/A</v>
      </c>
      <c r="K172" t="str">
        <f ca="1">IFERROR(__xludf.DUMMYFUNCTION("""COMPUTED_VALUE"""),"Wakanda Express")</f>
        <v>Wakanda Express</v>
      </c>
      <c r="L172" t="str">
        <f ca="1">IFERROR(__xludf.DUMMYFUNCTION("""COMPUTED_VALUE"""),"Y")</f>
        <v>Y</v>
      </c>
      <c r="M172" t="str">
        <f ca="1">IFERROR(__xludf.DUMMYFUNCTION("""COMPUTED_VALUE"""),"Mi-222")</f>
        <v>Mi-222</v>
      </c>
    </row>
    <row r="173" spans="1:13" ht="12.5" x14ac:dyDescent="0.25">
      <c r="A173" t="str">
        <f ca="1">IFERROR(__xludf.DUMMYFUNCTION("""COMPUTED_VALUE"""),"Samudra")</f>
        <v>Samudra</v>
      </c>
      <c r="B173" t="str">
        <f ca="1">IFERROR(__xludf.DUMMYFUNCTION("""COMPUTED_VALUE"""),"Abdullah")</f>
        <v>Abdullah</v>
      </c>
      <c r="C173" t="str">
        <f ca="1">IFERROR(__xludf.DUMMYFUNCTION("""COMPUTED_VALUE"""),"Abdullah@livex.com")</f>
        <v>Abdullah@livex.com</v>
      </c>
      <c r="D173" t="str">
        <f ca="1">IFERROR(__xludf.DUMMYFUNCTION("""COMPUTED_VALUE"""),"Bau-Bau")</f>
        <v>Bau-Bau</v>
      </c>
      <c r="E173" s="12">
        <f ca="1">IFERROR(__xludf.DUMMYFUNCTION("""COMPUTED_VALUE"""),43227)</f>
        <v>43227</v>
      </c>
      <c r="F173" t="str">
        <f ca="1">IFERROR(__xludf.DUMMYFUNCTION("""COMPUTED_VALUE"""),"KP0150BH")</f>
        <v>KP0150BH</v>
      </c>
      <c r="G173" s="11">
        <f ca="1">IFERROR(__xludf.DUMMYFUNCTION("""COMPUTED_VALUE"""),243000000)</f>
        <v>243000000</v>
      </c>
      <c r="H173">
        <f ca="1">IFERROR(__xludf.DUMMYFUNCTION("""COMPUTED_VALUE"""),36953)</f>
        <v>36953</v>
      </c>
      <c r="I173">
        <f ca="1">IFERROR(__xludf.DUMMYFUNCTION("""COMPUTED_VALUE"""),9)</f>
        <v>9</v>
      </c>
      <c r="J173" t="str">
        <f ca="1">IFERROR(__xludf.DUMMYFUNCTION("""COMPUTED_VALUE"""),"N/A")</f>
        <v>N/A</v>
      </c>
      <c r="K173" t="str">
        <f ca="1">IFERROR(__xludf.DUMMYFUNCTION("""COMPUTED_VALUE"""),"Wakanda Express")</f>
        <v>Wakanda Express</v>
      </c>
      <c r="L173" t="str">
        <f ca="1">IFERROR(__xludf.DUMMYFUNCTION("""COMPUTED_VALUE"""),"N")</f>
        <v>N</v>
      </c>
      <c r="M173" t="str">
        <f ca="1">IFERROR(__xludf.DUMMYFUNCTION("""COMPUTED_VALUE"""),"Ug-250")</f>
        <v>Ug-250</v>
      </c>
    </row>
    <row r="174" spans="1:13" ht="12.5" x14ac:dyDescent="0.25">
      <c r="A174" t="str">
        <f ca="1">IFERROR(__xludf.DUMMYFUNCTION("""COMPUTED_VALUE"""),"Finney")</f>
        <v>Finney</v>
      </c>
      <c r="B174" t="str">
        <f ca="1">IFERROR(__xludf.DUMMYFUNCTION("""COMPUTED_VALUE"""),"Tee")</f>
        <v>Tee</v>
      </c>
      <c r="C174" t="str">
        <f ca="1">IFERROR(__xludf.DUMMYFUNCTION("""COMPUTED_VALUE"""),"Finney@outlookx.com")</f>
        <v>Finney@outlookx.com</v>
      </c>
      <c r="D174" t="str">
        <f ca="1">IFERROR(__xludf.DUMMYFUNCTION("""COMPUTED_VALUE"""),"Cilegon")</f>
        <v>Cilegon</v>
      </c>
      <c r="E174" s="12">
        <f ca="1">IFERROR(__xludf.DUMMYFUNCTION("""COMPUTED_VALUE"""),43166)</f>
        <v>43166</v>
      </c>
      <c r="F174" t="str">
        <f ca="1">IFERROR(__xludf.DUMMYFUNCTION("""COMPUTED_VALUE"""),"KP0925SG")</f>
        <v>KP0925SG</v>
      </c>
      <c r="G174" s="11">
        <f ca="1">IFERROR(__xludf.DUMMYFUNCTION("""COMPUTED_VALUE"""),60000000)</f>
        <v>60000000</v>
      </c>
      <c r="H174">
        <f ca="1">IFERROR(__xludf.DUMMYFUNCTION("""COMPUTED_VALUE"""),35662)</f>
        <v>35662</v>
      </c>
      <c r="I174">
        <f ca="1">IFERROR(__xludf.DUMMYFUNCTION("""COMPUTED_VALUE"""),4)</f>
        <v>4</v>
      </c>
      <c r="J174">
        <f ca="1">IFERROR(__xludf.DUMMYFUNCTION("""COMPUTED_VALUE"""),2)</f>
        <v>2</v>
      </c>
      <c r="K174" t="str">
        <f ca="1">IFERROR(__xludf.DUMMYFUNCTION("""COMPUTED_VALUE"""),"Pru Logistic")</f>
        <v>Pru Logistic</v>
      </c>
      <c r="L174" t="str">
        <f ca="1">IFERROR(__xludf.DUMMYFUNCTION("""COMPUTED_VALUE"""),"Y")</f>
        <v>Y</v>
      </c>
      <c r="M174" t="str">
        <f ca="1">IFERROR(__xludf.DUMMYFUNCTION("""COMPUTED_VALUE"""),"Ee-500")</f>
        <v>Ee-500</v>
      </c>
    </row>
    <row r="175" spans="1:13" ht="12.5" x14ac:dyDescent="0.25">
      <c r="A175" t="str">
        <f ca="1">IFERROR(__xludf.DUMMYFUNCTION("""COMPUTED_VALUE"""),"Hastuti")</f>
        <v>Hastuti</v>
      </c>
      <c r="B175" t="str">
        <f ca="1">IFERROR(__xludf.DUMMYFUNCTION("""COMPUTED_VALUE"""),"Arwin")</f>
        <v>Arwin</v>
      </c>
      <c r="C175" t="str">
        <f ca="1">IFERROR(__xludf.DUMMYFUNCTION("""COMPUTED_VALUE"""),"Arwin@ymailx.com")</f>
        <v>Arwin@ymailx.com</v>
      </c>
      <c r="D175" t="str">
        <f ca="1">IFERROR(__xludf.DUMMYFUNCTION("""COMPUTED_VALUE"""),"Parepare")</f>
        <v>Parepare</v>
      </c>
      <c r="E175" s="12">
        <f ca="1">IFERROR(__xludf.DUMMYFUNCTION("""COMPUTED_VALUE"""),43279)</f>
        <v>43279</v>
      </c>
      <c r="F175" t="str">
        <f ca="1">IFERROR(__xludf.DUMMYFUNCTION("""COMPUTED_VALUE"""),"KP0925SG")</f>
        <v>KP0925SG</v>
      </c>
      <c r="G175" s="11">
        <f ca="1">IFERROR(__xludf.DUMMYFUNCTION("""COMPUTED_VALUE"""),150000000)</f>
        <v>150000000</v>
      </c>
      <c r="H175">
        <f ca="1">IFERROR(__xludf.DUMMYFUNCTION("""COMPUTED_VALUE"""),35735)</f>
        <v>35735</v>
      </c>
      <c r="I175">
        <f ca="1">IFERROR(__xludf.DUMMYFUNCTION("""COMPUTED_VALUE"""),10)</f>
        <v>10</v>
      </c>
      <c r="J175" t="str">
        <f ca="1">IFERROR(__xludf.DUMMYFUNCTION("""COMPUTED_VALUE"""),"N/A")</f>
        <v>N/A</v>
      </c>
      <c r="K175" t="str">
        <f ca="1">IFERROR(__xludf.DUMMYFUNCTION("""COMPUTED_VALUE"""),"Wakanda Express")</f>
        <v>Wakanda Express</v>
      </c>
      <c r="L175" t="str">
        <f ca="1">IFERROR(__xludf.DUMMYFUNCTION("""COMPUTED_VALUE"""),"Y")</f>
        <v>Y</v>
      </c>
      <c r="M175" t="str">
        <f ca="1">IFERROR(__xludf.DUMMYFUNCTION("""COMPUTED_VALUE"""),"Wi-290")</f>
        <v>Wi-290</v>
      </c>
    </row>
    <row r="176" spans="1:13" ht="12.5" x14ac:dyDescent="0.25">
      <c r="A176" t="str">
        <f ca="1">IFERROR(__xludf.DUMMYFUNCTION("""COMPUTED_VALUE"""),"I")</f>
        <v>I</v>
      </c>
      <c r="B176" t="str">
        <f ca="1">IFERROR(__xludf.DUMMYFUNCTION("""COMPUTED_VALUE"""),"Hardjono")</f>
        <v>Hardjono</v>
      </c>
      <c r="C176" t="str">
        <f ca="1">IFERROR(__xludf.DUMMYFUNCTION("""COMPUTED_VALUE"""),"Hardjono@ymailx.com")</f>
        <v>Hardjono@ymailx.com</v>
      </c>
      <c r="D176" t="str">
        <f ca="1">IFERROR(__xludf.DUMMYFUNCTION("""COMPUTED_VALUE"""),"Pontianak")</f>
        <v>Pontianak</v>
      </c>
      <c r="E176" s="12">
        <f ca="1">IFERROR(__xludf.DUMMYFUNCTION("""COMPUTED_VALUE"""),43278)</f>
        <v>43278</v>
      </c>
      <c r="F176" t="str">
        <f ca="1">IFERROR(__xludf.DUMMYFUNCTION("""COMPUTED_VALUE"""),"KP0225BB")</f>
        <v>KP0225BB</v>
      </c>
      <c r="G176" s="11">
        <f ca="1">IFERROR(__xludf.DUMMYFUNCTION("""COMPUTED_VALUE"""),20000000)</f>
        <v>20000000</v>
      </c>
      <c r="H176">
        <f ca="1">IFERROR(__xludf.DUMMYFUNCTION("""COMPUTED_VALUE"""),36853)</f>
        <v>36853</v>
      </c>
      <c r="I176">
        <f ca="1">IFERROR(__xludf.DUMMYFUNCTION("""COMPUTED_VALUE"""),2)</f>
        <v>2</v>
      </c>
      <c r="J176" t="str">
        <f ca="1">IFERROR(__xludf.DUMMYFUNCTION("""COMPUTED_VALUE"""),"N/A")</f>
        <v>N/A</v>
      </c>
      <c r="K176" t="str">
        <f ca="1">IFERROR(__xludf.DUMMYFUNCTION("""COMPUTED_VALUE"""),"JENT")</f>
        <v>JENT</v>
      </c>
      <c r="L176" t="str">
        <f ca="1">IFERROR(__xludf.DUMMYFUNCTION("""COMPUTED_VALUE"""),"Y")</f>
        <v>Y</v>
      </c>
      <c r="M176" t="str">
        <f ca="1">IFERROR(__xludf.DUMMYFUNCTION("""COMPUTED_VALUE"""),"Kq-880")</f>
        <v>Kq-880</v>
      </c>
    </row>
    <row r="177" spans="1:13" ht="12.5" x14ac:dyDescent="0.25">
      <c r="A177" t="str">
        <f ca="1">IFERROR(__xludf.DUMMYFUNCTION("""COMPUTED_VALUE"""),"Gahral")</f>
        <v>Gahral</v>
      </c>
      <c r="B177" t="str">
        <f ca="1">IFERROR(__xludf.DUMMYFUNCTION("""COMPUTED_VALUE"""),"Santoso")</f>
        <v>Santoso</v>
      </c>
      <c r="C177" t="str">
        <f ca="1">IFERROR(__xludf.DUMMYFUNCTION("""COMPUTED_VALUE"""),"Gahral@ymailx.com")</f>
        <v>Gahral@ymailx.com</v>
      </c>
      <c r="D177" t="str">
        <f ca="1">IFERROR(__xludf.DUMMYFUNCTION("""COMPUTED_VALUE"""),"Bandung")</f>
        <v>Bandung</v>
      </c>
      <c r="E177" s="12">
        <f ca="1">IFERROR(__xludf.DUMMYFUNCTION("""COMPUTED_VALUE"""),43277)</f>
        <v>43277</v>
      </c>
      <c r="F177" t="str">
        <f ca="1">IFERROR(__xludf.DUMMYFUNCTION("""COMPUTED_VALUE"""),"KP0925SG")</f>
        <v>KP0925SG</v>
      </c>
      <c r="G177" s="11">
        <f ca="1">IFERROR(__xludf.DUMMYFUNCTION("""COMPUTED_VALUE"""),75000000)</f>
        <v>75000000</v>
      </c>
      <c r="H177">
        <f ca="1">IFERROR(__xludf.DUMMYFUNCTION("""COMPUTED_VALUE"""),36664)</f>
        <v>36664</v>
      </c>
      <c r="I177">
        <f ca="1">IFERROR(__xludf.DUMMYFUNCTION("""COMPUTED_VALUE"""),5)</f>
        <v>5</v>
      </c>
      <c r="J177">
        <f ca="1">IFERROR(__xludf.DUMMYFUNCTION("""COMPUTED_VALUE"""),4)</f>
        <v>4</v>
      </c>
      <c r="K177" t="str">
        <f ca="1">IFERROR(__xludf.DUMMYFUNCTION("""COMPUTED_VALUE"""),"JENT")</f>
        <v>JENT</v>
      </c>
      <c r="L177" t="str">
        <f ca="1">IFERROR(__xludf.DUMMYFUNCTION("""COMPUTED_VALUE"""),"Y")</f>
        <v>Y</v>
      </c>
      <c r="M177" t="str">
        <f ca="1">IFERROR(__xludf.DUMMYFUNCTION("""COMPUTED_VALUE"""),"Gw-409")</f>
        <v>Gw-409</v>
      </c>
    </row>
    <row r="178" spans="1:13" ht="12.5" x14ac:dyDescent="0.25">
      <c r="A178" t="str">
        <f ca="1">IFERROR(__xludf.DUMMYFUNCTION("""COMPUTED_VALUE"""),"Meiliana")</f>
        <v>Meiliana</v>
      </c>
      <c r="B178" t="str">
        <f ca="1">IFERROR(__xludf.DUMMYFUNCTION("""COMPUTED_VALUE"""),"Syarfuan")</f>
        <v>Syarfuan</v>
      </c>
      <c r="C178" t="str">
        <f ca="1">IFERROR(__xludf.DUMMYFUNCTION("""COMPUTED_VALUE"""),"Syarfuan@outlookx.com")</f>
        <v>Syarfuan@outlookx.com</v>
      </c>
      <c r="D178" t="str">
        <f ca="1">IFERROR(__xludf.DUMMYFUNCTION("""COMPUTED_VALUE"""),"Binjai")</f>
        <v>Binjai</v>
      </c>
      <c r="E178" s="12">
        <f ca="1">IFERROR(__xludf.DUMMYFUNCTION("""COMPUTED_VALUE"""),43276)</f>
        <v>43276</v>
      </c>
      <c r="F178" t="str">
        <f ca="1">IFERROR(__xludf.DUMMYFUNCTION("""COMPUTED_VALUE"""),"KP0350CF")</f>
        <v>KP0350CF</v>
      </c>
      <c r="G178" s="11">
        <f ca="1">IFERROR(__xludf.DUMMYFUNCTION("""COMPUTED_VALUE"""),210000000)</f>
        <v>210000000</v>
      </c>
      <c r="H178">
        <f ca="1">IFERROR(__xludf.DUMMYFUNCTION("""COMPUTED_VALUE"""),35260)</f>
        <v>35260</v>
      </c>
      <c r="I178">
        <f ca="1">IFERROR(__xludf.DUMMYFUNCTION("""COMPUTED_VALUE"""),6)</f>
        <v>6</v>
      </c>
      <c r="J178" t="str">
        <f ca="1">IFERROR(__xludf.DUMMYFUNCTION("""COMPUTED_VALUE"""),"N/A")</f>
        <v>N/A</v>
      </c>
      <c r="K178" t="str">
        <f ca="1">IFERROR(__xludf.DUMMYFUNCTION("""COMPUTED_VALUE"""),"Wakanda Express")</f>
        <v>Wakanda Express</v>
      </c>
      <c r="L178" t="str">
        <f ca="1">IFERROR(__xludf.DUMMYFUNCTION("""COMPUTED_VALUE"""),"Y")</f>
        <v>Y</v>
      </c>
      <c r="M178" t="str">
        <f ca="1">IFERROR(__xludf.DUMMYFUNCTION("""COMPUTED_VALUE"""),"Zn-662")</f>
        <v>Zn-662</v>
      </c>
    </row>
    <row r="179" spans="1:13" ht="12.5" x14ac:dyDescent="0.25">
      <c r="A179" t="str">
        <f ca="1">IFERROR(__xludf.DUMMYFUNCTION("""COMPUTED_VALUE"""),"Made")</f>
        <v>Made</v>
      </c>
      <c r="B179" t="str">
        <f ca="1">IFERROR(__xludf.DUMMYFUNCTION("""COMPUTED_VALUE"""),"Tjoa")</f>
        <v>Tjoa</v>
      </c>
      <c r="C179" t="str">
        <f ca="1">IFERROR(__xludf.DUMMYFUNCTION("""COMPUTED_VALUE"""),"Made@outlookx.com")</f>
        <v>Made@outlookx.com</v>
      </c>
      <c r="D179" t="str">
        <f ca="1">IFERROR(__xludf.DUMMYFUNCTION("""COMPUTED_VALUE"""),"Surakarta")</f>
        <v>Surakarta</v>
      </c>
      <c r="E179" s="12">
        <f ca="1">IFERROR(__xludf.DUMMYFUNCTION("""COMPUTED_VALUE"""),43275)</f>
        <v>43275</v>
      </c>
      <c r="F179" t="str">
        <f ca="1">IFERROR(__xludf.DUMMYFUNCTION("""COMPUTED_VALUE"""),"KP0850FB")</f>
        <v>KP0850FB</v>
      </c>
      <c r="G179" s="11">
        <f ca="1">IFERROR(__xludf.DUMMYFUNCTION("""COMPUTED_VALUE"""),168000000)</f>
        <v>168000000</v>
      </c>
      <c r="H179">
        <f ca="1">IFERROR(__xludf.DUMMYFUNCTION("""COMPUTED_VALUE"""),36895)</f>
        <v>36895</v>
      </c>
      <c r="I179">
        <f ca="1">IFERROR(__xludf.DUMMYFUNCTION("""COMPUTED_VALUE"""),8)</f>
        <v>8</v>
      </c>
      <c r="J179" t="str">
        <f ca="1">IFERROR(__xludf.DUMMYFUNCTION("""COMPUTED_VALUE"""),"N/A")</f>
        <v>N/A</v>
      </c>
      <c r="K179" t="str">
        <f ca="1">IFERROR(__xludf.DUMMYFUNCTION("""COMPUTED_VALUE"""),"Cepat Kirim")</f>
        <v>Cepat Kirim</v>
      </c>
      <c r="L179" t="str">
        <f ca="1">IFERROR(__xludf.DUMMYFUNCTION("""COMPUTED_VALUE"""),"Y")</f>
        <v>Y</v>
      </c>
      <c r="M179" t="str">
        <f ca="1">IFERROR(__xludf.DUMMYFUNCTION("""COMPUTED_VALUE"""),"Mg-410")</f>
        <v>Mg-410</v>
      </c>
    </row>
    <row r="180" spans="1:13" ht="12.5" x14ac:dyDescent="0.25">
      <c r="A180" t="str">
        <f ca="1">IFERROR(__xludf.DUMMYFUNCTION("""COMPUTED_VALUE"""),"Candra")</f>
        <v>Candra</v>
      </c>
      <c r="B180" t="str">
        <f ca="1">IFERROR(__xludf.DUMMYFUNCTION("""COMPUTED_VALUE"""),"Sik")</f>
        <v>Sik</v>
      </c>
      <c r="C180" t="str">
        <f ca="1">IFERROR(__xludf.DUMMYFUNCTION("""COMPUTED_VALUE"""),"Sik@outlookx.com")</f>
        <v>Sik@outlookx.com</v>
      </c>
      <c r="D180" t="str">
        <f ca="1">IFERROR(__xludf.DUMMYFUNCTION("""COMPUTED_VALUE"""),"Kediri")</f>
        <v>Kediri</v>
      </c>
      <c r="E180" s="12">
        <f ca="1">IFERROR(__xludf.DUMMYFUNCTION("""COMPUTED_VALUE"""),43272)</f>
        <v>43272</v>
      </c>
      <c r="F180" t="str">
        <f ca="1">IFERROR(__xludf.DUMMYFUNCTION("""COMPUTED_VALUE"""),"KP0925SG")</f>
        <v>KP0925SG</v>
      </c>
      <c r="G180" s="11">
        <f ca="1">IFERROR(__xludf.DUMMYFUNCTION("""COMPUTED_VALUE"""),45000000)</f>
        <v>45000000</v>
      </c>
      <c r="H180">
        <f ca="1">IFERROR(__xludf.DUMMYFUNCTION("""COMPUTED_VALUE"""),35832)</f>
        <v>35832</v>
      </c>
      <c r="I180">
        <f ca="1">IFERROR(__xludf.DUMMYFUNCTION("""COMPUTED_VALUE"""),3)</f>
        <v>3</v>
      </c>
      <c r="J180" t="str">
        <f ca="1">IFERROR(__xludf.DUMMYFUNCTION("""COMPUTED_VALUE"""),"N/A")</f>
        <v>N/A</v>
      </c>
      <c r="K180" t="str">
        <f ca="1">IFERROR(__xludf.DUMMYFUNCTION("""COMPUTED_VALUE"""),"Cepat Kirim")</f>
        <v>Cepat Kirim</v>
      </c>
      <c r="L180" t="str">
        <f ca="1">IFERROR(__xludf.DUMMYFUNCTION("""COMPUTED_VALUE"""),"Y")</f>
        <v>Y</v>
      </c>
      <c r="M180" t="str">
        <f ca="1">IFERROR(__xludf.DUMMYFUNCTION("""COMPUTED_VALUE"""),"Mk-123")</f>
        <v>Mk-123</v>
      </c>
    </row>
    <row r="181" spans="1:13" ht="12.5" x14ac:dyDescent="0.25">
      <c r="A181" t="str">
        <f ca="1">IFERROR(__xludf.DUMMYFUNCTION("""COMPUTED_VALUE"""),"Freddy")</f>
        <v>Freddy</v>
      </c>
      <c r="B181" t="str">
        <f ca="1">IFERROR(__xludf.DUMMYFUNCTION("""COMPUTED_VALUE"""),"Ali")</f>
        <v>Ali</v>
      </c>
      <c r="C181" t="str">
        <f ca="1">IFERROR(__xludf.DUMMYFUNCTION("""COMPUTED_VALUE"""),"Freddy@livex.com")</f>
        <v>Freddy@livex.com</v>
      </c>
      <c r="D181" t="str">
        <f ca="1">IFERROR(__xludf.DUMMYFUNCTION("""COMPUTED_VALUE"""),"Sabang")</f>
        <v>Sabang</v>
      </c>
      <c r="E181" s="12">
        <f ca="1">IFERROR(__xludf.DUMMYFUNCTION("""COMPUTED_VALUE"""),43270)</f>
        <v>43270</v>
      </c>
      <c r="F181" t="str">
        <f ca="1">IFERROR(__xludf.DUMMYFUNCTION("""COMPUTED_VALUE"""),"KP0850FB")</f>
        <v>KP0850FB</v>
      </c>
      <c r="G181" s="11">
        <f ca="1">IFERROR(__xludf.DUMMYFUNCTION("""COMPUTED_VALUE"""),210000000)</f>
        <v>210000000</v>
      </c>
      <c r="H181">
        <f ca="1">IFERROR(__xludf.DUMMYFUNCTION("""COMPUTED_VALUE"""),35578)</f>
        <v>35578</v>
      </c>
      <c r="I181">
        <f ca="1">IFERROR(__xludf.DUMMYFUNCTION("""COMPUTED_VALUE"""),10)</f>
        <v>10</v>
      </c>
      <c r="J181" t="str">
        <f ca="1">IFERROR(__xludf.DUMMYFUNCTION("""COMPUTED_VALUE"""),"N/A")</f>
        <v>N/A</v>
      </c>
      <c r="K181" t="str">
        <f ca="1">IFERROR(__xludf.DUMMYFUNCTION("""COMPUTED_VALUE"""),"Pru Logistic")</f>
        <v>Pru Logistic</v>
      </c>
      <c r="L181" t="str">
        <f ca="1">IFERROR(__xludf.DUMMYFUNCTION("""COMPUTED_VALUE"""),"Y")</f>
        <v>Y</v>
      </c>
      <c r="M181" t="str">
        <f ca="1">IFERROR(__xludf.DUMMYFUNCTION("""COMPUTED_VALUE"""),"Gw-101")</f>
        <v>Gw-101</v>
      </c>
    </row>
    <row r="182" spans="1:13" ht="12.5" x14ac:dyDescent="0.25">
      <c r="A182" t="str">
        <f ca="1">IFERROR(__xludf.DUMMYFUNCTION("""COMPUTED_VALUE"""),"Philip")</f>
        <v>Philip</v>
      </c>
      <c r="B182" t="str">
        <f ca="1">IFERROR(__xludf.DUMMYFUNCTION("""COMPUTED_VALUE"""),"Setiawan")</f>
        <v>Setiawan</v>
      </c>
      <c r="C182" t="str">
        <f ca="1">IFERROR(__xludf.DUMMYFUNCTION("""COMPUTED_VALUE"""),"Setiawan@icloudx.com")</f>
        <v>Setiawan@icloudx.com</v>
      </c>
      <c r="D182" t="str">
        <f ca="1">IFERROR(__xludf.DUMMYFUNCTION("""COMPUTED_VALUE"""),"Palembang")</f>
        <v>Palembang</v>
      </c>
      <c r="E182" s="12">
        <f ca="1">IFERROR(__xludf.DUMMYFUNCTION("""COMPUTED_VALUE"""),43269)</f>
        <v>43269</v>
      </c>
      <c r="F182" t="str">
        <f ca="1">IFERROR(__xludf.DUMMYFUNCTION("""COMPUTED_VALUE"""),"KP0925SG")</f>
        <v>KP0925SG</v>
      </c>
      <c r="G182" s="11">
        <f ca="1">IFERROR(__xludf.DUMMYFUNCTION("""COMPUTED_VALUE"""),45000000)</f>
        <v>45000000</v>
      </c>
      <c r="H182">
        <f ca="1">IFERROR(__xludf.DUMMYFUNCTION("""COMPUTED_VALUE"""),35101)</f>
        <v>35101</v>
      </c>
      <c r="I182">
        <f ca="1">IFERROR(__xludf.DUMMYFUNCTION("""COMPUTED_VALUE"""),3)</f>
        <v>3</v>
      </c>
      <c r="J182">
        <f ca="1">IFERROR(__xludf.DUMMYFUNCTION("""COMPUTED_VALUE"""),4)</f>
        <v>4</v>
      </c>
      <c r="K182" t="str">
        <f ca="1">IFERROR(__xludf.DUMMYFUNCTION("""COMPUTED_VALUE"""),"Wakanda Express")</f>
        <v>Wakanda Express</v>
      </c>
      <c r="L182" t="str">
        <f ca="1">IFERROR(__xludf.DUMMYFUNCTION("""COMPUTED_VALUE"""),"N")</f>
        <v>N</v>
      </c>
      <c r="M182" t="str">
        <f ca="1">IFERROR(__xludf.DUMMYFUNCTION("""COMPUTED_VALUE"""),"Qj-661")</f>
        <v>Qj-661</v>
      </c>
    </row>
    <row r="183" spans="1:13" ht="12.5" x14ac:dyDescent="0.25">
      <c r="A183" t="str">
        <f ca="1">IFERROR(__xludf.DUMMYFUNCTION("""COMPUTED_VALUE"""),"Harjanto")</f>
        <v>Harjanto</v>
      </c>
      <c r="B183" t="str">
        <f ca="1">IFERROR(__xludf.DUMMYFUNCTION("""COMPUTED_VALUE"""),"Texania")</f>
        <v>Texania</v>
      </c>
      <c r="C183" t="str">
        <f ca="1">IFERROR(__xludf.DUMMYFUNCTION("""COMPUTED_VALUE"""),"Harjanto@ymailx.com")</f>
        <v>Harjanto@ymailx.com</v>
      </c>
      <c r="D183" t="str">
        <f ca="1">IFERROR(__xludf.DUMMYFUNCTION("""COMPUTED_VALUE"""),"Binjai")</f>
        <v>Binjai</v>
      </c>
      <c r="E183" s="12">
        <f ca="1">IFERROR(__xludf.DUMMYFUNCTION("""COMPUTED_VALUE"""),43268)</f>
        <v>43268</v>
      </c>
      <c r="F183" t="str">
        <f ca="1">IFERROR(__xludf.DUMMYFUNCTION("""COMPUTED_VALUE"""),"KP0225BB")</f>
        <v>KP0225BB</v>
      </c>
      <c r="G183" s="11">
        <f ca="1">IFERROR(__xludf.DUMMYFUNCTION("""COMPUTED_VALUE"""),50000000)</f>
        <v>50000000</v>
      </c>
      <c r="H183">
        <f ca="1">IFERROR(__xludf.DUMMYFUNCTION("""COMPUTED_VALUE"""),36315)</f>
        <v>36315</v>
      </c>
      <c r="I183">
        <f ca="1">IFERROR(__xludf.DUMMYFUNCTION("""COMPUTED_VALUE"""),5)</f>
        <v>5</v>
      </c>
      <c r="J183" t="str">
        <f ca="1">IFERROR(__xludf.DUMMYFUNCTION("""COMPUTED_VALUE"""),"N/A")</f>
        <v>N/A</v>
      </c>
      <c r="K183" t="str">
        <f ca="1">IFERROR(__xludf.DUMMYFUNCTION("""COMPUTED_VALUE"""),"JENT")</f>
        <v>JENT</v>
      </c>
      <c r="L183" t="str">
        <f ca="1">IFERROR(__xludf.DUMMYFUNCTION("""COMPUTED_VALUE"""),"Y")</f>
        <v>Y</v>
      </c>
      <c r="M183" t="str">
        <f ca="1">IFERROR(__xludf.DUMMYFUNCTION("""COMPUTED_VALUE"""),"Xm-662")</f>
        <v>Xm-662</v>
      </c>
    </row>
    <row r="184" spans="1:13" ht="12.5" x14ac:dyDescent="0.25">
      <c r="A184" t="str">
        <f ca="1">IFERROR(__xludf.DUMMYFUNCTION("""COMPUTED_VALUE"""),"Bambang")</f>
        <v>Bambang</v>
      </c>
      <c r="B184" t="str">
        <f ca="1">IFERROR(__xludf.DUMMYFUNCTION("""COMPUTED_VALUE"""),"Soewarno")</f>
        <v>Soewarno</v>
      </c>
      <c r="C184" t="str">
        <f ca="1">IFERROR(__xludf.DUMMYFUNCTION("""COMPUTED_VALUE"""),"Soewarno@outlookx.com")</f>
        <v>Soewarno@outlookx.com</v>
      </c>
      <c r="D184" t="str">
        <f ca="1">IFERROR(__xludf.DUMMYFUNCTION("""COMPUTED_VALUE"""),"Pangkalpinang")</f>
        <v>Pangkalpinang</v>
      </c>
      <c r="E184" s="12">
        <f ca="1">IFERROR(__xludf.DUMMYFUNCTION("""COMPUTED_VALUE"""),43267)</f>
        <v>43267</v>
      </c>
      <c r="F184" t="str">
        <f ca="1">IFERROR(__xludf.DUMMYFUNCTION("""COMPUTED_VALUE"""),"KP0925SG")</f>
        <v>KP0925SG</v>
      </c>
      <c r="G184" s="11">
        <f ca="1">IFERROR(__xludf.DUMMYFUNCTION("""COMPUTED_VALUE"""),30000000)</f>
        <v>30000000</v>
      </c>
      <c r="H184">
        <f ca="1">IFERROR(__xludf.DUMMYFUNCTION("""COMPUTED_VALUE"""),35345)</f>
        <v>35345</v>
      </c>
      <c r="I184">
        <f ca="1">IFERROR(__xludf.DUMMYFUNCTION("""COMPUTED_VALUE"""),2)</f>
        <v>2</v>
      </c>
      <c r="J184">
        <f ca="1">IFERROR(__xludf.DUMMYFUNCTION("""COMPUTED_VALUE"""),4)</f>
        <v>4</v>
      </c>
      <c r="K184" t="str">
        <f ca="1">IFERROR(__xludf.DUMMYFUNCTION("""COMPUTED_VALUE"""),"Wakanda Express")</f>
        <v>Wakanda Express</v>
      </c>
      <c r="L184" t="str">
        <f ca="1">IFERROR(__xludf.DUMMYFUNCTION("""COMPUTED_VALUE"""),"Y")</f>
        <v>Y</v>
      </c>
      <c r="M184" t="str">
        <f ca="1">IFERROR(__xludf.DUMMYFUNCTION("""COMPUTED_VALUE"""),"Yj-120")</f>
        <v>Yj-120</v>
      </c>
    </row>
    <row r="185" spans="1:13" ht="12.5" x14ac:dyDescent="0.25">
      <c r="A185" t="str">
        <f ca="1">IFERROR(__xludf.DUMMYFUNCTION("""COMPUTED_VALUE"""),"Reza")</f>
        <v>Reza</v>
      </c>
      <c r="B185" t="str">
        <f ca="1">IFERROR(__xludf.DUMMYFUNCTION("""COMPUTED_VALUE"""),"Magdalena")</f>
        <v>Magdalena</v>
      </c>
      <c r="C185" t="str">
        <f ca="1">IFERROR(__xludf.DUMMYFUNCTION("""COMPUTED_VALUE"""),"Reza@ymailx.com")</f>
        <v>Reza@ymailx.com</v>
      </c>
      <c r="D185" t="str">
        <f ca="1">IFERROR(__xludf.DUMMYFUNCTION("""COMPUTED_VALUE"""),"Sungai Penuh")</f>
        <v>Sungai Penuh</v>
      </c>
      <c r="E185" s="12">
        <f ca="1">IFERROR(__xludf.DUMMYFUNCTION("""COMPUTED_VALUE"""),43267)</f>
        <v>43267</v>
      </c>
      <c r="F185" t="str">
        <f ca="1">IFERROR(__xludf.DUMMYFUNCTION("""COMPUTED_VALUE"""),"KP0750AJ")</f>
        <v>KP0750AJ</v>
      </c>
      <c r="G185" s="11">
        <f ca="1">IFERROR(__xludf.DUMMYFUNCTION("""COMPUTED_VALUE"""),180000000)</f>
        <v>180000000</v>
      </c>
      <c r="H185">
        <f ca="1">IFERROR(__xludf.DUMMYFUNCTION("""COMPUTED_VALUE"""),35028)</f>
        <v>35028</v>
      </c>
      <c r="I185">
        <f ca="1">IFERROR(__xludf.DUMMYFUNCTION("""COMPUTED_VALUE"""),10)</f>
        <v>10</v>
      </c>
      <c r="J185" t="str">
        <f ca="1">IFERROR(__xludf.DUMMYFUNCTION("""COMPUTED_VALUE"""),"N/A")</f>
        <v>N/A</v>
      </c>
      <c r="K185" t="str">
        <f ca="1">IFERROR(__xludf.DUMMYFUNCTION("""COMPUTED_VALUE"""),"JENT")</f>
        <v>JENT</v>
      </c>
      <c r="L185" t="str">
        <f ca="1">IFERROR(__xludf.DUMMYFUNCTION("""COMPUTED_VALUE"""),"N")</f>
        <v>N</v>
      </c>
      <c r="M185" t="str">
        <f ca="1">IFERROR(__xludf.DUMMYFUNCTION("""COMPUTED_VALUE"""),"Ca-512")</f>
        <v>Ca-512</v>
      </c>
    </row>
    <row r="186" spans="1:13" ht="12.5" x14ac:dyDescent="0.25">
      <c r="A186" t="str">
        <f ca="1">IFERROR(__xludf.DUMMYFUNCTION("""COMPUTED_VALUE"""),"Prem")</f>
        <v>Prem</v>
      </c>
      <c r="B186" t="str">
        <f ca="1">IFERROR(__xludf.DUMMYFUNCTION("""COMPUTED_VALUE"""),"Tjahja")</f>
        <v>Tjahja</v>
      </c>
      <c r="C186" t="str">
        <f ca="1">IFERROR(__xludf.DUMMYFUNCTION("""COMPUTED_VALUE"""),"Prem@mex.com")</f>
        <v>Prem@mex.com</v>
      </c>
      <c r="D186" t="str">
        <f ca="1">IFERROR(__xludf.DUMMYFUNCTION("""COMPUTED_VALUE"""),"Pematangsiantar")</f>
        <v>Pematangsiantar</v>
      </c>
      <c r="E186" s="12">
        <f ca="1">IFERROR(__xludf.DUMMYFUNCTION("""COMPUTED_VALUE"""),43267)</f>
        <v>43267</v>
      </c>
      <c r="F186" t="str">
        <f ca="1">IFERROR(__xludf.DUMMYFUNCTION("""COMPUTED_VALUE"""),"KP0750AJ")</f>
        <v>KP0750AJ</v>
      </c>
      <c r="G186" s="11">
        <f ca="1">IFERROR(__xludf.DUMMYFUNCTION("""COMPUTED_VALUE"""),90000000)</f>
        <v>90000000</v>
      </c>
      <c r="H186">
        <f ca="1">IFERROR(__xludf.DUMMYFUNCTION("""COMPUTED_VALUE"""),36417)</f>
        <v>36417</v>
      </c>
      <c r="I186">
        <f ca="1">IFERROR(__xludf.DUMMYFUNCTION("""COMPUTED_VALUE"""),5)</f>
        <v>5</v>
      </c>
      <c r="J186" t="str">
        <f ca="1">IFERROR(__xludf.DUMMYFUNCTION("""COMPUTED_VALUE"""),"N/A")</f>
        <v>N/A</v>
      </c>
      <c r="K186" t="str">
        <f ca="1">IFERROR(__xludf.DUMMYFUNCTION("""COMPUTED_VALUE"""),"Cepat Kirim")</f>
        <v>Cepat Kirim</v>
      </c>
      <c r="L186" t="str">
        <f ca="1">IFERROR(__xludf.DUMMYFUNCTION("""COMPUTED_VALUE"""),"N")</f>
        <v>N</v>
      </c>
      <c r="M186" t="str">
        <f ca="1">IFERROR(__xludf.DUMMYFUNCTION("""COMPUTED_VALUE"""),"Fd-662")</f>
        <v>Fd-662</v>
      </c>
    </row>
    <row r="187" spans="1:13" ht="12.5" x14ac:dyDescent="0.25">
      <c r="A187" t="str">
        <f ca="1">IFERROR(__xludf.DUMMYFUNCTION("""COMPUTED_VALUE"""),"Jusuf")</f>
        <v>Jusuf</v>
      </c>
      <c r="B187" t="str">
        <f ca="1">IFERROR(__xludf.DUMMYFUNCTION("""COMPUTED_VALUE"""),"Wijaya")</f>
        <v>Wijaya</v>
      </c>
      <c r="C187" t="str">
        <f ca="1">IFERROR(__xludf.DUMMYFUNCTION("""COMPUTED_VALUE"""),"Jusuf@gmailx.com")</f>
        <v>Jusuf@gmailx.com</v>
      </c>
      <c r="D187" t="str">
        <f ca="1">IFERROR(__xludf.DUMMYFUNCTION("""COMPUTED_VALUE"""),"Surabaya")</f>
        <v>Surabaya</v>
      </c>
      <c r="E187" s="12">
        <f ca="1">IFERROR(__xludf.DUMMYFUNCTION("""COMPUTED_VALUE"""),43440)</f>
        <v>43440</v>
      </c>
      <c r="F187" t="str">
        <f ca="1">IFERROR(__xludf.DUMMYFUNCTION("""COMPUTED_VALUE"""),"KP0425CB")</f>
        <v>KP0425CB</v>
      </c>
      <c r="G187" s="11">
        <f ca="1">IFERROR(__xludf.DUMMYFUNCTION("""COMPUTED_VALUE"""),54500000)</f>
        <v>54500000</v>
      </c>
      <c r="H187">
        <f ca="1">IFERROR(__xludf.DUMMYFUNCTION("""COMPUTED_VALUE"""),35892)</f>
        <v>35892</v>
      </c>
      <c r="I187">
        <f ca="1">IFERROR(__xludf.DUMMYFUNCTION("""COMPUTED_VALUE"""),2)</f>
        <v>2</v>
      </c>
      <c r="J187" t="str">
        <f ca="1">IFERROR(__xludf.DUMMYFUNCTION("""COMPUTED_VALUE"""),"N/A")</f>
        <v>N/A</v>
      </c>
      <c r="K187" t="str">
        <f ca="1">IFERROR(__xludf.DUMMYFUNCTION("""COMPUTED_VALUE"""),"JENT")</f>
        <v>JENT</v>
      </c>
      <c r="L187" t="str">
        <f ca="1">IFERROR(__xludf.DUMMYFUNCTION("""COMPUTED_VALUE"""),"Y")</f>
        <v>Y</v>
      </c>
      <c r="M187" t="str">
        <f ca="1">IFERROR(__xludf.DUMMYFUNCTION("""COMPUTED_VALUE"""),"Ie-123")</f>
        <v>Ie-123</v>
      </c>
    </row>
    <row r="188" spans="1:13" ht="12.5" x14ac:dyDescent="0.25">
      <c r="A188" t="str">
        <f ca="1">IFERROR(__xludf.DUMMYFUNCTION("""COMPUTED_VALUE"""),"Johan")</f>
        <v>Johan</v>
      </c>
      <c r="B188" t="str">
        <f ca="1">IFERROR(__xludf.DUMMYFUNCTION("""COMPUTED_VALUE"""),"Rosabella")</f>
        <v>Rosabella</v>
      </c>
      <c r="C188" t="str">
        <f ca="1">IFERROR(__xludf.DUMMYFUNCTION("""COMPUTED_VALUE"""),"Rosabella@gmailx.com")</f>
        <v>Rosabella@gmailx.com</v>
      </c>
      <c r="D188" t="str">
        <f ca="1">IFERROR(__xludf.DUMMYFUNCTION("""COMPUTED_VALUE"""),"Ambon")</f>
        <v>Ambon</v>
      </c>
      <c r="E188" s="12">
        <f ca="1">IFERROR(__xludf.DUMMYFUNCTION("""COMPUTED_VALUE"""),43410)</f>
        <v>43410</v>
      </c>
      <c r="F188" t="str">
        <f ca="1">IFERROR(__xludf.DUMMYFUNCTION("""COMPUTED_VALUE"""),"KP0850FB")</f>
        <v>KP0850FB</v>
      </c>
      <c r="G188" s="11">
        <f ca="1">IFERROR(__xludf.DUMMYFUNCTION("""COMPUTED_VALUE"""),210000000)</f>
        <v>210000000</v>
      </c>
      <c r="H188">
        <f ca="1">IFERROR(__xludf.DUMMYFUNCTION("""COMPUTED_VALUE"""),35032)</f>
        <v>35032</v>
      </c>
      <c r="I188">
        <f ca="1">IFERROR(__xludf.DUMMYFUNCTION("""COMPUTED_VALUE"""),10)</f>
        <v>10</v>
      </c>
      <c r="J188">
        <f ca="1">IFERROR(__xludf.DUMMYFUNCTION("""COMPUTED_VALUE"""),4)</f>
        <v>4</v>
      </c>
      <c r="K188" t="str">
        <f ca="1">IFERROR(__xludf.DUMMYFUNCTION("""COMPUTED_VALUE"""),"Wakanda Express")</f>
        <v>Wakanda Express</v>
      </c>
      <c r="L188" t="str">
        <f ca="1">IFERROR(__xludf.DUMMYFUNCTION("""COMPUTED_VALUE"""),"Y")</f>
        <v>Y</v>
      </c>
      <c r="M188" t="str">
        <f ca="1">IFERROR(__xludf.DUMMYFUNCTION("""COMPUTED_VALUE"""),"Oj-171")</f>
        <v>Oj-171</v>
      </c>
    </row>
    <row r="189" spans="1:13" ht="12.5" x14ac:dyDescent="0.25">
      <c r="A189" t="str">
        <f ca="1">IFERROR(__xludf.DUMMYFUNCTION("""COMPUTED_VALUE"""),"Liliana")</f>
        <v>Liliana</v>
      </c>
      <c r="B189" t="str">
        <f ca="1">IFERROR(__xludf.DUMMYFUNCTION("""COMPUTED_VALUE"""),"E.P.")</f>
        <v>E.P.</v>
      </c>
      <c r="C189" t="str">
        <f ca="1">IFERROR(__xludf.DUMMYFUNCTION("""COMPUTED_VALUE"""),"E.P.@ymailx.com")</f>
        <v>E.P.@ymailx.com</v>
      </c>
      <c r="D189" t="str">
        <f ca="1">IFERROR(__xludf.DUMMYFUNCTION("""COMPUTED_VALUE"""),"Depok")</f>
        <v>Depok</v>
      </c>
      <c r="E189" s="12">
        <f ca="1">IFERROR(__xludf.DUMMYFUNCTION("""COMPUTED_VALUE"""),43349)</f>
        <v>43349</v>
      </c>
      <c r="F189" t="str">
        <f ca="1">IFERROR(__xludf.DUMMYFUNCTION("""COMPUTED_VALUE"""),"KP0225BB")</f>
        <v>KP0225BB</v>
      </c>
      <c r="G189" s="11">
        <f ca="1">IFERROR(__xludf.DUMMYFUNCTION("""COMPUTED_VALUE"""),80000000)</f>
        <v>80000000</v>
      </c>
      <c r="H189">
        <f ca="1">IFERROR(__xludf.DUMMYFUNCTION("""COMPUTED_VALUE"""),35314)</f>
        <v>35314</v>
      </c>
      <c r="I189">
        <f ca="1">IFERROR(__xludf.DUMMYFUNCTION("""COMPUTED_VALUE"""),8)</f>
        <v>8</v>
      </c>
      <c r="J189" t="str">
        <f ca="1">IFERROR(__xludf.DUMMYFUNCTION("""COMPUTED_VALUE"""),"N/A")</f>
        <v>N/A</v>
      </c>
      <c r="K189" t="str">
        <f ca="1">IFERROR(__xludf.DUMMYFUNCTION("""COMPUTED_VALUE"""),"JENT")</f>
        <v>JENT</v>
      </c>
      <c r="L189" t="str">
        <f ca="1">IFERROR(__xludf.DUMMYFUNCTION("""COMPUTED_VALUE"""),"Y")</f>
        <v>Y</v>
      </c>
      <c r="M189" t="str">
        <f ca="1">IFERROR(__xludf.DUMMYFUNCTION("""COMPUTED_VALUE"""),"An-409")</f>
        <v>An-409</v>
      </c>
    </row>
    <row r="190" spans="1:13" ht="12.5" x14ac:dyDescent="0.25">
      <c r="A190" t="str">
        <f ca="1">IFERROR(__xludf.DUMMYFUNCTION("""COMPUTED_VALUE"""),"Rusdi")</f>
        <v>Rusdi</v>
      </c>
      <c r="B190" t="str">
        <f ca="1">IFERROR(__xludf.DUMMYFUNCTION("""COMPUTED_VALUE"""),"Moon-Tae")</f>
        <v>Moon-Tae</v>
      </c>
      <c r="C190" t="str">
        <f ca="1">IFERROR(__xludf.DUMMYFUNCTION("""COMPUTED_VALUE"""),"Moon-Tae@icloudx.com")</f>
        <v>Moon-Tae@icloudx.com</v>
      </c>
      <c r="D190" t="str">
        <f ca="1">IFERROR(__xludf.DUMMYFUNCTION("""COMPUTED_VALUE"""),"Kupang")</f>
        <v>Kupang</v>
      </c>
      <c r="E190" s="12">
        <f ca="1">IFERROR(__xludf.DUMMYFUNCTION("""COMPUTED_VALUE"""),43349)</f>
        <v>43349</v>
      </c>
      <c r="F190" t="str">
        <f ca="1">IFERROR(__xludf.DUMMYFUNCTION("""COMPUTED_VALUE"""),"KP0925SG")</f>
        <v>KP0925SG</v>
      </c>
      <c r="G190" s="11">
        <f ca="1">IFERROR(__xludf.DUMMYFUNCTION("""COMPUTED_VALUE"""),75000000)</f>
        <v>75000000</v>
      </c>
      <c r="H190">
        <f ca="1">IFERROR(__xludf.DUMMYFUNCTION("""COMPUTED_VALUE"""),35611)</f>
        <v>35611</v>
      </c>
      <c r="I190">
        <f ca="1">IFERROR(__xludf.DUMMYFUNCTION("""COMPUTED_VALUE"""),5)</f>
        <v>5</v>
      </c>
      <c r="J190" t="str">
        <f ca="1">IFERROR(__xludf.DUMMYFUNCTION("""COMPUTED_VALUE"""),"N/A")</f>
        <v>N/A</v>
      </c>
      <c r="K190" t="str">
        <f ca="1">IFERROR(__xludf.DUMMYFUNCTION("""COMPUTED_VALUE"""),"Wakanda Express")</f>
        <v>Wakanda Express</v>
      </c>
      <c r="L190" t="str">
        <f ca="1">IFERROR(__xludf.DUMMYFUNCTION("""COMPUTED_VALUE"""),"N")</f>
        <v>N</v>
      </c>
      <c r="M190" t="str">
        <f ca="1">IFERROR(__xludf.DUMMYFUNCTION("""COMPUTED_VALUE"""),"Ku-185")</f>
        <v>Ku-185</v>
      </c>
    </row>
    <row r="191" spans="1:13" ht="12.5" x14ac:dyDescent="0.25">
      <c r="A191" t="str">
        <f ca="1">IFERROR(__xludf.DUMMYFUNCTION("""COMPUTED_VALUE"""),"Rosan")</f>
        <v>Rosan</v>
      </c>
      <c r="B191" t="str">
        <f ca="1">IFERROR(__xludf.DUMMYFUNCTION("""COMPUTED_VALUE"""),"Hartanto")</f>
        <v>Hartanto</v>
      </c>
      <c r="C191" t="str">
        <f ca="1">IFERROR(__xludf.DUMMYFUNCTION("""COMPUTED_VALUE"""),"Hartanto@mex.com")</f>
        <v>Hartanto@mex.com</v>
      </c>
      <c r="D191" t="str">
        <f ca="1">IFERROR(__xludf.DUMMYFUNCTION("""COMPUTED_VALUE"""),"Kendari")</f>
        <v>Kendari</v>
      </c>
      <c r="E191" s="12">
        <f ca="1">IFERROR(__xludf.DUMMYFUNCTION("""COMPUTED_VALUE"""),43318)</f>
        <v>43318</v>
      </c>
      <c r="F191" t="str">
        <f ca="1">IFERROR(__xludf.DUMMYFUNCTION("""COMPUTED_VALUE"""),"KP0925SG")</f>
        <v>KP0925SG</v>
      </c>
      <c r="G191" s="11">
        <f ca="1">IFERROR(__xludf.DUMMYFUNCTION("""COMPUTED_VALUE"""),45000000)</f>
        <v>45000000</v>
      </c>
      <c r="H191">
        <f ca="1">IFERROR(__xludf.DUMMYFUNCTION("""COMPUTED_VALUE"""),36175)</f>
        <v>36175</v>
      </c>
      <c r="I191">
        <f ca="1">IFERROR(__xludf.DUMMYFUNCTION("""COMPUTED_VALUE"""),3)</f>
        <v>3</v>
      </c>
      <c r="J191">
        <f ca="1">IFERROR(__xludf.DUMMYFUNCTION("""COMPUTED_VALUE"""),3)</f>
        <v>3</v>
      </c>
      <c r="K191" t="str">
        <f ca="1">IFERROR(__xludf.DUMMYFUNCTION("""COMPUTED_VALUE"""),"Pru Logistic")</f>
        <v>Pru Logistic</v>
      </c>
      <c r="L191" t="str">
        <f ca="1">IFERROR(__xludf.DUMMYFUNCTION("""COMPUTED_VALUE"""),"N")</f>
        <v>N</v>
      </c>
      <c r="M191" t="str">
        <f ca="1">IFERROR(__xludf.DUMMYFUNCTION("""COMPUTED_VALUE"""),"Iv-250")</f>
        <v>Iv-250</v>
      </c>
    </row>
    <row r="192" spans="1:13" ht="12.5" x14ac:dyDescent="0.25">
      <c r="A192" t="str">
        <f ca="1">IFERROR(__xludf.DUMMYFUNCTION("""COMPUTED_VALUE"""),"Chang")</f>
        <v>Chang</v>
      </c>
      <c r="B192" t="str">
        <f ca="1">IFERROR(__xludf.DUMMYFUNCTION("""COMPUTED_VALUE"""),"U.")</f>
        <v>U.</v>
      </c>
      <c r="C192" t="str">
        <f ca="1">IFERROR(__xludf.DUMMYFUNCTION("""COMPUTED_VALUE"""),"U.@gmailx.com")</f>
        <v>U.@gmailx.com</v>
      </c>
      <c r="D192" t="str">
        <f ca="1">IFERROR(__xludf.DUMMYFUNCTION("""COMPUTED_VALUE"""),"Batam")</f>
        <v>Batam</v>
      </c>
      <c r="E192" s="12">
        <f ca="1">IFERROR(__xludf.DUMMYFUNCTION("""COMPUTED_VALUE"""),43226)</f>
        <v>43226</v>
      </c>
      <c r="F192" t="str">
        <f ca="1">IFERROR(__xludf.DUMMYFUNCTION("""COMPUTED_VALUE"""),"KP0850FB")</f>
        <v>KP0850FB</v>
      </c>
      <c r="G192" s="11">
        <f ca="1">IFERROR(__xludf.DUMMYFUNCTION("""COMPUTED_VALUE"""),126000000)</f>
        <v>126000000</v>
      </c>
      <c r="H192">
        <f ca="1">IFERROR(__xludf.DUMMYFUNCTION("""COMPUTED_VALUE"""),35276)</f>
        <v>35276</v>
      </c>
      <c r="I192">
        <f ca="1">IFERROR(__xludf.DUMMYFUNCTION("""COMPUTED_VALUE"""),6)</f>
        <v>6</v>
      </c>
      <c r="J192" t="str">
        <f ca="1">IFERROR(__xludf.DUMMYFUNCTION("""COMPUTED_VALUE"""),"N/A")</f>
        <v>N/A</v>
      </c>
      <c r="K192" t="str">
        <f ca="1">IFERROR(__xludf.DUMMYFUNCTION("""COMPUTED_VALUE"""),"JENT")</f>
        <v>JENT</v>
      </c>
      <c r="L192" t="str">
        <f ca="1">IFERROR(__xludf.DUMMYFUNCTION("""COMPUTED_VALUE"""),"Y")</f>
        <v>Y</v>
      </c>
      <c r="M192" t="str">
        <f ca="1">IFERROR(__xludf.DUMMYFUNCTION("""COMPUTED_VALUE"""),"As-809")</f>
        <v>As-809</v>
      </c>
    </row>
    <row r="193" spans="1:13" ht="12.5" x14ac:dyDescent="0.25">
      <c r="A193" t="str">
        <f ca="1">IFERROR(__xludf.DUMMYFUNCTION("""COMPUTED_VALUE"""),"Ginawan")</f>
        <v>Ginawan</v>
      </c>
      <c r="B193" t="str">
        <f ca="1">IFERROR(__xludf.DUMMYFUNCTION("""COMPUTED_VALUE"""),"Strachan")</f>
        <v>Strachan</v>
      </c>
      <c r="C193" t="str">
        <f ca="1">IFERROR(__xludf.DUMMYFUNCTION("""COMPUTED_VALUE"""),"Strachan@gmailx.com")</f>
        <v>Strachan@gmailx.com</v>
      </c>
      <c r="D193" t="str">
        <f ca="1">IFERROR(__xludf.DUMMYFUNCTION("""COMPUTED_VALUE"""),"Jayapura")</f>
        <v>Jayapura</v>
      </c>
      <c r="E193" s="12">
        <f ca="1">IFERROR(__xludf.DUMMYFUNCTION("""COMPUTED_VALUE"""),43165)</f>
        <v>43165</v>
      </c>
      <c r="F193" t="str">
        <f ca="1">IFERROR(__xludf.DUMMYFUNCTION("""COMPUTED_VALUE"""),"KP0750AJ")</f>
        <v>KP0750AJ</v>
      </c>
      <c r="G193" s="11">
        <f ca="1">IFERROR(__xludf.DUMMYFUNCTION("""COMPUTED_VALUE"""),144000000)</f>
        <v>144000000</v>
      </c>
      <c r="H193">
        <f ca="1">IFERROR(__xludf.DUMMYFUNCTION("""COMPUTED_VALUE"""),35009)</f>
        <v>35009</v>
      </c>
      <c r="I193">
        <f ca="1">IFERROR(__xludf.DUMMYFUNCTION("""COMPUTED_VALUE"""),8)</f>
        <v>8</v>
      </c>
      <c r="J193" t="str">
        <f ca="1">IFERROR(__xludf.DUMMYFUNCTION("""COMPUTED_VALUE"""),"N/A")</f>
        <v>N/A</v>
      </c>
      <c r="K193" t="str">
        <f ca="1">IFERROR(__xludf.DUMMYFUNCTION("""COMPUTED_VALUE"""),"JENT")</f>
        <v>JENT</v>
      </c>
      <c r="L193" t="str">
        <f ca="1">IFERROR(__xludf.DUMMYFUNCTION("""COMPUTED_VALUE"""),"Y")</f>
        <v>Y</v>
      </c>
      <c r="M193" t="str">
        <f ca="1">IFERROR(__xludf.DUMMYFUNCTION("""COMPUTED_VALUE"""),"Gt-990")</f>
        <v>Gt-990</v>
      </c>
    </row>
    <row r="194" spans="1:13" ht="12.5" x14ac:dyDescent="0.25">
      <c r="A194" t="str">
        <f ca="1">IFERROR(__xludf.DUMMYFUNCTION("""COMPUTED_VALUE"""),"Christina")</f>
        <v>Christina</v>
      </c>
      <c r="B194" t="str">
        <f ca="1">IFERROR(__xludf.DUMMYFUNCTION("""COMPUTED_VALUE"""),"Richard")</f>
        <v>Richard</v>
      </c>
      <c r="C194" t="str">
        <f ca="1">IFERROR(__xludf.DUMMYFUNCTION("""COMPUTED_VALUE"""),"Richard@gmailx.com")</f>
        <v>Richard@gmailx.com</v>
      </c>
      <c r="D194" t="str">
        <f ca="1">IFERROR(__xludf.DUMMYFUNCTION("""COMPUTED_VALUE"""),"Depok")</f>
        <v>Depok</v>
      </c>
      <c r="E194" s="12">
        <f ca="1">IFERROR(__xludf.DUMMYFUNCTION("""COMPUTED_VALUE"""),43106)</f>
        <v>43106</v>
      </c>
      <c r="F194" t="str">
        <f ca="1">IFERROR(__xludf.DUMMYFUNCTION("""COMPUTED_VALUE"""),"KP0750AJ")</f>
        <v>KP0750AJ</v>
      </c>
      <c r="G194" s="11">
        <f ca="1">IFERROR(__xludf.DUMMYFUNCTION("""COMPUTED_VALUE"""),72000000)</f>
        <v>72000000</v>
      </c>
      <c r="H194">
        <f ca="1">IFERROR(__xludf.DUMMYFUNCTION("""COMPUTED_VALUE"""),35857)</f>
        <v>35857</v>
      </c>
      <c r="I194">
        <f ca="1">IFERROR(__xludf.DUMMYFUNCTION("""COMPUTED_VALUE"""),4)</f>
        <v>4</v>
      </c>
      <c r="J194" t="str">
        <f ca="1">IFERROR(__xludf.DUMMYFUNCTION("""COMPUTED_VALUE"""),"N/A")</f>
        <v>N/A</v>
      </c>
      <c r="K194" t="str">
        <f ca="1">IFERROR(__xludf.DUMMYFUNCTION("""COMPUTED_VALUE"""),"Cepat Kirim")</f>
        <v>Cepat Kirim</v>
      </c>
      <c r="L194" t="str">
        <f ca="1">IFERROR(__xludf.DUMMYFUNCTION("""COMPUTED_VALUE"""),"Y")</f>
        <v>Y</v>
      </c>
      <c r="M194" t="str">
        <f ca="1">IFERROR(__xludf.DUMMYFUNCTION("""COMPUTED_VALUE"""),"Ah-409")</f>
        <v>Ah-409</v>
      </c>
    </row>
    <row r="195" spans="1:13" ht="12.5" x14ac:dyDescent="0.25">
      <c r="A195" t="str">
        <f ca="1">IFERROR(__xludf.DUMMYFUNCTION("""COMPUTED_VALUE"""),"Lilyani")</f>
        <v>Lilyani</v>
      </c>
      <c r="B195" t="str">
        <f ca="1">IFERROR(__xludf.DUMMYFUNCTION("""COMPUTED_VALUE"""),"Muljadi")</f>
        <v>Muljadi</v>
      </c>
      <c r="C195" t="str">
        <f ca="1">IFERROR(__xludf.DUMMYFUNCTION("""COMPUTED_VALUE"""),"Muljadi@ymailx.com")</f>
        <v>Muljadi@ymailx.com</v>
      </c>
      <c r="D195" t="str">
        <f ca="1">IFERROR(__xludf.DUMMYFUNCTION("""COMPUTED_VALUE"""),"Banjarmasin")</f>
        <v>Banjarmasin</v>
      </c>
      <c r="E195" s="12">
        <f ca="1">IFERROR(__xludf.DUMMYFUNCTION("""COMPUTED_VALUE"""),43106)</f>
        <v>43106</v>
      </c>
      <c r="F195" t="str">
        <f ca="1">IFERROR(__xludf.DUMMYFUNCTION("""COMPUTED_VALUE"""),"KP0750AJ")</f>
        <v>KP0750AJ</v>
      </c>
      <c r="G195" s="11">
        <f ca="1">IFERROR(__xludf.DUMMYFUNCTION("""COMPUTED_VALUE"""),54000000)</f>
        <v>54000000</v>
      </c>
      <c r="H195">
        <f ca="1">IFERROR(__xludf.DUMMYFUNCTION("""COMPUTED_VALUE"""),35851)</f>
        <v>35851</v>
      </c>
      <c r="I195">
        <f ca="1">IFERROR(__xludf.DUMMYFUNCTION("""COMPUTED_VALUE"""),3)</f>
        <v>3</v>
      </c>
      <c r="J195" t="str">
        <f ca="1">IFERROR(__xludf.DUMMYFUNCTION("""COMPUTED_VALUE"""),"N/A")</f>
        <v>N/A</v>
      </c>
      <c r="K195" t="str">
        <f ca="1">IFERROR(__xludf.DUMMYFUNCTION("""COMPUTED_VALUE"""),"Swift Delivery")</f>
        <v>Swift Delivery</v>
      </c>
      <c r="L195" t="str">
        <f ca="1">IFERROR(__xludf.DUMMYFUNCTION("""COMPUTED_VALUE"""),"Y")</f>
        <v>Y</v>
      </c>
      <c r="M195" t="str">
        <f ca="1">IFERROR(__xludf.DUMMYFUNCTION("""COMPUTED_VALUE"""),"Xy-991")</f>
        <v>Xy-991</v>
      </c>
    </row>
    <row r="196" spans="1:13" ht="12.5" x14ac:dyDescent="0.25">
      <c r="A196" t="str">
        <f ca="1">IFERROR(__xludf.DUMMYFUNCTION("""COMPUTED_VALUE"""),"Meiriaty")</f>
        <v>Meiriaty</v>
      </c>
      <c r="B196" t="str">
        <f ca="1">IFERROR(__xludf.DUMMYFUNCTION("""COMPUTED_VALUE"""),"Kenneth")</f>
        <v>Kenneth</v>
      </c>
      <c r="C196" t="str">
        <f ca="1">IFERROR(__xludf.DUMMYFUNCTION("""COMPUTED_VALUE"""),"Meiriaty@mex.com")</f>
        <v>Meiriaty@mex.com</v>
      </c>
      <c r="D196" t="str">
        <f ca="1">IFERROR(__xludf.DUMMYFUNCTION("""COMPUTED_VALUE"""),"Surakarta")</f>
        <v>Surakarta</v>
      </c>
      <c r="E196" s="12">
        <f ca="1">IFERROR(__xludf.DUMMYFUNCTION("""COMPUTED_VALUE"""),43248)</f>
        <v>43248</v>
      </c>
      <c r="F196" t="str">
        <f ca="1">IFERROR(__xludf.DUMMYFUNCTION("""COMPUTED_VALUE"""),"KP0925SG")</f>
        <v>KP0925SG</v>
      </c>
      <c r="G196" s="11">
        <f ca="1">IFERROR(__xludf.DUMMYFUNCTION("""COMPUTED_VALUE"""),45000000)</f>
        <v>45000000</v>
      </c>
      <c r="H196">
        <f ca="1">IFERROR(__xludf.DUMMYFUNCTION("""COMPUTED_VALUE"""),36744)</f>
        <v>36744</v>
      </c>
      <c r="I196">
        <f ca="1">IFERROR(__xludf.DUMMYFUNCTION("""COMPUTED_VALUE"""),3)</f>
        <v>3</v>
      </c>
      <c r="J196">
        <f ca="1">IFERROR(__xludf.DUMMYFUNCTION("""COMPUTED_VALUE"""),4)</f>
        <v>4</v>
      </c>
      <c r="K196" t="str">
        <f ca="1">IFERROR(__xludf.DUMMYFUNCTION("""COMPUTED_VALUE"""),"Wakanda Express")</f>
        <v>Wakanda Express</v>
      </c>
      <c r="L196" t="str">
        <f ca="1">IFERROR(__xludf.DUMMYFUNCTION("""COMPUTED_VALUE"""),"Y")</f>
        <v>Y</v>
      </c>
      <c r="M196" t="str">
        <f ca="1">IFERROR(__xludf.DUMMYFUNCTION("""COMPUTED_VALUE"""),"Ge-410")</f>
        <v>Ge-410</v>
      </c>
    </row>
    <row r="197" spans="1:13" ht="12.5" x14ac:dyDescent="0.25">
      <c r="A197" t="str">
        <f ca="1">IFERROR(__xludf.DUMMYFUNCTION("""COMPUTED_VALUE"""),"Ronny")</f>
        <v>Ronny</v>
      </c>
      <c r="B197" t="str">
        <f ca="1">IFERROR(__xludf.DUMMYFUNCTION("""COMPUTED_VALUE"""),"Pinder")</f>
        <v>Pinder</v>
      </c>
      <c r="C197" t="str">
        <f ca="1">IFERROR(__xludf.DUMMYFUNCTION("""COMPUTED_VALUE"""),"Pinder@gmailx.com")</f>
        <v>Pinder@gmailx.com</v>
      </c>
      <c r="D197" t="str">
        <f ca="1">IFERROR(__xludf.DUMMYFUNCTION("""COMPUTED_VALUE"""),"Tebingtinggi")</f>
        <v>Tebingtinggi</v>
      </c>
      <c r="E197" s="12">
        <f ca="1">IFERROR(__xludf.DUMMYFUNCTION("""COMPUTED_VALUE"""),43247)</f>
        <v>43247</v>
      </c>
      <c r="F197" t="str">
        <f ca="1">IFERROR(__xludf.DUMMYFUNCTION("""COMPUTED_VALUE"""),"KP0625AF")</f>
        <v>KP0625AF</v>
      </c>
      <c r="G197" s="11">
        <f ca="1">IFERROR(__xludf.DUMMYFUNCTION("""COMPUTED_VALUE"""),108000000)</f>
        <v>108000000</v>
      </c>
      <c r="H197">
        <f ca="1">IFERROR(__xludf.DUMMYFUNCTION("""COMPUTED_VALUE"""),35741)</f>
        <v>35741</v>
      </c>
      <c r="I197">
        <f ca="1">IFERROR(__xludf.DUMMYFUNCTION("""COMPUTED_VALUE"""),9)</f>
        <v>9</v>
      </c>
      <c r="J197" t="str">
        <f ca="1">IFERROR(__xludf.DUMMYFUNCTION("""COMPUTED_VALUE"""),"N/A")</f>
        <v>N/A</v>
      </c>
      <c r="K197" t="str">
        <f ca="1">IFERROR(__xludf.DUMMYFUNCTION("""COMPUTED_VALUE"""),"Cepat Kirim")</f>
        <v>Cepat Kirim</v>
      </c>
      <c r="L197" t="str">
        <f ca="1">IFERROR(__xludf.DUMMYFUNCTION("""COMPUTED_VALUE"""),"N")</f>
        <v>N</v>
      </c>
      <c r="M197" t="str">
        <f ca="1">IFERROR(__xludf.DUMMYFUNCTION("""COMPUTED_VALUE"""),"Da-662")</f>
        <v>Da-662</v>
      </c>
    </row>
    <row r="198" spans="1:13" ht="12.5" x14ac:dyDescent="0.25">
      <c r="A198" t="str">
        <f ca="1">IFERROR(__xludf.DUMMYFUNCTION("""COMPUTED_VALUE"""),"Rita")</f>
        <v>Rita</v>
      </c>
      <c r="B198" t="str">
        <f ca="1">IFERROR(__xludf.DUMMYFUNCTION("""COMPUTED_VALUE"""),"Haryani")</f>
        <v>Haryani</v>
      </c>
      <c r="C198" t="str">
        <f ca="1">IFERROR(__xludf.DUMMYFUNCTION("""COMPUTED_VALUE"""),"Rita@icloudx.com")</f>
        <v>Rita@icloudx.com</v>
      </c>
      <c r="D198" t="str">
        <f ca="1">IFERROR(__xludf.DUMMYFUNCTION("""COMPUTED_VALUE"""),"Padang Sidempuan")</f>
        <v>Padang Sidempuan</v>
      </c>
      <c r="E198" s="12">
        <f ca="1">IFERROR(__xludf.DUMMYFUNCTION("""COMPUTED_VALUE"""),43244)</f>
        <v>43244</v>
      </c>
      <c r="F198" t="str">
        <f ca="1">IFERROR(__xludf.DUMMYFUNCTION("""COMPUTED_VALUE"""),"KP0750AJ")</f>
        <v>KP0750AJ</v>
      </c>
      <c r="G198" s="11">
        <f ca="1">IFERROR(__xludf.DUMMYFUNCTION("""COMPUTED_VALUE"""),180000000)</f>
        <v>180000000</v>
      </c>
      <c r="H198">
        <f ca="1">IFERROR(__xludf.DUMMYFUNCTION("""COMPUTED_VALUE"""),35489)</f>
        <v>35489</v>
      </c>
      <c r="I198">
        <f ca="1">IFERROR(__xludf.DUMMYFUNCTION("""COMPUTED_VALUE"""),10)</f>
        <v>10</v>
      </c>
      <c r="J198" t="str">
        <f ca="1">IFERROR(__xludf.DUMMYFUNCTION("""COMPUTED_VALUE"""),"N/A")</f>
        <v>N/A</v>
      </c>
      <c r="K198" t="str">
        <f ca="1">IFERROR(__xludf.DUMMYFUNCTION("""COMPUTED_VALUE"""),"Swift Delivery")</f>
        <v>Swift Delivery</v>
      </c>
      <c r="L198" t="str">
        <f ca="1">IFERROR(__xludf.DUMMYFUNCTION("""COMPUTED_VALUE"""),"N")</f>
        <v>N</v>
      </c>
      <c r="M198" t="str">
        <f ca="1">IFERROR(__xludf.DUMMYFUNCTION("""COMPUTED_VALUE"""),"Pe-662")</f>
        <v>Pe-662</v>
      </c>
    </row>
    <row r="199" spans="1:13" ht="12.5" x14ac:dyDescent="0.25">
      <c r="A199" t="str">
        <f ca="1">IFERROR(__xludf.DUMMYFUNCTION("""COMPUTED_VALUE"""),"Marvin")</f>
        <v>Marvin</v>
      </c>
      <c r="B199" t="str">
        <f ca="1">IFERROR(__xludf.DUMMYFUNCTION("""COMPUTED_VALUE"""),"Rahardjo")</f>
        <v>Rahardjo</v>
      </c>
      <c r="C199" t="str">
        <f ca="1">IFERROR(__xludf.DUMMYFUNCTION("""COMPUTED_VALUE"""),"Marvin@mex.com")</f>
        <v>Marvin@mex.com</v>
      </c>
      <c r="D199" t="str">
        <f ca="1">IFERROR(__xludf.DUMMYFUNCTION("""COMPUTED_VALUE"""),"Pagaralam")</f>
        <v>Pagaralam</v>
      </c>
      <c r="E199" s="12">
        <f ca="1">IFERROR(__xludf.DUMMYFUNCTION("""COMPUTED_VALUE"""),43243)</f>
        <v>43243</v>
      </c>
      <c r="F199" t="str">
        <f ca="1">IFERROR(__xludf.DUMMYFUNCTION("""COMPUTED_VALUE"""),"KP0750AJ")</f>
        <v>KP0750AJ</v>
      </c>
      <c r="G199" s="11">
        <f ca="1">IFERROR(__xludf.DUMMYFUNCTION("""COMPUTED_VALUE"""),126000000)</f>
        <v>126000000</v>
      </c>
      <c r="H199">
        <f ca="1">IFERROR(__xludf.DUMMYFUNCTION("""COMPUTED_VALUE"""),36900)</f>
        <v>36900</v>
      </c>
      <c r="I199">
        <f ca="1">IFERROR(__xludf.DUMMYFUNCTION("""COMPUTED_VALUE"""),7)</f>
        <v>7</v>
      </c>
      <c r="J199" t="str">
        <f ca="1">IFERROR(__xludf.DUMMYFUNCTION("""COMPUTED_VALUE"""),"N/A")</f>
        <v>N/A</v>
      </c>
      <c r="K199" t="str">
        <f ca="1">IFERROR(__xludf.DUMMYFUNCTION("""COMPUTED_VALUE"""),"JENT")</f>
        <v>JENT</v>
      </c>
      <c r="L199" t="str">
        <f ca="1">IFERROR(__xludf.DUMMYFUNCTION("""COMPUTED_VALUE"""),"Y")</f>
        <v>Y</v>
      </c>
      <c r="M199" t="str">
        <f ca="1">IFERROR(__xludf.DUMMYFUNCTION("""COMPUTED_VALUE"""),"Ld-661")</f>
        <v>Ld-661</v>
      </c>
    </row>
    <row r="200" spans="1:13" ht="12.5" x14ac:dyDescent="0.25">
      <c r="A200" t="str">
        <f ca="1">IFERROR(__xludf.DUMMYFUNCTION("""COMPUTED_VALUE"""),"Andhika")</f>
        <v>Andhika</v>
      </c>
      <c r="B200" t="str">
        <f ca="1">IFERROR(__xludf.DUMMYFUNCTION("""COMPUTED_VALUE"""),"Budihartono")</f>
        <v>Budihartono</v>
      </c>
      <c r="C200" t="str">
        <f ca="1">IFERROR(__xludf.DUMMYFUNCTION("""COMPUTED_VALUE"""),"Andhika@livex.com")</f>
        <v>Andhika@livex.com</v>
      </c>
      <c r="D200" t="str">
        <f ca="1">IFERROR(__xludf.DUMMYFUNCTION("""COMPUTED_VALUE"""),"Tebingtinggi")</f>
        <v>Tebingtinggi</v>
      </c>
      <c r="E200" s="12">
        <f ca="1">IFERROR(__xludf.DUMMYFUNCTION("""COMPUTED_VALUE"""),43243)</f>
        <v>43243</v>
      </c>
      <c r="F200" t="str">
        <f ca="1">IFERROR(__xludf.DUMMYFUNCTION("""COMPUTED_VALUE"""),"KP0850FB")</f>
        <v>KP0850FB</v>
      </c>
      <c r="G200" s="11">
        <f ca="1">IFERROR(__xludf.DUMMYFUNCTION("""COMPUTED_VALUE"""),168000000)</f>
        <v>168000000</v>
      </c>
      <c r="H200">
        <f ca="1">IFERROR(__xludf.DUMMYFUNCTION("""COMPUTED_VALUE"""),35823)</f>
        <v>35823</v>
      </c>
      <c r="I200">
        <f ca="1">IFERROR(__xludf.DUMMYFUNCTION("""COMPUTED_VALUE"""),8)</f>
        <v>8</v>
      </c>
      <c r="J200" t="str">
        <f ca="1">IFERROR(__xludf.DUMMYFUNCTION("""COMPUTED_VALUE"""),"N/A")</f>
        <v>N/A</v>
      </c>
      <c r="K200" t="str">
        <f ca="1">IFERROR(__xludf.DUMMYFUNCTION("""COMPUTED_VALUE"""),"Swift Delivery")</f>
        <v>Swift Delivery</v>
      </c>
      <c r="L200" t="str">
        <f ca="1">IFERROR(__xludf.DUMMYFUNCTION("""COMPUTED_VALUE"""),"Y")</f>
        <v>Y</v>
      </c>
      <c r="M200" t="str">
        <f ca="1">IFERROR(__xludf.DUMMYFUNCTION("""COMPUTED_VALUE"""),"Ug-662")</f>
        <v>Ug-662</v>
      </c>
    </row>
    <row r="201" spans="1:13" ht="12.5" x14ac:dyDescent="0.25">
      <c r="A201" t="str">
        <f ca="1">IFERROR(__xludf.DUMMYFUNCTION("""COMPUTED_VALUE"""),"Erics")</f>
        <v>Erics</v>
      </c>
      <c r="B201" t="str">
        <f ca="1">IFERROR(__xludf.DUMMYFUNCTION("""COMPUTED_VALUE"""),"Wen")</f>
        <v>Wen</v>
      </c>
      <c r="C201" t="str">
        <f ca="1">IFERROR(__xludf.DUMMYFUNCTION("""COMPUTED_VALUE"""),"Wen@livex.com")</f>
        <v>Wen@livex.com</v>
      </c>
      <c r="D201" t="str">
        <f ca="1">IFERROR(__xludf.DUMMYFUNCTION("""COMPUTED_VALUE"""),"Balikpapan")</f>
        <v>Balikpapan</v>
      </c>
      <c r="E201" s="12">
        <f ca="1">IFERROR(__xludf.DUMMYFUNCTION("""COMPUTED_VALUE"""),43242)</f>
        <v>43242</v>
      </c>
      <c r="F201" t="str">
        <f ca="1">IFERROR(__xludf.DUMMYFUNCTION("""COMPUTED_VALUE"""),"KP0425CB")</f>
        <v>KP0425CB</v>
      </c>
      <c r="G201" s="11">
        <f ca="1">IFERROR(__xludf.DUMMYFUNCTION("""COMPUTED_VALUE"""),81750000)</f>
        <v>81750000</v>
      </c>
      <c r="H201">
        <f ca="1">IFERROR(__xludf.DUMMYFUNCTION("""COMPUTED_VALUE"""),35990)</f>
        <v>35990</v>
      </c>
      <c r="I201">
        <f ca="1">IFERROR(__xludf.DUMMYFUNCTION("""COMPUTED_VALUE"""),3)</f>
        <v>3</v>
      </c>
      <c r="J201">
        <f ca="1">IFERROR(__xludf.DUMMYFUNCTION("""COMPUTED_VALUE"""),5)</f>
        <v>5</v>
      </c>
      <c r="K201" t="str">
        <f ca="1">IFERROR(__xludf.DUMMYFUNCTION("""COMPUTED_VALUE"""),"Swift Delivery")</f>
        <v>Swift Delivery</v>
      </c>
      <c r="L201" t="str">
        <f ca="1">IFERROR(__xludf.DUMMYFUNCTION("""COMPUTED_VALUE"""),"Y")</f>
        <v>Y</v>
      </c>
      <c r="M201" t="str">
        <f ca="1">IFERROR(__xludf.DUMMYFUNCTION("""COMPUTED_VALUE"""),"Ir-993")</f>
        <v>Ir-993</v>
      </c>
    </row>
    <row r="202" spans="1:13" ht="12.5" x14ac:dyDescent="0.25">
      <c r="A202" t="str">
        <f ca="1">IFERROR(__xludf.DUMMYFUNCTION("""COMPUTED_VALUE"""),"Para")</f>
        <v>Para</v>
      </c>
      <c r="B202" t="str">
        <f ca="1">IFERROR(__xludf.DUMMYFUNCTION("""COMPUTED_VALUE"""),"Setiawan")</f>
        <v>Setiawan</v>
      </c>
      <c r="C202" t="str">
        <f ca="1">IFERROR(__xludf.DUMMYFUNCTION("""COMPUTED_VALUE"""),"Para@ymailx.com")</f>
        <v>Para@ymailx.com</v>
      </c>
      <c r="D202" t="str">
        <f ca="1">IFERROR(__xludf.DUMMYFUNCTION("""COMPUTED_VALUE"""),"Kupang")</f>
        <v>Kupang</v>
      </c>
      <c r="E202" s="12">
        <f ca="1">IFERROR(__xludf.DUMMYFUNCTION("""COMPUTED_VALUE"""),43242)</f>
        <v>43242</v>
      </c>
      <c r="F202" t="str">
        <f ca="1">IFERROR(__xludf.DUMMYFUNCTION("""COMPUTED_VALUE"""),"KP0850FB")</f>
        <v>KP0850FB</v>
      </c>
      <c r="G202" s="11">
        <f ca="1">IFERROR(__xludf.DUMMYFUNCTION("""COMPUTED_VALUE"""),210000000)</f>
        <v>210000000</v>
      </c>
      <c r="H202">
        <f ca="1">IFERROR(__xludf.DUMMYFUNCTION("""COMPUTED_VALUE"""),36433)</f>
        <v>36433</v>
      </c>
      <c r="I202">
        <f ca="1">IFERROR(__xludf.DUMMYFUNCTION("""COMPUTED_VALUE"""),10)</f>
        <v>10</v>
      </c>
      <c r="J202" t="str">
        <f ca="1">IFERROR(__xludf.DUMMYFUNCTION("""COMPUTED_VALUE"""),"N/A")</f>
        <v>N/A</v>
      </c>
      <c r="K202" t="str">
        <f ca="1">IFERROR(__xludf.DUMMYFUNCTION("""COMPUTED_VALUE"""),"JENT")</f>
        <v>JENT</v>
      </c>
      <c r="L202" t="str">
        <f ca="1">IFERROR(__xludf.DUMMYFUNCTION("""COMPUTED_VALUE"""),"N")</f>
        <v>N</v>
      </c>
      <c r="M202" t="str">
        <f ca="1">IFERROR(__xludf.DUMMYFUNCTION("""COMPUTED_VALUE"""),"Zg-185")</f>
        <v>Zg-185</v>
      </c>
    </row>
    <row r="203" spans="1:13" ht="12.5" x14ac:dyDescent="0.25">
      <c r="A203" t="str">
        <f ca="1">IFERROR(__xludf.DUMMYFUNCTION("""COMPUTED_VALUE"""),"Martin")</f>
        <v>Martin</v>
      </c>
      <c r="B203" t="str">
        <f ca="1">IFERROR(__xludf.DUMMYFUNCTION("""COMPUTED_VALUE"""),"Husodho,")</f>
        <v>Husodho,</v>
      </c>
      <c r="C203" t="str">
        <f ca="1">IFERROR(__xludf.DUMMYFUNCTION("""COMPUTED_VALUE"""),"Husodho@gmailx.com")</f>
        <v>Husodho@gmailx.com</v>
      </c>
      <c r="D203" t="str">
        <f ca="1">IFERROR(__xludf.DUMMYFUNCTION("""COMPUTED_VALUE"""),"Tual")</f>
        <v>Tual</v>
      </c>
      <c r="E203" s="12">
        <f ca="1">IFERROR(__xludf.DUMMYFUNCTION("""COMPUTED_VALUE"""),43240)</f>
        <v>43240</v>
      </c>
      <c r="F203" t="str">
        <f ca="1">IFERROR(__xludf.DUMMYFUNCTION("""COMPUTED_VALUE"""),"KP0925SG")</f>
        <v>KP0925SG</v>
      </c>
      <c r="G203" s="11">
        <f ca="1">IFERROR(__xludf.DUMMYFUNCTION("""COMPUTED_VALUE"""),30000000)</f>
        <v>30000000</v>
      </c>
      <c r="H203">
        <f ca="1">IFERROR(__xludf.DUMMYFUNCTION("""COMPUTED_VALUE"""),36063)</f>
        <v>36063</v>
      </c>
      <c r="I203">
        <f ca="1">IFERROR(__xludf.DUMMYFUNCTION("""COMPUTED_VALUE"""),2)</f>
        <v>2</v>
      </c>
      <c r="J203" t="str">
        <f ca="1">IFERROR(__xludf.DUMMYFUNCTION("""COMPUTED_VALUE"""),"N/A")</f>
        <v>N/A</v>
      </c>
      <c r="K203" t="str">
        <f ca="1">IFERROR(__xludf.DUMMYFUNCTION("""COMPUTED_VALUE"""),"Cepat Kirim")</f>
        <v>Cepat Kirim</v>
      </c>
      <c r="L203" t="str">
        <f ca="1">IFERROR(__xludf.DUMMYFUNCTION("""COMPUTED_VALUE"""),"Y")</f>
        <v>Y</v>
      </c>
      <c r="M203" t="str">
        <f ca="1">IFERROR(__xludf.DUMMYFUNCTION("""COMPUTED_VALUE"""),"Pn-171")</f>
        <v>Pn-171</v>
      </c>
    </row>
    <row r="204" spans="1:13" ht="12.5" x14ac:dyDescent="0.25">
      <c r="A204" t="str">
        <f ca="1">IFERROR(__xludf.DUMMYFUNCTION("""COMPUTED_VALUE"""),"Goh")</f>
        <v>Goh</v>
      </c>
      <c r="B204" t="str">
        <f ca="1">IFERROR(__xludf.DUMMYFUNCTION("""COMPUTED_VALUE"""),"Yantony")</f>
        <v>Yantony</v>
      </c>
      <c r="C204" t="str">
        <f ca="1">IFERROR(__xludf.DUMMYFUNCTION("""COMPUTED_VALUE"""),"Yantony@ymailx.com")</f>
        <v>Yantony@ymailx.com</v>
      </c>
      <c r="D204" t="str">
        <f ca="1">IFERROR(__xludf.DUMMYFUNCTION("""COMPUTED_VALUE"""),"Ternate")</f>
        <v>Ternate</v>
      </c>
      <c r="E204" s="12">
        <f ca="1">IFERROR(__xludf.DUMMYFUNCTION("""COMPUTED_VALUE"""),43239)</f>
        <v>43239</v>
      </c>
      <c r="F204" t="str">
        <f ca="1">IFERROR(__xludf.DUMMYFUNCTION("""COMPUTED_VALUE"""),"KP0425CB")</f>
        <v>KP0425CB</v>
      </c>
      <c r="G204" s="11">
        <f ca="1">IFERROR(__xludf.DUMMYFUNCTION("""COMPUTED_VALUE"""),218000000)</f>
        <v>218000000</v>
      </c>
      <c r="H204">
        <f ca="1">IFERROR(__xludf.DUMMYFUNCTION("""COMPUTED_VALUE"""),35581)</f>
        <v>35581</v>
      </c>
      <c r="I204">
        <f ca="1">IFERROR(__xludf.DUMMYFUNCTION("""COMPUTED_VALUE"""),8)</f>
        <v>8</v>
      </c>
      <c r="J204" t="str">
        <f ca="1">IFERROR(__xludf.DUMMYFUNCTION("""COMPUTED_VALUE"""),"N/A")</f>
        <v>N/A</v>
      </c>
      <c r="K204" t="str">
        <f ca="1">IFERROR(__xludf.DUMMYFUNCTION("""COMPUTED_VALUE"""),"Pru Logistic")</f>
        <v>Pru Logistic</v>
      </c>
      <c r="L204" t="str">
        <f ca="1">IFERROR(__xludf.DUMMYFUNCTION("""COMPUTED_VALUE"""),"Y")</f>
        <v>Y</v>
      </c>
      <c r="M204" t="str">
        <f ca="1">IFERROR(__xludf.DUMMYFUNCTION("""COMPUTED_VALUE"""),"Pt-160")</f>
        <v>Pt-160</v>
      </c>
    </row>
    <row r="205" spans="1:13" ht="12.5" x14ac:dyDescent="0.25">
      <c r="A205" t="str">
        <f ca="1">IFERROR(__xludf.DUMMYFUNCTION("""COMPUTED_VALUE"""),"Daniel")</f>
        <v>Daniel</v>
      </c>
      <c r="B205" t="str">
        <f ca="1">IFERROR(__xludf.DUMMYFUNCTION("""COMPUTED_VALUE"""),"Prijatna")</f>
        <v>Prijatna</v>
      </c>
      <c r="C205" t="str">
        <f ca="1">IFERROR(__xludf.DUMMYFUNCTION("""COMPUTED_VALUE"""),"Prijatna@icloudx.com")</f>
        <v>Prijatna@icloudx.com</v>
      </c>
      <c r="D205" t="str">
        <f ca="1">IFERROR(__xludf.DUMMYFUNCTION("""COMPUTED_VALUE"""),"Pasuruan")</f>
        <v>Pasuruan</v>
      </c>
      <c r="E205" s="12">
        <f ca="1">IFERROR(__xludf.DUMMYFUNCTION("""COMPUTED_VALUE"""),43239)</f>
        <v>43239</v>
      </c>
      <c r="F205" t="str">
        <f ca="1">IFERROR(__xludf.DUMMYFUNCTION("""COMPUTED_VALUE"""),"KP0750AJ")</f>
        <v>KP0750AJ</v>
      </c>
      <c r="G205" s="11">
        <f ca="1">IFERROR(__xludf.DUMMYFUNCTION("""COMPUTED_VALUE"""),90000000)</f>
        <v>90000000</v>
      </c>
      <c r="H205">
        <f ca="1">IFERROR(__xludf.DUMMYFUNCTION("""COMPUTED_VALUE"""),35916)</f>
        <v>35916</v>
      </c>
      <c r="I205">
        <f ca="1">IFERROR(__xludf.DUMMYFUNCTION("""COMPUTED_VALUE"""),5)</f>
        <v>5</v>
      </c>
      <c r="J205" t="str">
        <f ca="1">IFERROR(__xludf.DUMMYFUNCTION("""COMPUTED_VALUE"""),"N/A")</f>
        <v>N/A</v>
      </c>
      <c r="K205" t="str">
        <f ca="1">IFERROR(__xludf.DUMMYFUNCTION("""COMPUTED_VALUE"""),"Swift Delivery")</f>
        <v>Swift Delivery</v>
      </c>
      <c r="L205" t="str">
        <f ca="1">IFERROR(__xludf.DUMMYFUNCTION("""COMPUTED_VALUE"""),"Y")</f>
        <v>Y</v>
      </c>
      <c r="M205" t="str">
        <f ca="1">IFERROR(__xludf.DUMMYFUNCTION("""COMPUTED_VALUE"""),"Ft-123")</f>
        <v>Ft-123</v>
      </c>
    </row>
    <row r="206" spans="1:13" ht="12.5" x14ac:dyDescent="0.25">
      <c r="A206" t="str">
        <f ca="1">IFERROR(__xludf.DUMMYFUNCTION("""COMPUTED_VALUE"""),"Sukendar")</f>
        <v>Sukendar</v>
      </c>
      <c r="B206" t="str">
        <f ca="1">IFERROR(__xludf.DUMMYFUNCTION("""COMPUTED_VALUE"""),"Tanuwidjaja")</f>
        <v>Tanuwidjaja</v>
      </c>
      <c r="C206" t="str">
        <f ca="1">IFERROR(__xludf.DUMMYFUNCTION("""COMPUTED_VALUE"""),"Sukendar@livex.com")</f>
        <v>Sukendar@livex.com</v>
      </c>
      <c r="D206" t="str">
        <f ca="1">IFERROR(__xludf.DUMMYFUNCTION("""COMPUTED_VALUE"""),"Tual")</f>
        <v>Tual</v>
      </c>
      <c r="E206" s="12">
        <f ca="1">IFERROR(__xludf.DUMMYFUNCTION("""COMPUTED_VALUE"""),43237)</f>
        <v>43237</v>
      </c>
      <c r="F206" t="str">
        <f ca="1">IFERROR(__xludf.DUMMYFUNCTION("""COMPUTED_VALUE"""),"KP0625AF")</f>
        <v>KP0625AF</v>
      </c>
      <c r="G206" s="11">
        <f ca="1">IFERROR(__xludf.DUMMYFUNCTION("""COMPUTED_VALUE"""),24000000)</f>
        <v>24000000</v>
      </c>
      <c r="H206">
        <f ca="1">IFERROR(__xludf.DUMMYFUNCTION("""COMPUTED_VALUE"""),36252)</f>
        <v>36252</v>
      </c>
      <c r="I206">
        <f ca="1">IFERROR(__xludf.DUMMYFUNCTION("""COMPUTED_VALUE"""),2)</f>
        <v>2</v>
      </c>
      <c r="J206" t="str">
        <f ca="1">IFERROR(__xludf.DUMMYFUNCTION("""COMPUTED_VALUE"""),"N/A")</f>
        <v>N/A</v>
      </c>
      <c r="K206" t="str">
        <f ca="1">IFERROR(__xludf.DUMMYFUNCTION("""COMPUTED_VALUE"""),"JENT")</f>
        <v>JENT</v>
      </c>
      <c r="L206" t="str">
        <f ca="1">IFERROR(__xludf.DUMMYFUNCTION("""COMPUTED_VALUE"""),"N")</f>
        <v>N</v>
      </c>
      <c r="M206" t="str">
        <f ca="1">IFERROR(__xludf.DUMMYFUNCTION("""COMPUTED_VALUE"""),"El-171")</f>
        <v>El-171</v>
      </c>
    </row>
    <row r="207" spans="1:13" ht="12.5" x14ac:dyDescent="0.25">
      <c r="A207" t="str">
        <f ca="1">IFERROR(__xludf.DUMMYFUNCTION("""COMPUTED_VALUE"""),"Indriani")</f>
        <v>Indriani</v>
      </c>
      <c r="B207" t="str">
        <f ca="1">IFERROR(__xludf.DUMMYFUNCTION("""COMPUTED_VALUE"""),"Hartono")</f>
        <v>Hartono</v>
      </c>
      <c r="C207" t="str">
        <f ca="1">IFERROR(__xludf.DUMMYFUNCTION("""COMPUTED_VALUE"""),"Indriani@ymailx.com")</f>
        <v>Indriani@ymailx.com</v>
      </c>
      <c r="D207" t="str">
        <f ca="1">IFERROR(__xludf.DUMMYFUNCTION("""COMPUTED_VALUE"""),"Ambon")</f>
        <v>Ambon</v>
      </c>
      <c r="E207" s="12">
        <f ca="1">IFERROR(__xludf.DUMMYFUNCTION("""COMPUTED_VALUE"""),43236)</f>
        <v>43236</v>
      </c>
      <c r="F207" t="str">
        <f ca="1">IFERROR(__xludf.DUMMYFUNCTION("""COMPUTED_VALUE"""),"KP0850FB")</f>
        <v>KP0850FB</v>
      </c>
      <c r="G207" s="11">
        <f ca="1">IFERROR(__xludf.DUMMYFUNCTION("""COMPUTED_VALUE"""),189000000)</f>
        <v>189000000</v>
      </c>
      <c r="H207">
        <f ca="1">IFERROR(__xludf.DUMMYFUNCTION("""COMPUTED_VALUE"""),36906)</f>
        <v>36906</v>
      </c>
      <c r="I207">
        <f ca="1">IFERROR(__xludf.DUMMYFUNCTION("""COMPUTED_VALUE"""),9)</f>
        <v>9</v>
      </c>
      <c r="J207">
        <f ca="1">IFERROR(__xludf.DUMMYFUNCTION("""COMPUTED_VALUE"""),4)</f>
        <v>4</v>
      </c>
      <c r="K207" t="str">
        <f ca="1">IFERROR(__xludf.DUMMYFUNCTION("""COMPUTED_VALUE"""),"Swift Delivery")</f>
        <v>Swift Delivery</v>
      </c>
      <c r="L207" t="str">
        <f ca="1">IFERROR(__xludf.DUMMYFUNCTION("""COMPUTED_VALUE"""),"Y")</f>
        <v>Y</v>
      </c>
      <c r="M207" t="str">
        <f ca="1">IFERROR(__xludf.DUMMYFUNCTION("""COMPUTED_VALUE"""),"An-171")</f>
        <v>An-171</v>
      </c>
    </row>
    <row r="208" spans="1:13" ht="12.5" x14ac:dyDescent="0.25">
      <c r="A208" t="str">
        <f ca="1">IFERROR(__xludf.DUMMYFUNCTION("""COMPUTED_VALUE"""),"Prasodjo")</f>
        <v>Prasodjo</v>
      </c>
      <c r="B208" t="str">
        <f ca="1">IFERROR(__xludf.DUMMYFUNCTION("""COMPUTED_VALUE"""),"Limman")</f>
        <v>Limman</v>
      </c>
      <c r="C208" t="str">
        <f ca="1">IFERROR(__xludf.DUMMYFUNCTION("""COMPUTED_VALUE"""),"LIMMAN@outlookx.com")</f>
        <v>LIMMAN@outlookx.com</v>
      </c>
      <c r="D208" t="str">
        <f ca="1">IFERROR(__xludf.DUMMYFUNCTION("""COMPUTED_VALUE"""),"Lhokseumawe")</f>
        <v>Lhokseumawe</v>
      </c>
      <c r="E208" s="12">
        <f ca="1">IFERROR(__xludf.DUMMYFUNCTION("""COMPUTED_VALUE"""),43234)</f>
        <v>43234</v>
      </c>
      <c r="F208" t="str">
        <f ca="1">IFERROR(__xludf.DUMMYFUNCTION("""COMPUTED_VALUE"""),"KP0625AF")</f>
        <v>KP0625AF</v>
      </c>
      <c r="G208" s="11">
        <f ca="1">IFERROR(__xludf.DUMMYFUNCTION("""COMPUTED_VALUE"""),72000000)</f>
        <v>72000000</v>
      </c>
      <c r="H208">
        <f ca="1">IFERROR(__xludf.DUMMYFUNCTION("""COMPUTED_VALUE"""),36339)</f>
        <v>36339</v>
      </c>
      <c r="I208">
        <f ca="1">IFERROR(__xludf.DUMMYFUNCTION("""COMPUTED_VALUE"""),6)</f>
        <v>6</v>
      </c>
      <c r="J208">
        <f ca="1">IFERROR(__xludf.DUMMYFUNCTION("""COMPUTED_VALUE"""),4)</f>
        <v>4</v>
      </c>
      <c r="K208" t="str">
        <f ca="1">IFERROR(__xludf.DUMMYFUNCTION("""COMPUTED_VALUE"""),"Swift Delivery")</f>
        <v>Swift Delivery</v>
      </c>
      <c r="L208" t="str">
        <f ca="1">IFERROR(__xludf.DUMMYFUNCTION("""COMPUTED_VALUE"""),"N")</f>
        <v>N</v>
      </c>
      <c r="M208" t="str">
        <f ca="1">IFERROR(__xludf.DUMMYFUNCTION("""COMPUTED_VALUE"""),"Xc-101")</f>
        <v>Xc-101</v>
      </c>
    </row>
    <row r="209" spans="1:13" ht="12.5" x14ac:dyDescent="0.25">
      <c r="A209" t="str">
        <f ca="1">IFERROR(__xludf.DUMMYFUNCTION("""COMPUTED_VALUE"""),"Edoardus")</f>
        <v>Edoardus</v>
      </c>
      <c r="B209" t="str">
        <f ca="1">IFERROR(__xludf.DUMMYFUNCTION("""COMPUTED_VALUE"""),"Oentoro")</f>
        <v>Oentoro</v>
      </c>
      <c r="C209" t="str">
        <f ca="1">IFERROR(__xludf.DUMMYFUNCTION("""COMPUTED_VALUE"""),"Edoardus@outlookx.com")</f>
        <v>Edoardus@outlookx.com</v>
      </c>
      <c r="D209" t="str">
        <f ca="1">IFERROR(__xludf.DUMMYFUNCTION("""COMPUTED_VALUE"""),"Pangkalpinang")</f>
        <v>Pangkalpinang</v>
      </c>
      <c r="E209" s="12">
        <f ca="1">IFERROR(__xludf.DUMMYFUNCTION("""COMPUTED_VALUE"""),43378)</f>
        <v>43378</v>
      </c>
      <c r="F209" t="str">
        <f ca="1">IFERROR(__xludf.DUMMYFUNCTION("""COMPUTED_VALUE"""),"KP0150BH")</f>
        <v>KP0150BH</v>
      </c>
      <c r="G209" s="11">
        <f ca="1">IFERROR(__xludf.DUMMYFUNCTION("""COMPUTED_VALUE"""),243000000)</f>
        <v>243000000</v>
      </c>
      <c r="H209">
        <f ca="1">IFERROR(__xludf.DUMMYFUNCTION("""COMPUTED_VALUE"""),35278)</f>
        <v>35278</v>
      </c>
      <c r="I209">
        <f ca="1">IFERROR(__xludf.DUMMYFUNCTION("""COMPUTED_VALUE"""),9)</f>
        <v>9</v>
      </c>
      <c r="J209">
        <f ca="1">IFERROR(__xludf.DUMMYFUNCTION("""COMPUTED_VALUE"""),4)</f>
        <v>4</v>
      </c>
      <c r="K209" t="str">
        <f ca="1">IFERROR(__xludf.DUMMYFUNCTION("""COMPUTED_VALUE"""),"JENT")</f>
        <v>JENT</v>
      </c>
      <c r="L209" t="str">
        <f ca="1">IFERROR(__xludf.DUMMYFUNCTION("""COMPUTED_VALUE"""),"Y")</f>
        <v>Y</v>
      </c>
      <c r="M209" t="str">
        <f ca="1">IFERROR(__xludf.DUMMYFUNCTION("""COMPUTED_VALUE"""),"Az-120")</f>
        <v>Az-120</v>
      </c>
    </row>
    <row r="210" spans="1:13" ht="12.5" x14ac:dyDescent="0.25">
      <c r="A210" t="str">
        <f ca="1">IFERROR(__xludf.DUMMYFUNCTION("""COMPUTED_VALUE"""),"Kakan")</f>
        <v>Kakan</v>
      </c>
      <c r="B210" t="str">
        <f ca="1">IFERROR(__xludf.DUMMYFUNCTION("""COMPUTED_VALUE"""),"Pascal")</f>
        <v>Pascal</v>
      </c>
      <c r="C210" t="str">
        <f ca="1">IFERROR(__xludf.DUMMYFUNCTION("""COMPUTED_VALUE"""),"PASCAL@gmailx.com")</f>
        <v>PASCAL@gmailx.com</v>
      </c>
      <c r="D210" t="str">
        <f ca="1">IFERROR(__xludf.DUMMYFUNCTION("""COMPUTED_VALUE"""),"Jakarta Barat")</f>
        <v>Jakarta Barat</v>
      </c>
      <c r="E210" s="12">
        <f ca="1">IFERROR(__xludf.DUMMYFUNCTION("""COMPUTED_VALUE"""),43378)</f>
        <v>43378</v>
      </c>
      <c r="F210" t="str">
        <f ca="1">IFERROR(__xludf.DUMMYFUNCTION("""COMPUTED_VALUE"""),"KP0625AF")</f>
        <v>KP0625AF</v>
      </c>
      <c r="G210" s="11">
        <f ca="1">IFERROR(__xludf.DUMMYFUNCTION("""COMPUTED_VALUE"""),120000000)</f>
        <v>120000000</v>
      </c>
      <c r="H210">
        <f ca="1">IFERROR(__xludf.DUMMYFUNCTION("""COMPUTED_VALUE"""),35501)</f>
        <v>35501</v>
      </c>
      <c r="I210">
        <f ca="1">IFERROR(__xludf.DUMMYFUNCTION("""COMPUTED_VALUE"""),10)</f>
        <v>10</v>
      </c>
      <c r="J210" t="str">
        <f ca="1">IFERROR(__xludf.DUMMYFUNCTION("""COMPUTED_VALUE"""),"N/A")</f>
        <v>N/A</v>
      </c>
      <c r="K210" t="str">
        <f ca="1">IFERROR(__xludf.DUMMYFUNCTION("""COMPUTED_VALUE"""),"JENT")</f>
        <v>JENT</v>
      </c>
      <c r="L210" t="str">
        <f ca="1">IFERROR(__xludf.DUMMYFUNCTION("""COMPUTED_VALUE"""),"Y")</f>
        <v>Y</v>
      </c>
      <c r="M210" t="str">
        <f ca="1">IFERROR(__xludf.DUMMYFUNCTION("""COMPUTED_VALUE"""),"Im-333")</f>
        <v>Im-333</v>
      </c>
    </row>
    <row r="211" spans="1:13" ht="12.5" x14ac:dyDescent="0.25">
      <c r="A211" t="str">
        <f ca="1">IFERROR(__xludf.DUMMYFUNCTION("""COMPUTED_VALUE"""),"Gunawan")</f>
        <v>Gunawan</v>
      </c>
      <c r="B211" t="str">
        <f ca="1">IFERROR(__xludf.DUMMYFUNCTION("""COMPUTED_VALUE"""),"Budiono")</f>
        <v>Budiono</v>
      </c>
      <c r="C211" t="str">
        <f ca="1">IFERROR(__xludf.DUMMYFUNCTION("""COMPUTED_VALUE"""),"Gunawan@ymailx.com")</f>
        <v>Gunawan@ymailx.com</v>
      </c>
      <c r="D211" t="str">
        <f ca="1">IFERROR(__xludf.DUMMYFUNCTION("""COMPUTED_VALUE"""),"Padang Sidempuan")</f>
        <v>Padang Sidempuan</v>
      </c>
      <c r="E211" s="12">
        <f ca="1">IFERROR(__xludf.DUMMYFUNCTION("""COMPUTED_VALUE"""),43348)</f>
        <v>43348</v>
      </c>
      <c r="F211" t="str">
        <f ca="1">IFERROR(__xludf.DUMMYFUNCTION("""COMPUTED_VALUE"""),"KP0425CB")</f>
        <v>KP0425CB</v>
      </c>
      <c r="G211" s="11">
        <f ca="1">IFERROR(__xludf.DUMMYFUNCTION("""COMPUTED_VALUE"""),190750000)</f>
        <v>190750000</v>
      </c>
      <c r="H211">
        <f ca="1">IFERROR(__xludf.DUMMYFUNCTION("""COMPUTED_VALUE"""),36943)</f>
        <v>36943</v>
      </c>
      <c r="I211">
        <f ca="1">IFERROR(__xludf.DUMMYFUNCTION("""COMPUTED_VALUE"""),7)</f>
        <v>7</v>
      </c>
      <c r="J211">
        <f ca="1">IFERROR(__xludf.DUMMYFUNCTION("""COMPUTED_VALUE"""),4)</f>
        <v>4</v>
      </c>
      <c r="K211" t="str">
        <f ca="1">IFERROR(__xludf.DUMMYFUNCTION("""COMPUTED_VALUE"""),"JENT")</f>
        <v>JENT</v>
      </c>
      <c r="L211" t="str">
        <f ca="1">IFERROR(__xludf.DUMMYFUNCTION("""COMPUTED_VALUE"""),"Y")</f>
        <v>Y</v>
      </c>
      <c r="M211" t="str">
        <f ca="1">IFERROR(__xludf.DUMMYFUNCTION("""COMPUTED_VALUE"""),"Cz-662")</f>
        <v>Cz-662</v>
      </c>
    </row>
    <row r="212" spans="1:13" ht="12.5" x14ac:dyDescent="0.25">
      <c r="A212" t="str">
        <f ca="1">IFERROR(__xludf.DUMMYFUNCTION("""COMPUTED_VALUE"""),"Henry")</f>
        <v>Henry</v>
      </c>
      <c r="B212" t="str">
        <f ca="1">IFERROR(__xludf.DUMMYFUNCTION("""COMPUTED_VALUE"""),"Handajani")</f>
        <v>Handajani</v>
      </c>
      <c r="C212" t="str">
        <f ca="1">IFERROR(__xludf.DUMMYFUNCTION("""COMPUTED_VALUE"""),"Handajani@ymailx.com")</f>
        <v>Handajani@ymailx.com</v>
      </c>
      <c r="D212" t="str">
        <f ca="1">IFERROR(__xludf.DUMMYFUNCTION("""COMPUTED_VALUE"""),"Sukabumi")</f>
        <v>Sukabumi</v>
      </c>
      <c r="E212" s="12">
        <f ca="1">IFERROR(__xludf.DUMMYFUNCTION("""COMPUTED_VALUE"""),43348)</f>
        <v>43348</v>
      </c>
      <c r="F212" t="str">
        <f ca="1">IFERROR(__xludf.DUMMYFUNCTION("""COMPUTED_VALUE"""),"KP0150BH")</f>
        <v>KP0150BH</v>
      </c>
      <c r="G212" s="11">
        <f ca="1">IFERROR(__xludf.DUMMYFUNCTION("""COMPUTED_VALUE"""),108000000)</f>
        <v>108000000</v>
      </c>
      <c r="H212">
        <f ca="1">IFERROR(__xludf.DUMMYFUNCTION("""COMPUTED_VALUE"""),36139)</f>
        <v>36139</v>
      </c>
      <c r="I212">
        <f ca="1">IFERROR(__xludf.DUMMYFUNCTION("""COMPUTED_VALUE"""),4)</f>
        <v>4</v>
      </c>
      <c r="J212" t="str">
        <f ca="1">IFERROR(__xludf.DUMMYFUNCTION("""COMPUTED_VALUE"""),"N/A")</f>
        <v>N/A</v>
      </c>
      <c r="K212" t="str">
        <f ca="1">IFERROR(__xludf.DUMMYFUNCTION("""COMPUTED_VALUE"""),"JENT")</f>
        <v>JENT</v>
      </c>
      <c r="L212" t="str">
        <f ca="1">IFERROR(__xludf.DUMMYFUNCTION("""COMPUTED_VALUE"""),"Y")</f>
        <v>Y</v>
      </c>
      <c r="M212" t="str">
        <f ca="1">IFERROR(__xludf.DUMMYFUNCTION("""COMPUTED_VALUE"""),"Sm-409")</f>
        <v>Sm-409</v>
      </c>
    </row>
    <row r="213" spans="1:13" ht="12.5" x14ac:dyDescent="0.25">
      <c r="A213" t="str">
        <f ca="1">IFERROR(__xludf.DUMMYFUNCTION("""COMPUTED_VALUE"""),"Hary")</f>
        <v>Hary</v>
      </c>
      <c r="B213" t="str">
        <f ca="1">IFERROR(__xludf.DUMMYFUNCTION("""COMPUTED_VALUE"""),"Tanuwiradjaja")</f>
        <v>Tanuwiradjaja</v>
      </c>
      <c r="C213" t="str">
        <f ca="1">IFERROR(__xludf.DUMMYFUNCTION("""COMPUTED_VALUE"""),"Tanuwiradjaja@gmailx.com")</f>
        <v>Tanuwiradjaja@gmailx.com</v>
      </c>
      <c r="D213" t="str">
        <f ca="1">IFERROR(__xludf.DUMMYFUNCTION("""COMPUTED_VALUE"""),"Bogor")</f>
        <v>Bogor</v>
      </c>
      <c r="E213" s="12">
        <f ca="1">IFERROR(__xludf.DUMMYFUNCTION("""COMPUTED_VALUE"""),43286)</f>
        <v>43286</v>
      </c>
      <c r="F213" t="str">
        <f ca="1">IFERROR(__xludf.DUMMYFUNCTION("""COMPUTED_VALUE"""),"KP0850FB")</f>
        <v>KP0850FB</v>
      </c>
      <c r="G213" s="11">
        <f ca="1">IFERROR(__xludf.DUMMYFUNCTION("""COMPUTED_VALUE"""),105000000)</f>
        <v>105000000</v>
      </c>
      <c r="H213">
        <f ca="1">IFERROR(__xludf.DUMMYFUNCTION("""COMPUTED_VALUE"""),36461)</f>
        <v>36461</v>
      </c>
      <c r="I213">
        <f ca="1">IFERROR(__xludf.DUMMYFUNCTION("""COMPUTED_VALUE"""),5)</f>
        <v>5</v>
      </c>
      <c r="J213">
        <f ca="1">IFERROR(__xludf.DUMMYFUNCTION("""COMPUTED_VALUE"""),5)</f>
        <v>5</v>
      </c>
      <c r="K213" t="str">
        <f ca="1">IFERROR(__xludf.DUMMYFUNCTION("""COMPUTED_VALUE"""),"Cepat Kirim")</f>
        <v>Cepat Kirim</v>
      </c>
      <c r="L213" t="str">
        <f ca="1">IFERROR(__xludf.DUMMYFUNCTION("""COMPUTED_VALUE"""),"Y")</f>
        <v>Y</v>
      </c>
      <c r="M213" t="str">
        <f ca="1">IFERROR(__xludf.DUMMYFUNCTION("""COMPUTED_VALUE"""),"Es-409")</f>
        <v>Es-409</v>
      </c>
    </row>
    <row r="214" spans="1:13" ht="12.5" x14ac:dyDescent="0.25">
      <c r="A214" t="str">
        <f ca="1">IFERROR(__xludf.DUMMYFUNCTION("""COMPUTED_VALUE"""),"Stephan")</f>
        <v>Stephan</v>
      </c>
      <c r="B214" t="str">
        <f ca="1">IFERROR(__xludf.DUMMYFUNCTION("""COMPUTED_VALUE"""),"Irwan")</f>
        <v>Irwan</v>
      </c>
      <c r="C214" t="str">
        <f ca="1">IFERROR(__xludf.DUMMYFUNCTION("""COMPUTED_VALUE"""),"Irwan@icloudx.com")</f>
        <v>Irwan@icloudx.com</v>
      </c>
      <c r="D214" t="str">
        <f ca="1">IFERROR(__xludf.DUMMYFUNCTION("""COMPUTED_VALUE"""),"Sungai Penuh")</f>
        <v>Sungai Penuh</v>
      </c>
      <c r="E214" s="12">
        <f ca="1">IFERROR(__xludf.DUMMYFUNCTION("""COMPUTED_VALUE"""),43195)</f>
        <v>43195</v>
      </c>
      <c r="F214" t="str">
        <f ca="1">IFERROR(__xludf.DUMMYFUNCTION("""COMPUTED_VALUE"""),"KP0625AF")</f>
        <v>KP0625AF</v>
      </c>
      <c r="G214" s="11">
        <f ca="1">IFERROR(__xludf.DUMMYFUNCTION("""COMPUTED_VALUE"""),84000000)</f>
        <v>84000000</v>
      </c>
      <c r="H214">
        <f ca="1">IFERROR(__xludf.DUMMYFUNCTION("""COMPUTED_VALUE"""),35295)</f>
        <v>35295</v>
      </c>
      <c r="I214">
        <f ca="1">IFERROR(__xludf.DUMMYFUNCTION("""COMPUTED_VALUE"""),7)</f>
        <v>7</v>
      </c>
      <c r="J214" t="str">
        <f ca="1">IFERROR(__xludf.DUMMYFUNCTION("""COMPUTED_VALUE"""),"N/A")</f>
        <v>N/A</v>
      </c>
      <c r="K214" t="str">
        <f ca="1">IFERROR(__xludf.DUMMYFUNCTION("""COMPUTED_VALUE"""),"Cepat Kirim")</f>
        <v>Cepat Kirim</v>
      </c>
      <c r="L214" t="str">
        <f ca="1">IFERROR(__xludf.DUMMYFUNCTION("""COMPUTED_VALUE"""),"N")</f>
        <v>N</v>
      </c>
      <c r="M214" t="str">
        <f ca="1">IFERROR(__xludf.DUMMYFUNCTION("""COMPUTED_VALUE"""),"Sb-512")</f>
        <v>Sb-512</v>
      </c>
    </row>
    <row r="215" spans="1:13" ht="12.5" x14ac:dyDescent="0.25">
      <c r="A215" t="str">
        <f ca="1">IFERROR(__xludf.DUMMYFUNCTION("""COMPUTED_VALUE"""),"Joachim")</f>
        <v>Joachim</v>
      </c>
      <c r="B215" t="str">
        <f ca="1">IFERROR(__xludf.DUMMYFUNCTION("""COMPUTED_VALUE"""),"Susanto")</f>
        <v>Susanto</v>
      </c>
      <c r="C215" t="str">
        <f ca="1">IFERROR(__xludf.DUMMYFUNCTION("""COMPUTED_VALUE"""),"Susanto@ymailx.com")</f>
        <v>Susanto@ymailx.com</v>
      </c>
      <c r="D215" t="str">
        <f ca="1">IFERROR(__xludf.DUMMYFUNCTION("""COMPUTED_VALUE"""),"Tanjungpinang")</f>
        <v>Tanjungpinang</v>
      </c>
      <c r="E215" s="12">
        <f ca="1">IFERROR(__xludf.DUMMYFUNCTION("""COMPUTED_VALUE"""),43164)</f>
        <v>43164</v>
      </c>
      <c r="F215" t="str">
        <f ca="1">IFERROR(__xludf.DUMMYFUNCTION("""COMPUTED_VALUE"""),"KP0150BH")</f>
        <v>KP0150BH</v>
      </c>
      <c r="G215" s="11">
        <f ca="1">IFERROR(__xludf.DUMMYFUNCTION("""COMPUTED_VALUE"""),162000000)</f>
        <v>162000000</v>
      </c>
      <c r="H215">
        <f ca="1">IFERROR(__xludf.DUMMYFUNCTION("""COMPUTED_VALUE"""),36944)</f>
        <v>36944</v>
      </c>
      <c r="I215">
        <f ca="1">IFERROR(__xludf.DUMMYFUNCTION("""COMPUTED_VALUE"""),6)</f>
        <v>6</v>
      </c>
      <c r="J215" t="str">
        <f ca="1">IFERROR(__xludf.DUMMYFUNCTION("""COMPUTED_VALUE"""),"N/A")</f>
        <v>N/A</v>
      </c>
      <c r="K215" t="str">
        <f ca="1">IFERROR(__xludf.DUMMYFUNCTION("""COMPUTED_VALUE"""),"Wakanda Express")</f>
        <v>Wakanda Express</v>
      </c>
      <c r="L215" t="str">
        <f ca="1">IFERROR(__xludf.DUMMYFUNCTION("""COMPUTED_VALUE"""),"Y")</f>
        <v>Y</v>
      </c>
      <c r="M215" t="str">
        <f ca="1">IFERROR(__xludf.DUMMYFUNCTION("""COMPUTED_VALUE"""),"Jf-809")</f>
        <v>Jf-809</v>
      </c>
    </row>
    <row r="216" spans="1:13" ht="12.5" x14ac:dyDescent="0.25">
      <c r="A216" t="str">
        <f ca="1">IFERROR(__xludf.DUMMYFUNCTION("""COMPUTED_VALUE"""),"Ignatius")</f>
        <v>Ignatius</v>
      </c>
      <c r="B216" t="str">
        <f ca="1">IFERROR(__xludf.DUMMYFUNCTION("""COMPUTED_VALUE"""),"Ramchand")</f>
        <v>Ramchand</v>
      </c>
      <c r="C216" t="str">
        <f ca="1">IFERROR(__xludf.DUMMYFUNCTION("""COMPUTED_VALUE"""),"Ignatius@gmailx.com")</f>
        <v>Ignatius@gmailx.com</v>
      </c>
      <c r="D216" t="str">
        <f ca="1">IFERROR(__xludf.DUMMYFUNCTION("""COMPUTED_VALUE"""),"Pontianak")</f>
        <v>Pontianak</v>
      </c>
      <c r="E216" s="12">
        <f ca="1">IFERROR(__xludf.DUMMYFUNCTION("""COMPUTED_VALUE"""),43164)</f>
        <v>43164</v>
      </c>
      <c r="F216" t="str">
        <f ca="1">IFERROR(__xludf.DUMMYFUNCTION("""COMPUTED_VALUE"""),"KP0750AJ")</f>
        <v>KP0750AJ</v>
      </c>
      <c r="G216" s="11">
        <f ca="1">IFERROR(__xludf.DUMMYFUNCTION("""COMPUTED_VALUE"""),72000000)</f>
        <v>72000000</v>
      </c>
      <c r="H216">
        <f ca="1">IFERROR(__xludf.DUMMYFUNCTION("""COMPUTED_VALUE"""),36714)</f>
        <v>36714</v>
      </c>
      <c r="I216">
        <f ca="1">IFERROR(__xludf.DUMMYFUNCTION("""COMPUTED_VALUE"""),4)</f>
        <v>4</v>
      </c>
      <c r="J216" t="str">
        <f ca="1">IFERROR(__xludf.DUMMYFUNCTION("""COMPUTED_VALUE"""),"N/A")</f>
        <v>N/A</v>
      </c>
      <c r="K216" t="str">
        <f ca="1">IFERROR(__xludf.DUMMYFUNCTION("""COMPUTED_VALUE"""),"JENT")</f>
        <v>JENT</v>
      </c>
      <c r="L216" t="str">
        <f ca="1">IFERROR(__xludf.DUMMYFUNCTION("""COMPUTED_VALUE"""),"Y")</f>
        <v>Y</v>
      </c>
      <c r="M216" t="str">
        <f ca="1">IFERROR(__xludf.DUMMYFUNCTION("""COMPUTED_VALUE"""),"Ta-880")</f>
        <v>Ta-880</v>
      </c>
    </row>
    <row r="217" spans="1:13" ht="12.5" x14ac:dyDescent="0.25">
      <c r="A217" t="str">
        <f ca="1">IFERROR(__xludf.DUMMYFUNCTION("""COMPUTED_VALUE"""),"Eddy")</f>
        <v>Eddy</v>
      </c>
      <c r="B217" t="str">
        <f ca="1">IFERROR(__xludf.DUMMYFUNCTION("""COMPUTED_VALUE"""),"Tenacious")</f>
        <v>Tenacious</v>
      </c>
      <c r="C217" t="str">
        <f ca="1">IFERROR(__xludf.DUMMYFUNCTION("""COMPUTED_VALUE"""),"Eddy@livex.com")</f>
        <v>Eddy@livex.com</v>
      </c>
      <c r="D217" t="str">
        <f ca="1">IFERROR(__xludf.DUMMYFUNCTION("""COMPUTED_VALUE"""),"Tanjungbalai")</f>
        <v>Tanjungbalai</v>
      </c>
      <c r="E217" s="12">
        <f ca="1">IFERROR(__xludf.DUMMYFUNCTION("""COMPUTED_VALUE"""),43218)</f>
        <v>43218</v>
      </c>
      <c r="F217" t="str">
        <f ca="1">IFERROR(__xludf.DUMMYFUNCTION("""COMPUTED_VALUE"""),"KP0925SG")</f>
        <v>KP0925SG</v>
      </c>
      <c r="G217" s="11">
        <f ca="1">IFERROR(__xludf.DUMMYFUNCTION("""COMPUTED_VALUE"""),105000000)</f>
        <v>105000000</v>
      </c>
      <c r="H217">
        <f ca="1">IFERROR(__xludf.DUMMYFUNCTION("""COMPUTED_VALUE"""),36277)</f>
        <v>36277</v>
      </c>
      <c r="I217">
        <f ca="1">IFERROR(__xludf.DUMMYFUNCTION("""COMPUTED_VALUE"""),7)</f>
        <v>7</v>
      </c>
      <c r="J217" t="str">
        <f ca="1">IFERROR(__xludf.DUMMYFUNCTION("""COMPUTED_VALUE"""),"N/A")</f>
        <v>N/A</v>
      </c>
      <c r="K217" t="str">
        <f ca="1">IFERROR(__xludf.DUMMYFUNCTION("""COMPUTED_VALUE"""),"Cepat Kirim")</f>
        <v>Cepat Kirim</v>
      </c>
      <c r="L217" t="str">
        <f ca="1">IFERROR(__xludf.DUMMYFUNCTION("""COMPUTED_VALUE"""),"Y")</f>
        <v>Y</v>
      </c>
      <c r="M217" t="str">
        <f ca="1">IFERROR(__xludf.DUMMYFUNCTION("""COMPUTED_VALUE"""),"Iy-662")</f>
        <v>Iy-662</v>
      </c>
    </row>
    <row r="218" spans="1:13" ht="12.5" x14ac:dyDescent="0.25">
      <c r="A218" t="str">
        <f ca="1">IFERROR(__xludf.DUMMYFUNCTION("""COMPUTED_VALUE"""),"Omar")</f>
        <v>Omar</v>
      </c>
      <c r="B218" t="str">
        <f ca="1">IFERROR(__xludf.DUMMYFUNCTION("""COMPUTED_VALUE"""),"Anggono")</f>
        <v>Anggono</v>
      </c>
      <c r="C218" t="str">
        <f ca="1">IFERROR(__xludf.DUMMYFUNCTION("""COMPUTED_VALUE"""),"Omar@rocketmailx.com")</f>
        <v>Omar@rocketmailx.com</v>
      </c>
      <c r="D218" t="str">
        <f ca="1">IFERROR(__xludf.DUMMYFUNCTION("""COMPUTED_VALUE"""),"Sawahlunto")</f>
        <v>Sawahlunto</v>
      </c>
      <c r="E218" s="12">
        <f ca="1">IFERROR(__xludf.DUMMYFUNCTION("""COMPUTED_VALUE"""),43217)</f>
        <v>43217</v>
      </c>
      <c r="F218" t="str">
        <f ca="1">IFERROR(__xludf.DUMMYFUNCTION("""COMPUTED_VALUE"""),"KP0425CB")</f>
        <v>KP0425CB</v>
      </c>
      <c r="G218" s="11">
        <f ca="1">IFERROR(__xludf.DUMMYFUNCTION("""COMPUTED_VALUE"""),109000000)</f>
        <v>109000000</v>
      </c>
      <c r="H218">
        <f ca="1">IFERROR(__xludf.DUMMYFUNCTION("""COMPUTED_VALUE"""),35591)</f>
        <v>35591</v>
      </c>
      <c r="I218">
        <f ca="1">IFERROR(__xludf.DUMMYFUNCTION("""COMPUTED_VALUE"""),4)</f>
        <v>4</v>
      </c>
      <c r="J218" t="str">
        <f ca="1">IFERROR(__xludf.DUMMYFUNCTION("""COMPUTED_VALUE"""),"N/A")</f>
        <v>N/A</v>
      </c>
      <c r="K218" t="str">
        <f ca="1">IFERROR(__xludf.DUMMYFUNCTION("""COMPUTED_VALUE"""),"Wakanda Express")</f>
        <v>Wakanda Express</v>
      </c>
      <c r="L218" t="str">
        <f ca="1">IFERROR(__xludf.DUMMYFUNCTION("""COMPUTED_VALUE"""),"N")</f>
        <v>N</v>
      </c>
      <c r="M218" t="str">
        <f ca="1">IFERROR(__xludf.DUMMYFUNCTION("""COMPUTED_VALUE"""),"Ac-559")</f>
        <v>Ac-559</v>
      </c>
    </row>
    <row r="219" spans="1:13" ht="12.5" x14ac:dyDescent="0.25">
      <c r="A219" t="str">
        <f ca="1">IFERROR(__xludf.DUMMYFUNCTION("""COMPUTED_VALUE"""),"Arianto")</f>
        <v>Arianto</v>
      </c>
      <c r="B219" t="str">
        <f ca="1">IFERROR(__xludf.DUMMYFUNCTION("""COMPUTED_VALUE"""),"Ciputra")</f>
        <v>Ciputra</v>
      </c>
      <c r="C219" t="str">
        <f ca="1">IFERROR(__xludf.DUMMYFUNCTION("""COMPUTED_VALUE"""),"CIPUTRA@gmailx.com")</f>
        <v>CIPUTRA@gmailx.com</v>
      </c>
      <c r="D219" t="str">
        <f ca="1">IFERROR(__xludf.DUMMYFUNCTION("""COMPUTED_VALUE"""),"Ternate")</f>
        <v>Ternate</v>
      </c>
      <c r="E219" s="12">
        <f ca="1">IFERROR(__xludf.DUMMYFUNCTION("""COMPUTED_VALUE"""),43216)</f>
        <v>43216</v>
      </c>
      <c r="F219" t="str">
        <f ca="1">IFERROR(__xludf.DUMMYFUNCTION("""COMPUTED_VALUE"""),"KP0925SG")</f>
        <v>KP0925SG</v>
      </c>
      <c r="G219" s="11">
        <f ca="1">IFERROR(__xludf.DUMMYFUNCTION("""COMPUTED_VALUE"""),30000000)</f>
        <v>30000000</v>
      </c>
      <c r="H219">
        <f ca="1">IFERROR(__xludf.DUMMYFUNCTION("""COMPUTED_VALUE"""),36105)</f>
        <v>36105</v>
      </c>
      <c r="I219">
        <f ca="1">IFERROR(__xludf.DUMMYFUNCTION("""COMPUTED_VALUE"""),2)</f>
        <v>2</v>
      </c>
      <c r="J219" t="str">
        <f ca="1">IFERROR(__xludf.DUMMYFUNCTION("""COMPUTED_VALUE"""),"N/A")</f>
        <v>N/A</v>
      </c>
      <c r="K219" t="str">
        <f ca="1">IFERROR(__xludf.DUMMYFUNCTION("""COMPUTED_VALUE"""),"JENT")</f>
        <v>JENT</v>
      </c>
      <c r="L219" t="str">
        <f ca="1">IFERROR(__xludf.DUMMYFUNCTION("""COMPUTED_VALUE"""),"Y")</f>
        <v>Y</v>
      </c>
      <c r="M219" t="str">
        <f ca="1">IFERROR(__xludf.DUMMYFUNCTION("""COMPUTED_VALUE"""),"Cu-160")</f>
        <v>Cu-160</v>
      </c>
    </row>
    <row r="220" spans="1:13" ht="12.5" x14ac:dyDescent="0.25">
      <c r="A220" t="str">
        <f ca="1">IFERROR(__xludf.DUMMYFUNCTION("""COMPUTED_VALUE"""),"Joachim")</f>
        <v>Joachim</v>
      </c>
      <c r="B220" t="str">
        <f ca="1">IFERROR(__xludf.DUMMYFUNCTION("""COMPUTED_VALUE"""),"Sri")</f>
        <v>Sri</v>
      </c>
      <c r="C220" t="str">
        <f ca="1">IFERROR(__xludf.DUMMYFUNCTION("""COMPUTED_VALUE"""),"Sri@gmailx.com")</f>
        <v>Sri@gmailx.com</v>
      </c>
      <c r="D220" t="str">
        <f ca="1">IFERROR(__xludf.DUMMYFUNCTION("""COMPUTED_VALUE"""),"Blitar")</f>
        <v>Blitar</v>
      </c>
      <c r="E220" s="12">
        <f ca="1">IFERROR(__xludf.DUMMYFUNCTION("""COMPUTED_VALUE"""),43216)</f>
        <v>43216</v>
      </c>
      <c r="F220" t="str">
        <f ca="1">IFERROR(__xludf.DUMMYFUNCTION("""COMPUTED_VALUE"""),"KP0625AF")</f>
        <v>KP0625AF</v>
      </c>
      <c r="G220" s="11">
        <f ca="1">IFERROR(__xludf.DUMMYFUNCTION("""COMPUTED_VALUE"""),108000000)</f>
        <v>108000000</v>
      </c>
      <c r="H220">
        <f ca="1">IFERROR(__xludf.DUMMYFUNCTION("""COMPUTED_VALUE"""),36501)</f>
        <v>36501</v>
      </c>
      <c r="I220">
        <f ca="1">IFERROR(__xludf.DUMMYFUNCTION("""COMPUTED_VALUE"""),9)</f>
        <v>9</v>
      </c>
      <c r="J220" t="str">
        <f ca="1">IFERROR(__xludf.DUMMYFUNCTION("""COMPUTED_VALUE"""),"N/A")</f>
        <v>N/A</v>
      </c>
      <c r="K220" t="str">
        <f ca="1">IFERROR(__xludf.DUMMYFUNCTION("""COMPUTED_VALUE"""),"JENT")</f>
        <v>JENT</v>
      </c>
      <c r="L220" t="str">
        <f ca="1">IFERROR(__xludf.DUMMYFUNCTION("""COMPUTED_VALUE"""),"Y")</f>
        <v>Y</v>
      </c>
      <c r="M220" t="str">
        <f ca="1">IFERROR(__xludf.DUMMYFUNCTION("""COMPUTED_VALUE"""),"Xv-123")</f>
        <v>Xv-123</v>
      </c>
    </row>
    <row r="221" spans="1:13" ht="12.5" x14ac:dyDescent="0.25">
      <c r="A221" t="str">
        <f ca="1">IFERROR(__xludf.DUMMYFUNCTION("""COMPUTED_VALUE"""),"Muddai")</f>
        <v>Muddai</v>
      </c>
      <c r="B221" t="str">
        <f ca="1">IFERROR(__xludf.DUMMYFUNCTION("""COMPUTED_VALUE"""),"Anwar")</f>
        <v>Anwar</v>
      </c>
      <c r="C221" t="str">
        <f ca="1">IFERROR(__xludf.DUMMYFUNCTION("""COMPUTED_VALUE"""),"Anwar@ymailx.com")</f>
        <v>Anwar@ymailx.com</v>
      </c>
      <c r="D221" t="str">
        <f ca="1">IFERROR(__xludf.DUMMYFUNCTION("""COMPUTED_VALUE"""),"Tangerang Selatan")</f>
        <v>Tangerang Selatan</v>
      </c>
      <c r="E221" s="12">
        <f ca="1">IFERROR(__xludf.DUMMYFUNCTION("""COMPUTED_VALUE"""),43215)</f>
        <v>43215</v>
      </c>
      <c r="F221" t="str">
        <f ca="1">IFERROR(__xludf.DUMMYFUNCTION("""COMPUTED_VALUE"""),"KP0925SG")</f>
        <v>KP0925SG</v>
      </c>
      <c r="G221" s="11">
        <f ca="1">IFERROR(__xludf.DUMMYFUNCTION("""COMPUTED_VALUE"""),120000000)</f>
        <v>120000000</v>
      </c>
      <c r="H221">
        <f ca="1">IFERROR(__xludf.DUMMYFUNCTION("""COMPUTED_VALUE"""),35451)</f>
        <v>35451</v>
      </c>
      <c r="I221">
        <f ca="1">IFERROR(__xludf.DUMMYFUNCTION("""COMPUTED_VALUE"""),8)</f>
        <v>8</v>
      </c>
      <c r="J221" t="str">
        <f ca="1">IFERROR(__xludf.DUMMYFUNCTION("""COMPUTED_VALUE"""),"N/A")</f>
        <v>N/A</v>
      </c>
      <c r="K221" t="str">
        <f ca="1">IFERROR(__xludf.DUMMYFUNCTION("""COMPUTED_VALUE"""),"Pru Logistic")</f>
        <v>Pru Logistic</v>
      </c>
      <c r="L221" t="str">
        <f ca="1">IFERROR(__xludf.DUMMYFUNCTION("""COMPUTED_VALUE"""),"Y")</f>
        <v>Y</v>
      </c>
      <c r="M221" t="str">
        <f ca="1">IFERROR(__xludf.DUMMYFUNCTION("""COMPUTED_VALUE"""),"Bb-500")</f>
        <v>Bb-500</v>
      </c>
    </row>
    <row r="222" spans="1:13" ht="12.5" x14ac:dyDescent="0.25">
      <c r="A222" t="str">
        <f ca="1">IFERROR(__xludf.DUMMYFUNCTION("""COMPUTED_VALUE"""),"Henky")</f>
        <v>Henky</v>
      </c>
      <c r="B222" t="str">
        <f ca="1">IFERROR(__xludf.DUMMYFUNCTION("""COMPUTED_VALUE"""),"Energy")</f>
        <v>Energy</v>
      </c>
      <c r="C222" t="str">
        <f ca="1">IFERROR(__xludf.DUMMYFUNCTION("""COMPUTED_VALUE"""),"ENERGY@ymailx.com")</f>
        <v>ENERGY@ymailx.com</v>
      </c>
      <c r="D222" t="str">
        <f ca="1">IFERROR(__xludf.DUMMYFUNCTION("""COMPUTED_VALUE"""),"Tomohon")</f>
        <v>Tomohon</v>
      </c>
      <c r="E222" s="12">
        <f ca="1">IFERROR(__xludf.DUMMYFUNCTION("""COMPUTED_VALUE"""),43215)</f>
        <v>43215</v>
      </c>
      <c r="F222" t="str">
        <f ca="1">IFERROR(__xludf.DUMMYFUNCTION("""COMPUTED_VALUE"""),"KP0625AF")</f>
        <v>KP0625AF</v>
      </c>
      <c r="G222" s="11">
        <f ca="1">IFERROR(__xludf.DUMMYFUNCTION("""COMPUTED_VALUE"""),60000000)</f>
        <v>60000000</v>
      </c>
      <c r="H222">
        <f ca="1">IFERROR(__xludf.DUMMYFUNCTION("""COMPUTED_VALUE"""),35212)</f>
        <v>35212</v>
      </c>
      <c r="I222">
        <f ca="1">IFERROR(__xludf.DUMMYFUNCTION("""COMPUTED_VALUE"""),5)</f>
        <v>5</v>
      </c>
      <c r="J222" t="str">
        <f ca="1">IFERROR(__xludf.DUMMYFUNCTION("""COMPUTED_VALUE"""),"N/A")</f>
        <v>N/A</v>
      </c>
      <c r="K222" t="str">
        <f ca="1">IFERROR(__xludf.DUMMYFUNCTION("""COMPUTED_VALUE"""),"JENT")</f>
        <v>JENT</v>
      </c>
      <c r="L222" t="str">
        <f ca="1">IFERROR(__xludf.DUMMYFUNCTION("""COMPUTED_VALUE"""),"Y")</f>
        <v>Y</v>
      </c>
      <c r="M222" t="str">
        <f ca="1">IFERROR(__xludf.DUMMYFUNCTION("""COMPUTED_VALUE"""),"Nx-221")</f>
        <v>Nx-221</v>
      </c>
    </row>
    <row r="223" spans="1:13" ht="12.5" x14ac:dyDescent="0.25">
      <c r="A223" t="str">
        <f ca="1">IFERROR(__xludf.DUMMYFUNCTION("""COMPUTED_VALUE"""),"Roos")</f>
        <v>Roos</v>
      </c>
      <c r="B223" t="str">
        <f ca="1">IFERROR(__xludf.DUMMYFUNCTION("""COMPUTED_VALUE"""),"Oil")</f>
        <v>Oil</v>
      </c>
      <c r="C223" t="str">
        <f ca="1">IFERROR(__xludf.DUMMYFUNCTION("""COMPUTED_VALUE"""),"Roos@ymailx.com")</f>
        <v>Roos@ymailx.com</v>
      </c>
      <c r="D223" t="str">
        <f ca="1">IFERROR(__xludf.DUMMYFUNCTION("""COMPUTED_VALUE"""),"Meulaboh")</f>
        <v>Meulaboh</v>
      </c>
      <c r="E223" s="12">
        <f ca="1">IFERROR(__xludf.DUMMYFUNCTION("""COMPUTED_VALUE"""),43215)</f>
        <v>43215</v>
      </c>
      <c r="F223" t="str">
        <f ca="1">IFERROR(__xludf.DUMMYFUNCTION("""COMPUTED_VALUE"""),"KP0150BH")</f>
        <v>KP0150BH</v>
      </c>
      <c r="G223" s="11">
        <f ca="1">IFERROR(__xludf.DUMMYFUNCTION("""COMPUTED_VALUE"""),243000000)</f>
        <v>243000000</v>
      </c>
      <c r="H223">
        <f ca="1">IFERROR(__xludf.DUMMYFUNCTION("""COMPUTED_VALUE"""),36032)</f>
        <v>36032</v>
      </c>
      <c r="I223">
        <f ca="1">IFERROR(__xludf.DUMMYFUNCTION("""COMPUTED_VALUE"""),9)</f>
        <v>9</v>
      </c>
      <c r="J223" t="str">
        <f ca="1">IFERROR(__xludf.DUMMYFUNCTION("""COMPUTED_VALUE"""),"N/A")</f>
        <v>N/A</v>
      </c>
      <c r="K223" t="str">
        <f ca="1">IFERROR(__xludf.DUMMYFUNCTION("""COMPUTED_VALUE"""),"Cepat Kirim")</f>
        <v>Cepat Kirim</v>
      </c>
      <c r="L223" t="str">
        <f ca="1">IFERROR(__xludf.DUMMYFUNCTION("""COMPUTED_VALUE"""),"N")</f>
        <v>N</v>
      </c>
      <c r="M223" t="str">
        <f ca="1">IFERROR(__xludf.DUMMYFUNCTION("""COMPUTED_VALUE"""),"Lv-101")</f>
        <v>Lv-101</v>
      </c>
    </row>
    <row r="224" spans="1:13" ht="12.5" x14ac:dyDescent="0.25">
      <c r="A224" t="str">
        <f ca="1">IFERROR(__xludf.DUMMYFUNCTION("""COMPUTED_VALUE"""),"Hardi")</f>
        <v>Hardi</v>
      </c>
      <c r="B224" t="str">
        <f ca="1">IFERROR(__xludf.DUMMYFUNCTION("""COMPUTED_VALUE"""),"Leban")</f>
        <v>Leban</v>
      </c>
      <c r="C224" t="str">
        <f ca="1">IFERROR(__xludf.DUMMYFUNCTION("""COMPUTED_VALUE"""),"HARDI@gmailx.com")</f>
        <v>HARDI@gmailx.com</v>
      </c>
      <c r="D224" t="str">
        <f ca="1">IFERROR(__xludf.DUMMYFUNCTION("""COMPUTED_VALUE"""),"Bengkulu")</f>
        <v>Bengkulu</v>
      </c>
      <c r="E224" s="12">
        <f ca="1">IFERROR(__xludf.DUMMYFUNCTION("""COMPUTED_VALUE"""),43215)</f>
        <v>43215</v>
      </c>
      <c r="F224" t="str">
        <f ca="1">IFERROR(__xludf.DUMMYFUNCTION("""COMPUTED_VALUE"""),"KP0925SG")</f>
        <v>KP0925SG</v>
      </c>
      <c r="G224" s="11">
        <f ca="1">IFERROR(__xludf.DUMMYFUNCTION("""COMPUTED_VALUE"""),60000000)</f>
        <v>60000000</v>
      </c>
      <c r="H224">
        <f ca="1">IFERROR(__xludf.DUMMYFUNCTION("""COMPUTED_VALUE"""),36864)</f>
        <v>36864</v>
      </c>
      <c r="I224">
        <f ca="1">IFERROR(__xludf.DUMMYFUNCTION("""COMPUTED_VALUE"""),4)</f>
        <v>4</v>
      </c>
      <c r="J224">
        <f ca="1">IFERROR(__xludf.DUMMYFUNCTION("""COMPUTED_VALUE"""),4)</f>
        <v>4</v>
      </c>
      <c r="K224" t="str">
        <f ca="1">IFERROR(__xludf.DUMMYFUNCTION("""COMPUTED_VALUE"""),"Cepat Kirim")</f>
        <v>Cepat Kirim</v>
      </c>
      <c r="L224" t="str">
        <f ca="1">IFERROR(__xludf.DUMMYFUNCTION("""COMPUTED_VALUE"""),"Y")</f>
        <v>Y</v>
      </c>
      <c r="M224" t="str">
        <f ca="1">IFERROR(__xludf.DUMMYFUNCTION("""COMPUTED_VALUE"""),"Pv-300")</f>
        <v>Pv-300</v>
      </c>
    </row>
    <row r="225" spans="1:13" ht="12.5" x14ac:dyDescent="0.25">
      <c r="A225" t="str">
        <f ca="1">IFERROR(__xludf.DUMMYFUNCTION("""COMPUTED_VALUE"""),"Septiana")</f>
        <v>Septiana</v>
      </c>
      <c r="B225" t="str">
        <f ca="1">IFERROR(__xludf.DUMMYFUNCTION("""COMPUTED_VALUE"""),"Soetoyo")</f>
        <v>Soetoyo</v>
      </c>
      <c r="C225" t="str">
        <f ca="1">IFERROR(__xludf.DUMMYFUNCTION("""COMPUTED_VALUE"""),"Septiana@gmailx.com")</f>
        <v>Septiana@gmailx.com</v>
      </c>
      <c r="D225" t="str">
        <f ca="1">IFERROR(__xludf.DUMMYFUNCTION("""COMPUTED_VALUE"""),"Pekanbaru")</f>
        <v>Pekanbaru</v>
      </c>
      <c r="E225" s="12">
        <f ca="1">IFERROR(__xludf.DUMMYFUNCTION("""COMPUTED_VALUE"""),43215)</f>
        <v>43215</v>
      </c>
      <c r="F225" t="str">
        <f ca="1">IFERROR(__xludf.DUMMYFUNCTION("""COMPUTED_VALUE"""),"KP0925SG")</f>
        <v>KP0925SG</v>
      </c>
      <c r="G225" s="11">
        <f ca="1">IFERROR(__xludf.DUMMYFUNCTION("""COMPUTED_VALUE"""),75000000)</f>
        <v>75000000</v>
      </c>
      <c r="H225">
        <f ca="1">IFERROR(__xludf.DUMMYFUNCTION("""COMPUTED_VALUE"""),36945)</f>
        <v>36945</v>
      </c>
      <c r="I225">
        <f ca="1">IFERROR(__xludf.DUMMYFUNCTION("""COMPUTED_VALUE"""),5)</f>
        <v>5</v>
      </c>
      <c r="J225">
        <f ca="1">IFERROR(__xludf.DUMMYFUNCTION("""COMPUTED_VALUE"""),1)</f>
        <v>1</v>
      </c>
      <c r="K225" t="str">
        <f ca="1">IFERROR(__xludf.DUMMYFUNCTION("""COMPUTED_VALUE"""),"JENT")</f>
        <v>JENT</v>
      </c>
      <c r="L225" t="str">
        <f ca="1">IFERROR(__xludf.DUMMYFUNCTION("""COMPUTED_VALUE"""),"N")</f>
        <v>N</v>
      </c>
      <c r="M225" t="str">
        <f ca="1">IFERROR(__xludf.DUMMYFUNCTION("""COMPUTED_VALUE"""),"Yn-222")</f>
        <v>Yn-222</v>
      </c>
    </row>
    <row r="226" spans="1:13" ht="12.5" x14ac:dyDescent="0.25">
      <c r="A226" t="str">
        <f ca="1">IFERROR(__xludf.DUMMYFUNCTION("""COMPUTED_VALUE"""),"Jimmy")</f>
        <v>Jimmy</v>
      </c>
      <c r="B226" t="str">
        <f ca="1">IFERROR(__xludf.DUMMYFUNCTION("""COMPUTED_VALUE"""),"Sutiono")</f>
        <v>Sutiono</v>
      </c>
      <c r="C226" t="str">
        <f ca="1">IFERROR(__xludf.DUMMYFUNCTION("""COMPUTED_VALUE"""),"Jimmy@ymailx.com")</f>
        <v>Jimmy@ymailx.com</v>
      </c>
      <c r="D226" t="str">
        <f ca="1">IFERROR(__xludf.DUMMYFUNCTION("""COMPUTED_VALUE"""),"Lubuklinggau")</f>
        <v>Lubuklinggau</v>
      </c>
      <c r="E226" s="12">
        <f ca="1">IFERROR(__xludf.DUMMYFUNCTION("""COMPUTED_VALUE"""),43215)</f>
        <v>43215</v>
      </c>
      <c r="F226" t="str">
        <f ca="1">IFERROR(__xludf.DUMMYFUNCTION("""COMPUTED_VALUE"""),"KP0625AF")</f>
        <v>KP0625AF</v>
      </c>
      <c r="G226" s="11">
        <f ca="1">IFERROR(__xludf.DUMMYFUNCTION("""COMPUTED_VALUE"""),108000000)</f>
        <v>108000000</v>
      </c>
      <c r="H226">
        <f ca="1">IFERROR(__xludf.DUMMYFUNCTION("""COMPUTED_VALUE"""),35778)</f>
        <v>35778</v>
      </c>
      <c r="I226">
        <f ca="1">IFERROR(__xludf.DUMMYFUNCTION("""COMPUTED_VALUE"""),9)</f>
        <v>9</v>
      </c>
      <c r="J226" t="str">
        <f ca="1">IFERROR(__xludf.DUMMYFUNCTION("""COMPUTED_VALUE"""),"N/A")</f>
        <v>N/A</v>
      </c>
      <c r="K226" t="str">
        <f ca="1">IFERROR(__xludf.DUMMYFUNCTION("""COMPUTED_VALUE"""),"Pru Logistic")</f>
        <v>Pru Logistic</v>
      </c>
      <c r="L226" t="str">
        <f ca="1">IFERROR(__xludf.DUMMYFUNCTION("""COMPUTED_VALUE"""),"Y")</f>
        <v>Y</v>
      </c>
      <c r="M226" t="str">
        <f ca="1">IFERROR(__xludf.DUMMYFUNCTION("""COMPUTED_VALUE"""),"Uf-661")</f>
        <v>Uf-661</v>
      </c>
    </row>
    <row r="227" spans="1:13" ht="12.5" x14ac:dyDescent="0.25">
      <c r="A227" t="str">
        <f ca="1">IFERROR(__xludf.DUMMYFUNCTION("""COMPUTED_VALUE"""),"Ivy")</f>
        <v>Ivy</v>
      </c>
      <c r="B227" t="str">
        <f ca="1">IFERROR(__xludf.DUMMYFUNCTION("""COMPUTED_VALUE"""),"Ngaw")</f>
        <v>Ngaw</v>
      </c>
      <c r="C227" t="str">
        <f ca="1">IFERROR(__xludf.DUMMYFUNCTION("""COMPUTED_VALUE"""),"IVY@gmailx.com")</f>
        <v>IVY@gmailx.com</v>
      </c>
      <c r="D227" t="str">
        <f ca="1">IFERROR(__xludf.DUMMYFUNCTION("""COMPUTED_VALUE"""),"Ambon")</f>
        <v>Ambon</v>
      </c>
      <c r="E227" s="12">
        <f ca="1">IFERROR(__xludf.DUMMYFUNCTION("""COMPUTED_VALUE"""),43214)</f>
        <v>43214</v>
      </c>
      <c r="F227" t="str">
        <f ca="1">IFERROR(__xludf.DUMMYFUNCTION("""COMPUTED_VALUE"""),"KP0750AJ")</f>
        <v>KP0750AJ</v>
      </c>
      <c r="G227" s="11">
        <f ca="1">IFERROR(__xludf.DUMMYFUNCTION("""COMPUTED_VALUE"""),72000000)</f>
        <v>72000000</v>
      </c>
      <c r="H227">
        <f ca="1">IFERROR(__xludf.DUMMYFUNCTION("""COMPUTED_VALUE"""),36586)</f>
        <v>36586</v>
      </c>
      <c r="I227">
        <f ca="1">IFERROR(__xludf.DUMMYFUNCTION("""COMPUTED_VALUE"""),4)</f>
        <v>4</v>
      </c>
      <c r="J227" t="str">
        <f ca="1">IFERROR(__xludf.DUMMYFUNCTION("""COMPUTED_VALUE"""),"N/A")</f>
        <v>N/A</v>
      </c>
      <c r="K227" t="str">
        <f ca="1">IFERROR(__xludf.DUMMYFUNCTION("""COMPUTED_VALUE"""),"Wakanda Express")</f>
        <v>Wakanda Express</v>
      </c>
      <c r="L227" t="str">
        <f ca="1">IFERROR(__xludf.DUMMYFUNCTION("""COMPUTED_VALUE"""),"Y")</f>
        <v>Y</v>
      </c>
      <c r="M227" t="str">
        <f ca="1">IFERROR(__xludf.DUMMYFUNCTION("""COMPUTED_VALUE"""),"Qn-171")</f>
        <v>Qn-171</v>
      </c>
    </row>
    <row r="228" spans="1:13" ht="12.5" x14ac:dyDescent="0.25">
      <c r="A228" t="str">
        <f ca="1">IFERROR(__xludf.DUMMYFUNCTION("""COMPUTED_VALUE"""),"Bayu")</f>
        <v>Bayu</v>
      </c>
      <c r="B228" t="str">
        <f ca="1">IFERROR(__xludf.DUMMYFUNCTION("""COMPUTED_VALUE"""),"Harapan")</f>
        <v>Harapan</v>
      </c>
      <c r="C228" t="str">
        <f ca="1">IFERROR(__xludf.DUMMYFUNCTION("""COMPUTED_VALUE"""),"Harapan@outlookx.com")</f>
        <v>Harapan@outlookx.com</v>
      </c>
      <c r="D228" t="str">
        <f ca="1">IFERROR(__xludf.DUMMYFUNCTION("""COMPUTED_VALUE"""),"Bandung")</f>
        <v>Bandung</v>
      </c>
      <c r="E228" s="12">
        <f ca="1">IFERROR(__xludf.DUMMYFUNCTION("""COMPUTED_VALUE"""),43214)</f>
        <v>43214</v>
      </c>
      <c r="F228" t="str">
        <f ca="1">IFERROR(__xludf.DUMMYFUNCTION("""COMPUTED_VALUE"""),"KP0625AF")</f>
        <v>KP0625AF</v>
      </c>
      <c r="G228" s="11">
        <f ca="1">IFERROR(__xludf.DUMMYFUNCTION("""COMPUTED_VALUE"""),48000000)</f>
        <v>48000000</v>
      </c>
      <c r="H228">
        <f ca="1">IFERROR(__xludf.DUMMYFUNCTION("""COMPUTED_VALUE"""),36772)</f>
        <v>36772</v>
      </c>
      <c r="I228">
        <f ca="1">IFERROR(__xludf.DUMMYFUNCTION("""COMPUTED_VALUE"""),4)</f>
        <v>4</v>
      </c>
      <c r="J228">
        <f ca="1">IFERROR(__xludf.DUMMYFUNCTION("""COMPUTED_VALUE"""),4)</f>
        <v>4</v>
      </c>
      <c r="K228" t="str">
        <f ca="1">IFERROR(__xludf.DUMMYFUNCTION("""COMPUTED_VALUE"""),"JENT")</f>
        <v>JENT</v>
      </c>
      <c r="L228" t="str">
        <f ca="1">IFERROR(__xludf.DUMMYFUNCTION("""COMPUTED_VALUE"""),"Y")</f>
        <v>Y</v>
      </c>
      <c r="M228" t="str">
        <f ca="1">IFERROR(__xludf.DUMMYFUNCTION("""COMPUTED_VALUE"""),"Pk-409")</f>
        <v>Pk-409</v>
      </c>
    </row>
    <row r="229" spans="1:13" ht="12.5" x14ac:dyDescent="0.25">
      <c r="A229" t="str">
        <f ca="1">IFERROR(__xludf.DUMMYFUNCTION("""COMPUTED_VALUE"""),"Lee")</f>
        <v>Lee</v>
      </c>
      <c r="B229" t="str">
        <f ca="1">IFERROR(__xludf.DUMMYFUNCTION("""COMPUTED_VALUE"""),"Su")</f>
        <v>Su</v>
      </c>
      <c r="C229" t="str">
        <f ca="1">IFERROR(__xludf.DUMMYFUNCTION("""COMPUTED_VALUE"""),"Lee@gmailx.com")</f>
        <v>Lee@gmailx.com</v>
      </c>
      <c r="D229" t="str">
        <f ca="1">IFERROR(__xludf.DUMMYFUNCTION("""COMPUTED_VALUE"""),"Pariaman")</f>
        <v>Pariaman</v>
      </c>
      <c r="E229" s="12">
        <f ca="1">IFERROR(__xludf.DUMMYFUNCTION("""COMPUTED_VALUE"""),43214)</f>
        <v>43214</v>
      </c>
      <c r="F229" t="str">
        <f ca="1">IFERROR(__xludf.DUMMYFUNCTION("""COMPUTED_VALUE"""),"KP0350CF")</f>
        <v>KP0350CF</v>
      </c>
      <c r="G229" s="11">
        <f ca="1">IFERROR(__xludf.DUMMYFUNCTION("""COMPUTED_VALUE"""),175000000)</f>
        <v>175000000</v>
      </c>
      <c r="H229">
        <f ca="1">IFERROR(__xludf.DUMMYFUNCTION("""COMPUTED_VALUE"""),35759)</f>
        <v>35759</v>
      </c>
      <c r="I229">
        <f ca="1">IFERROR(__xludf.DUMMYFUNCTION("""COMPUTED_VALUE"""),5)</f>
        <v>5</v>
      </c>
      <c r="J229">
        <f ca="1">IFERROR(__xludf.DUMMYFUNCTION("""COMPUTED_VALUE"""),3)</f>
        <v>3</v>
      </c>
      <c r="K229" t="str">
        <f ca="1">IFERROR(__xludf.DUMMYFUNCTION("""COMPUTED_VALUE"""),"JENT")</f>
        <v>JENT</v>
      </c>
      <c r="L229" t="str">
        <f ca="1">IFERROR(__xludf.DUMMYFUNCTION("""COMPUTED_VALUE"""),"Y")</f>
        <v>Y</v>
      </c>
      <c r="M229" t="str">
        <f ca="1">IFERROR(__xludf.DUMMYFUNCTION("""COMPUTED_VALUE"""),"Fq-559")</f>
        <v>Fq-559</v>
      </c>
    </row>
    <row r="230" spans="1:13" ht="12.5" x14ac:dyDescent="0.25">
      <c r="A230" t="str">
        <f ca="1">IFERROR(__xludf.DUMMYFUNCTION("""COMPUTED_VALUE"""),"Eva")</f>
        <v>Eva</v>
      </c>
      <c r="B230" t="str">
        <f ca="1">IFERROR(__xludf.DUMMYFUNCTION("""COMPUTED_VALUE"""),"Nurlaila")</f>
        <v>Nurlaila</v>
      </c>
      <c r="C230" t="str">
        <f ca="1">IFERROR(__xludf.DUMMYFUNCTION("""COMPUTED_VALUE"""),"Nurlaila@gmailx.com")</f>
        <v>Nurlaila@gmailx.com</v>
      </c>
      <c r="D230" t="str">
        <f ca="1">IFERROR(__xludf.DUMMYFUNCTION("""COMPUTED_VALUE"""),"Tanjungpinang")</f>
        <v>Tanjungpinang</v>
      </c>
      <c r="E230" s="12">
        <f ca="1">IFERROR(__xludf.DUMMYFUNCTION("""COMPUTED_VALUE"""),43212)</f>
        <v>43212</v>
      </c>
      <c r="F230" t="str">
        <f ca="1">IFERROR(__xludf.DUMMYFUNCTION("""COMPUTED_VALUE"""),"KP0925SG")</f>
        <v>KP0925SG</v>
      </c>
      <c r="G230" s="11">
        <f ca="1">IFERROR(__xludf.DUMMYFUNCTION("""COMPUTED_VALUE"""),135000000)</f>
        <v>135000000</v>
      </c>
      <c r="H230">
        <f ca="1">IFERROR(__xludf.DUMMYFUNCTION("""COMPUTED_VALUE"""),36872)</f>
        <v>36872</v>
      </c>
      <c r="I230">
        <f ca="1">IFERROR(__xludf.DUMMYFUNCTION("""COMPUTED_VALUE"""),9)</f>
        <v>9</v>
      </c>
      <c r="J230" t="str">
        <f ca="1">IFERROR(__xludf.DUMMYFUNCTION("""COMPUTED_VALUE"""),"N/A")</f>
        <v>N/A</v>
      </c>
      <c r="K230" t="str">
        <f ca="1">IFERROR(__xludf.DUMMYFUNCTION("""COMPUTED_VALUE"""),"Cepat Kirim")</f>
        <v>Cepat Kirim</v>
      </c>
      <c r="L230" t="str">
        <f ca="1">IFERROR(__xludf.DUMMYFUNCTION("""COMPUTED_VALUE"""),"Y")</f>
        <v>Y</v>
      </c>
      <c r="M230" t="str">
        <f ca="1">IFERROR(__xludf.DUMMYFUNCTION("""COMPUTED_VALUE"""),"Ff-809")</f>
        <v>Ff-809</v>
      </c>
    </row>
    <row r="231" spans="1:13" ht="12.5" x14ac:dyDescent="0.25">
      <c r="A231" t="str">
        <f ca="1">IFERROR(__xludf.DUMMYFUNCTION("""COMPUTED_VALUE"""),"Agung")</f>
        <v>Agung</v>
      </c>
      <c r="B231" t="str">
        <f ca="1">IFERROR(__xludf.DUMMYFUNCTION("""COMPUTED_VALUE"""),"Hakim")</f>
        <v>Hakim</v>
      </c>
      <c r="C231" t="str">
        <f ca="1">IFERROR(__xludf.DUMMYFUNCTION("""COMPUTED_VALUE"""),"Hakim@ymailx.com")</f>
        <v>Hakim@ymailx.com</v>
      </c>
      <c r="D231" t="str">
        <f ca="1">IFERROR(__xludf.DUMMYFUNCTION("""COMPUTED_VALUE"""),"Bukittinggi")</f>
        <v>Bukittinggi</v>
      </c>
      <c r="E231" s="12">
        <f ca="1">IFERROR(__xludf.DUMMYFUNCTION("""COMPUTED_VALUE"""),43211)</f>
        <v>43211</v>
      </c>
      <c r="F231" t="str">
        <f ca="1">IFERROR(__xludf.DUMMYFUNCTION("""COMPUTED_VALUE"""),"KP0625AF")</f>
        <v>KP0625AF</v>
      </c>
      <c r="G231" s="11">
        <f ca="1">IFERROR(__xludf.DUMMYFUNCTION("""COMPUTED_VALUE"""),36000000)</f>
        <v>36000000</v>
      </c>
      <c r="H231">
        <f ca="1">IFERROR(__xludf.DUMMYFUNCTION("""COMPUTED_VALUE"""),35657)</f>
        <v>35657</v>
      </c>
      <c r="I231">
        <f ca="1">IFERROR(__xludf.DUMMYFUNCTION("""COMPUTED_VALUE"""),3)</f>
        <v>3</v>
      </c>
      <c r="J231" t="str">
        <f ca="1">IFERROR(__xludf.DUMMYFUNCTION("""COMPUTED_VALUE"""),"N/A")</f>
        <v>N/A</v>
      </c>
      <c r="K231" t="str">
        <f ca="1">IFERROR(__xludf.DUMMYFUNCTION("""COMPUTED_VALUE"""),"Swift Delivery")</f>
        <v>Swift Delivery</v>
      </c>
      <c r="L231" t="str">
        <f ca="1">IFERROR(__xludf.DUMMYFUNCTION("""COMPUTED_VALUE"""),"Y")</f>
        <v>Y</v>
      </c>
      <c r="M231" t="str">
        <f ca="1">IFERROR(__xludf.DUMMYFUNCTION("""COMPUTED_VALUE"""),"Be-559")</f>
        <v>Be-559</v>
      </c>
    </row>
    <row r="232" spans="1:13" ht="12.5" x14ac:dyDescent="0.25">
      <c r="A232" t="str">
        <f ca="1">IFERROR(__xludf.DUMMYFUNCTION("""COMPUTED_VALUE"""),"Sammy")</f>
        <v>Sammy</v>
      </c>
      <c r="B232" t="str">
        <f ca="1">IFERROR(__xludf.DUMMYFUNCTION("""COMPUTED_VALUE"""),"J.B")</f>
        <v>J.B</v>
      </c>
      <c r="C232" t="str">
        <f ca="1">IFERROR(__xludf.DUMMYFUNCTION("""COMPUTED_VALUE"""),"Sammy@icloudx.com")</f>
        <v>Sammy@icloudx.com</v>
      </c>
      <c r="D232" t="str">
        <f ca="1">IFERROR(__xludf.DUMMYFUNCTION("""COMPUTED_VALUE"""),"Bitung")</f>
        <v>Bitung</v>
      </c>
      <c r="E232" s="12">
        <f ca="1">IFERROR(__xludf.DUMMYFUNCTION("""COMPUTED_VALUE"""),43210)</f>
        <v>43210</v>
      </c>
      <c r="F232" t="str">
        <f ca="1">IFERROR(__xludf.DUMMYFUNCTION("""COMPUTED_VALUE"""),"KP0150BH")</f>
        <v>KP0150BH</v>
      </c>
      <c r="G232" s="11">
        <f ca="1">IFERROR(__xludf.DUMMYFUNCTION("""COMPUTED_VALUE"""),54000000)</f>
        <v>54000000</v>
      </c>
      <c r="H232">
        <f ca="1">IFERROR(__xludf.DUMMYFUNCTION("""COMPUTED_VALUE"""),35267)</f>
        <v>35267</v>
      </c>
      <c r="I232">
        <f ca="1">IFERROR(__xludf.DUMMYFUNCTION("""COMPUTED_VALUE"""),2)</f>
        <v>2</v>
      </c>
      <c r="J232">
        <f ca="1">IFERROR(__xludf.DUMMYFUNCTION("""COMPUTED_VALUE"""),4)</f>
        <v>4</v>
      </c>
      <c r="K232" t="str">
        <f ca="1">IFERROR(__xludf.DUMMYFUNCTION("""COMPUTED_VALUE"""),"Swift Delivery")</f>
        <v>Swift Delivery</v>
      </c>
      <c r="L232" t="str">
        <f ca="1">IFERROR(__xludf.DUMMYFUNCTION("""COMPUTED_VALUE"""),"N")</f>
        <v>N</v>
      </c>
      <c r="M232" t="str">
        <f ca="1">IFERROR(__xludf.DUMMYFUNCTION("""COMPUTED_VALUE"""),"Os-221")</f>
        <v>Os-221</v>
      </c>
    </row>
    <row r="233" spans="1:13" ht="12.5" x14ac:dyDescent="0.25">
      <c r="A233" t="str">
        <f ca="1">IFERROR(__xludf.DUMMYFUNCTION("""COMPUTED_VALUE"""),"Hendarta")</f>
        <v>Hendarta</v>
      </c>
      <c r="B233" t="str">
        <f ca="1">IFERROR(__xludf.DUMMYFUNCTION("""COMPUTED_VALUE"""),"Yunasri")</f>
        <v>Yunasri</v>
      </c>
      <c r="C233" t="str">
        <f ca="1">IFERROR(__xludf.DUMMYFUNCTION("""COMPUTED_VALUE"""),"Hendarta@gmailx.com")</f>
        <v>Hendarta@gmailx.com</v>
      </c>
      <c r="D233" t="str">
        <f ca="1">IFERROR(__xludf.DUMMYFUNCTION("""COMPUTED_VALUE"""),"Magelang")</f>
        <v>Magelang</v>
      </c>
      <c r="E233" s="12">
        <f ca="1">IFERROR(__xludf.DUMMYFUNCTION("""COMPUTED_VALUE"""),43208)</f>
        <v>43208</v>
      </c>
      <c r="F233" t="str">
        <f ca="1">IFERROR(__xludf.DUMMYFUNCTION("""COMPUTED_VALUE"""),"KP0750AJ")</f>
        <v>KP0750AJ</v>
      </c>
      <c r="G233" s="11">
        <f ca="1">IFERROR(__xludf.DUMMYFUNCTION("""COMPUTED_VALUE"""),144000000)</f>
        <v>144000000</v>
      </c>
      <c r="H233">
        <f ca="1">IFERROR(__xludf.DUMMYFUNCTION("""COMPUTED_VALUE"""),35877)</f>
        <v>35877</v>
      </c>
      <c r="I233">
        <f ca="1">IFERROR(__xludf.DUMMYFUNCTION("""COMPUTED_VALUE"""),8)</f>
        <v>8</v>
      </c>
      <c r="J233">
        <f ca="1">IFERROR(__xludf.DUMMYFUNCTION("""COMPUTED_VALUE"""),5)</f>
        <v>5</v>
      </c>
      <c r="K233" t="str">
        <f ca="1">IFERROR(__xludf.DUMMYFUNCTION("""COMPUTED_VALUE"""),"Pru Logistic")</f>
        <v>Pru Logistic</v>
      </c>
      <c r="L233" t="str">
        <f ca="1">IFERROR(__xludf.DUMMYFUNCTION("""COMPUTED_VALUE"""),"Y")</f>
        <v>Y</v>
      </c>
      <c r="M233" t="str">
        <f ca="1">IFERROR(__xludf.DUMMYFUNCTION("""COMPUTED_VALUE"""),"Uq-410")</f>
        <v>Uq-410</v>
      </c>
    </row>
    <row r="234" spans="1:13" ht="12.5" x14ac:dyDescent="0.25">
      <c r="A234" t="str">
        <f ca="1">IFERROR(__xludf.DUMMYFUNCTION("""COMPUTED_VALUE"""),"Dr.")</f>
        <v>Dr.</v>
      </c>
      <c r="B234" t="str">
        <f ca="1">IFERROR(__xludf.DUMMYFUNCTION("""COMPUTED_VALUE"""),"Mulyana")</f>
        <v>Mulyana</v>
      </c>
      <c r="C234" t="str">
        <f ca="1">IFERROR(__xludf.DUMMYFUNCTION("""COMPUTED_VALUE"""),"Dr.@livex.com")</f>
        <v>Dr.@livex.com</v>
      </c>
      <c r="D234" t="str">
        <f ca="1">IFERROR(__xludf.DUMMYFUNCTION("""COMPUTED_VALUE"""),"Padang Sidempuan")</f>
        <v>Padang Sidempuan</v>
      </c>
      <c r="E234" s="12">
        <f ca="1">IFERROR(__xludf.DUMMYFUNCTION("""COMPUTED_VALUE"""),43206)</f>
        <v>43206</v>
      </c>
      <c r="F234" t="str">
        <f ca="1">IFERROR(__xludf.DUMMYFUNCTION("""COMPUTED_VALUE"""),"KP0350CF")</f>
        <v>KP0350CF</v>
      </c>
      <c r="G234" s="11">
        <f ca="1">IFERROR(__xludf.DUMMYFUNCTION("""COMPUTED_VALUE"""),105000000)</f>
        <v>105000000</v>
      </c>
      <c r="H234">
        <f ca="1">IFERROR(__xludf.DUMMYFUNCTION("""COMPUTED_VALUE"""),35121)</f>
        <v>35121</v>
      </c>
      <c r="I234">
        <f ca="1">IFERROR(__xludf.DUMMYFUNCTION("""COMPUTED_VALUE"""),3)</f>
        <v>3</v>
      </c>
      <c r="J234">
        <f ca="1">IFERROR(__xludf.DUMMYFUNCTION("""COMPUTED_VALUE"""),5)</f>
        <v>5</v>
      </c>
      <c r="K234" t="str">
        <f ca="1">IFERROR(__xludf.DUMMYFUNCTION("""COMPUTED_VALUE"""),"Pru Logistic")</f>
        <v>Pru Logistic</v>
      </c>
      <c r="L234" t="str">
        <f ca="1">IFERROR(__xludf.DUMMYFUNCTION("""COMPUTED_VALUE"""),"Y")</f>
        <v>Y</v>
      </c>
      <c r="M234" t="str">
        <f ca="1">IFERROR(__xludf.DUMMYFUNCTION("""COMPUTED_VALUE"""),"Ld-662")</f>
        <v>Ld-662</v>
      </c>
    </row>
    <row r="235" spans="1:13" ht="12.5" x14ac:dyDescent="0.25">
      <c r="A235" t="str">
        <f ca="1">IFERROR(__xludf.DUMMYFUNCTION("""COMPUTED_VALUE"""),"Melissa")</f>
        <v>Melissa</v>
      </c>
      <c r="B235" t="str">
        <f ca="1">IFERROR(__xludf.DUMMYFUNCTION("""COMPUTED_VALUE"""),"Nainggolan")</f>
        <v>Nainggolan</v>
      </c>
      <c r="C235" t="str">
        <f ca="1">IFERROR(__xludf.DUMMYFUNCTION("""COMPUTED_VALUE"""),"Nainggolan@rocketmailx.com")</f>
        <v>Nainggolan@rocketmailx.com</v>
      </c>
      <c r="D235" t="str">
        <f ca="1">IFERROR(__xludf.DUMMYFUNCTION("""COMPUTED_VALUE"""),"Metro")</f>
        <v>Metro</v>
      </c>
      <c r="E235" s="12">
        <f ca="1">IFERROR(__xludf.DUMMYFUNCTION("""COMPUTED_VALUE"""),43205)</f>
        <v>43205</v>
      </c>
      <c r="F235" t="str">
        <f ca="1">IFERROR(__xludf.DUMMYFUNCTION("""COMPUTED_VALUE"""),"KP0225BB")</f>
        <v>KP0225BB</v>
      </c>
      <c r="G235" s="11">
        <f ca="1">IFERROR(__xludf.DUMMYFUNCTION("""COMPUTED_VALUE"""),100000000)</f>
        <v>100000000</v>
      </c>
      <c r="H235">
        <f ca="1">IFERROR(__xludf.DUMMYFUNCTION("""COMPUTED_VALUE"""),36319)</f>
        <v>36319</v>
      </c>
      <c r="I235">
        <f ca="1">IFERROR(__xludf.DUMMYFUNCTION("""COMPUTED_VALUE"""),10)</f>
        <v>10</v>
      </c>
      <c r="J235" t="str">
        <f ca="1">IFERROR(__xludf.DUMMYFUNCTION("""COMPUTED_VALUE"""),"N/A")</f>
        <v>N/A</v>
      </c>
      <c r="K235" t="str">
        <f ca="1">IFERROR(__xludf.DUMMYFUNCTION("""COMPUTED_VALUE"""),"JENT")</f>
        <v>JENT</v>
      </c>
      <c r="L235" t="str">
        <f ca="1">IFERROR(__xludf.DUMMYFUNCTION("""COMPUTED_VALUE"""),"Y")</f>
        <v>Y</v>
      </c>
      <c r="M235" t="str">
        <f ca="1">IFERROR(__xludf.DUMMYFUNCTION("""COMPUTED_VALUE"""),"Om-150")</f>
        <v>Om-150</v>
      </c>
    </row>
    <row r="236" spans="1:13" ht="12.5" x14ac:dyDescent="0.25">
      <c r="A236" t="str">
        <f ca="1">IFERROR(__xludf.DUMMYFUNCTION("""COMPUTED_VALUE"""),"Linda")</f>
        <v>Linda</v>
      </c>
      <c r="B236" t="str">
        <f ca="1">IFERROR(__xludf.DUMMYFUNCTION("""COMPUTED_VALUE"""),"Koeswojo")</f>
        <v>Koeswojo</v>
      </c>
      <c r="C236" t="str">
        <f ca="1">IFERROR(__xludf.DUMMYFUNCTION("""COMPUTED_VALUE"""),"Koeswojo@gmailx.com")</f>
        <v>Koeswojo@gmailx.com</v>
      </c>
      <c r="D236" t="str">
        <f ca="1">IFERROR(__xludf.DUMMYFUNCTION("""COMPUTED_VALUE"""),"Serang")</f>
        <v>Serang</v>
      </c>
      <c r="E236" s="12">
        <f ca="1">IFERROR(__xludf.DUMMYFUNCTION("""COMPUTED_VALUE"""),43204)</f>
        <v>43204</v>
      </c>
      <c r="F236" t="str">
        <f ca="1">IFERROR(__xludf.DUMMYFUNCTION("""COMPUTED_VALUE"""),"KP0925SG")</f>
        <v>KP0925SG</v>
      </c>
      <c r="G236" s="11">
        <f ca="1">IFERROR(__xludf.DUMMYFUNCTION("""COMPUTED_VALUE"""),90000000)</f>
        <v>90000000</v>
      </c>
      <c r="H236">
        <f ca="1">IFERROR(__xludf.DUMMYFUNCTION("""COMPUTED_VALUE"""),36402)</f>
        <v>36402</v>
      </c>
      <c r="I236">
        <f ca="1">IFERROR(__xludf.DUMMYFUNCTION("""COMPUTED_VALUE"""),6)</f>
        <v>6</v>
      </c>
      <c r="J236">
        <f ca="1">IFERROR(__xludf.DUMMYFUNCTION("""COMPUTED_VALUE"""),4)</f>
        <v>4</v>
      </c>
      <c r="K236" t="str">
        <f ca="1">IFERROR(__xludf.DUMMYFUNCTION("""COMPUTED_VALUE"""),"Wakanda Express")</f>
        <v>Wakanda Express</v>
      </c>
      <c r="L236" t="str">
        <f ca="1">IFERROR(__xludf.DUMMYFUNCTION("""COMPUTED_VALUE"""),"Y")</f>
        <v>Y</v>
      </c>
      <c r="M236" t="str">
        <f ca="1">IFERROR(__xludf.DUMMYFUNCTION("""COMPUTED_VALUE"""),"Es-500")</f>
        <v>Es-500</v>
      </c>
    </row>
    <row r="237" spans="1:13" ht="12.5" x14ac:dyDescent="0.25">
      <c r="A237" t="str">
        <f ca="1">IFERROR(__xludf.DUMMYFUNCTION("""COMPUTED_VALUE"""),"Achmad")</f>
        <v>Achmad</v>
      </c>
      <c r="B237" t="str">
        <f ca="1">IFERROR(__xludf.DUMMYFUNCTION("""COMPUTED_VALUE"""),"Budiyanto")</f>
        <v>Budiyanto</v>
      </c>
      <c r="C237" t="str">
        <f ca="1">IFERROR(__xludf.DUMMYFUNCTION("""COMPUTED_VALUE"""),"Achmad@ymailx.com")</f>
        <v>Achmad@ymailx.com</v>
      </c>
      <c r="D237" t="str">
        <f ca="1">IFERROR(__xludf.DUMMYFUNCTION("""COMPUTED_VALUE"""),"Madiun")</f>
        <v>Madiun</v>
      </c>
      <c r="E237" s="12">
        <f ca="1">IFERROR(__xludf.DUMMYFUNCTION("""COMPUTED_VALUE"""),43203)</f>
        <v>43203</v>
      </c>
      <c r="F237" t="str">
        <f ca="1">IFERROR(__xludf.DUMMYFUNCTION("""COMPUTED_VALUE"""),"KP0150BH")</f>
        <v>KP0150BH</v>
      </c>
      <c r="G237" s="11">
        <f ca="1">IFERROR(__xludf.DUMMYFUNCTION("""COMPUTED_VALUE"""),243000000)</f>
        <v>243000000</v>
      </c>
      <c r="H237">
        <f ca="1">IFERROR(__xludf.DUMMYFUNCTION("""COMPUTED_VALUE"""),36575)</f>
        <v>36575</v>
      </c>
      <c r="I237">
        <f ca="1">IFERROR(__xludf.DUMMYFUNCTION("""COMPUTED_VALUE"""),9)</f>
        <v>9</v>
      </c>
      <c r="J237">
        <f ca="1">IFERROR(__xludf.DUMMYFUNCTION("""COMPUTED_VALUE"""),2)</f>
        <v>2</v>
      </c>
      <c r="K237" t="str">
        <f ca="1">IFERROR(__xludf.DUMMYFUNCTION("""COMPUTED_VALUE"""),"Swift Delivery")</f>
        <v>Swift Delivery</v>
      </c>
      <c r="L237" t="str">
        <f ca="1">IFERROR(__xludf.DUMMYFUNCTION("""COMPUTED_VALUE"""),"Y")</f>
        <v>Y</v>
      </c>
      <c r="M237" t="str">
        <f ca="1">IFERROR(__xludf.DUMMYFUNCTION("""COMPUTED_VALUE"""),"Fv-123")</f>
        <v>Fv-123</v>
      </c>
    </row>
    <row r="238" spans="1:13" ht="12.5" x14ac:dyDescent="0.25">
      <c r="A238" t="str">
        <f ca="1">IFERROR(__xludf.DUMMYFUNCTION("""COMPUTED_VALUE"""),"Pedro")</f>
        <v>Pedro</v>
      </c>
      <c r="B238" t="str">
        <f ca="1">IFERROR(__xludf.DUMMYFUNCTION("""COMPUTED_VALUE"""),"Patrick")</f>
        <v>Patrick</v>
      </c>
      <c r="C238" t="str">
        <f ca="1">IFERROR(__xludf.DUMMYFUNCTION("""COMPUTED_VALUE"""),"Pedro@livex.com")</f>
        <v>Pedro@livex.com</v>
      </c>
      <c r="D238" t="str">
        <f ca="1">IFERROR(__xludf.DUMMYFUNCTION("""COMPUTED_VALUE"""),"Mataram")</f>
        <v>Mataram</v>
      </c>
      <c r="E238" s="12">
        <f ca="1">IFERROR(__xludf.DUMMYFUNCTION("""COMPUTED_VALUE"""),43203)</f>
        <v>43203</v>
      </c>
      <c r="F238" t="str">
        <f ca="1">IFERROR(__xludf.DUMMYFUNCTION("""COMPUTED_VALUE"""),"KP0925SG")</f>
        <v>KP0925SG</v>
      </c>
      <c r="G238" s="11">
        <f ca="1">IFERROR(__xludf.DUMMYFUNCTION("""COMPUTED_VALUE"""),90000000)</f>
        <v>90000000</v>
      </c>
      <c r="H238">
        <f ca="1">IFERROR(__xludf.DUMMYFUNCTION("""COMPUTED_VALUE"""),36574)</f>
        <v>36574</v>
      </c>
      <c r="I238">
        <f ca="1">IFERROR(__xludf.DUMMYFUNCTION("""COMPUTED_VALUE"""),6)</f>
        <v>6</v>
      </c>
      <c r="J238">
        <f ca="1">IFERROR(__xludf.DUMMYFUNCTION("""COMPUTED_VALUE"""),5)</f>
        <v>5</v>
      </c>
      <c r="K238" t="str">
        <f ca="1">IFERROR(__xludf.DUMMYFUNCTION("""COMPUTED_VALUE"""),"JENT")</f>
        <v>JENT</v>
      </c>
      <c r="L238" t="str">
        <f ca="1">IFERROR(__xludf.DUMMYFUNCTION("""COMPUTED_VALUE"""),"N")</f>
        <v>N</v>
      </c>
      <c r="M238" t="str">
        <f ca="1">IFERROR(__xludf.DUMMYFUNCTION("""COMPUTED_VALUE"""),"Rk-183")</f>
        <v>Rk-183</v>
      </c>
    </row>
    <row r="239" spans="1:13" ht="12.5" x14ac:dyDescent="0.25">
      <c r="A239" t="str">
        <f ca="1">IFERROR(__xludf.DUMMYFUNCTION("""COMPUTED_VALUE"""),"Sally")</f>
        <v>Sally</v>
      </c>
      <c r="B239" t="str">
        <f ca="1">IFERROR(__xludf.DUMMYFUNCTION("""COMPUTED_VALUE"""),"Ciputra")</f>
        <v>Ciputra</v>
      </c>
      <c r="C239" t="str">
        <f ca="1">IFERROR(__xludf.DUMMYFUNCTION("""COMPUTED_VALUE"""),"CIPUTRA@rocketmailx.com")</f>
        <v>CIPUTRA@rocketmailx.com</v>
      </c>
      <c r="D239" t="str">
        <f ca="1">IFERROR(__xludf.DUMMYFUNCTION("""COMPUTED_VALUE"""),"Cimahi")</f>
        <v>Cimahi</v>
      </c>
      <c r="E239" s="12">
        <f ca="1">IFERROR(__xludf.DUMMYFUNCTION("""COMPUTED_VALUE"""),43408)</f>
        <v>43408</v>
      </c>
      <c r="F239" t="str">
        <f ca="1">IFERROR(__xludf.DUMMYFUNCTION("""COMPUTED_VALUE"""),"KP0750AJ")</f>
        <v>KP0750AJ</v>
      </c>
      <c r="G239" s="11">
        <f ca="1">IFERROR(__xludf.DUMMYFUNCTION("""COMPUTED_VALUE"""),36000000)</f>
        <v>36000000</v>
      </c>
      <c r="H239">
        <f ca="1">IFERROR(__xludf.DUMMYFUNCTION("""COMPUTED_VALUE"""),35158)</f>
        <v>35158</v>
      </c>
      <c r="I239">
        <f ca="1">IFERROR(__xludf.DUMMYFUNCTION("""COMPUTED_VALUE"""),2)</f>
        <v>2</v>
      </c>
      <c r="J239" t="str">
        <f ca="1">IFERROR(__xludf.DUMMYFUNCTION("""COMPUTED_VALUE"""),"N/A")</f>
        <v>N/A</v>
      </c>
      <c r="K239" t="str">
        <f ca="1">IFERROR(__xludf.DUMMYFUNCTION("""COMPUTED_VALUE"""),"Swift Delivery")</f>
        <v>Swift Delivery</v>
      </c>
      <c r="L239" t="str">
        <f ca="1">IFERROR(__xludf.DUMMYFUNCTION("""COMPUTED_VALUE"""),"N")</f>
        <v>N</v>
      </c>
      <c r="M239" t="str">
        <f ca="1">IFERROR(__xludf.DUMMYFUNCTION("""COMPUTED_VALUE"""),"Eg-409")</f>
        <v>Eg-409</v>
      </c>
    </row>
    <row r="240" spans="1:13" ht="12.5" x14ac:dyDescent="0.25">
      <c r="A240" t="str">
        <f ca="1">IFERROR(__xludf.DUMMYFUNCTION("""COMPUTED_VALUE"""),"Rachmat")</f>
        <v>Rachmat</v>
      </c>
      <c r="B240" t="str">
        <f ca="1">IFERROR(__xludf.DUMMYFUNCTION("""COMPUTED_VALUE"""),"Rachmat")</f>
        <v>Rachmat</v>
      </c>
      <c r="C240" t="str">
        <f ca="1">IFERROR(__xludf.DUMMYFUNCTION("""COMPUTED_VALUE"""),"RACHMAT@rocketmailx.com")</f>
        <v>RACHMAT@rocketmailx.com</v>
      </c>
      <c r="D240" t="str">
        <f ca="1">IFERROR(__xludf.DUMMYFUNCTION("""COMPUTED_VALUE"""),"Jakarta Utara")</f>
        <v>Jakarta Utara</v>
      </c>
      <c r="E240" s="12">
        <f ca="1">IFERROR(__xludf.DUMMYFUNCTION("""COMPUTED_VALUE"""),43377)</f>
        <v>43377</v>
      </c>
      <c r="F240" t="str">
        <f ca="1">IFERROR(__xludf.DUMMYFUNCTION("""COMPUTED_VALUE"""),"KP0150BH")</f>
        <v>KP0150BH</v>
      </c>
      <c r="G240" s="11">
        <f ca="1">IFERROR(__xludf.DUMMYFUNCTION("""COMPUTED_VALUE"""),135000000)</f>
        <v>135000000</v>
      </c>
      <c r="H240">
        <f ca="1">IFERROR(__xludf.DUMMYFUNCTION("""COMPUTED_VALUE"""),35320)</f>
        <v>35320</v>
      </c>
      <c r="I240">
        <f ca="1">IFERROR(__xludf.DUMMYFUNCTION("""COMPUTED_VALUE"""),5)</f>
        <v>5</v>
      </c>
      <c r="J240" t="str">
        <f ca="1">IFERROR(__xludf.DUMMYFUNCTION("""COMPUTED_VALUE"""),"N/A")</f>
        <v>N/A</v>
      </c>
      <c r="K240" t="str">
        <f ca="1">IFERROR(__xludf.DUMMYFUNCTION("""COMPUTED_VALUE"""),"Cepat Kirim")</f>
        <v>Cepat Kirim</v>
      </c>
      <c r="L240" t="str">
        <f ca="1">IFERROR(__xludf.DUMMYFUNCTION("""COMPUTED_VALUE"""),"N")</f>
        <v>N</v>
      </c>
      <c r="M240" t="str">
        <f ca="1">IFERROR(__xludf.DUMMYFUNCTION("""COMPUTED_VALUE"""),"Gy-333")</f>
        <v>Gy-333</v>
      </c>
    </row>
    <row r="241" spans="1:13" ht="12.5" x14ac:dyDescent="0.25">
      <c r="A241" t="str">
        <f ca="1">IFERROR(__xludf.DUMMYFUNCTION("""COMPUTED_VALUE"""),"Johan")</f>
        <v>Johan</v>
      </c>
      <c r="B241" t="str">
        <f ca="1">IFERROR(__xludf.DUMMYFUNCTION("""COMPUTED_VALUE"""),"Williang")</f>
        <v>Williang</v>
      </c>
      <c r="C241" t="str">
        <f ca="1">IFERROR(__xludf.DUMMYFUNCTION("""COMPUTED_VALUE"""),"Williang@ymailx.com")</f>
        <v>Williang@ymailx.com</v>
      </c>
      <c r="D241" t="str">
        <f ca="1">IFERROR(__xludf.DUMMYFUNCTION("""COMPUTED_VALUE"""),"Bima")</f>
        <v>Bima</v>
      </c>
      <c r="E241" s="12">
        <f ca="1">IFERROR(__xludf.DUMMYFUNCTION("""COMPUTED_VALUE"""),43347)</f>
        <v>43347</v>
      </c>
      <c r="F241" t="str">
        <f ca="1">IFERROR(__xludf.DUMMYFUNCTION("""COMPUTED_VALUE"""),"KP0850FB")</f>
        <v>KP0850FB</v>
      </c>
      <c r="G241" s="11">
        <f ca="1">IFERROR(__xludf.DUMMYFUNCTION("""COMPUTED_VALUE"""),168000000)</f>
        <v>168000000</v>
      </c>
      <c r="H241">
        <f ca="1">IFERROR(__xludf.DUMMYFUNCTION("""COMPUTED_VALUE"""),35282)</f>
        <v>35282</v>
      </c>
      <c r="I241">
        <f ca="1">IFERROR(__xludf.DUMMYFUNCTION("""COMPUTED_VALUE"""),8)</f>
        <v>8</v>
      </c>
      <c r="J241" t="str">
        <f ca="1">IFERROR(__xludf.DUMMYFUNCTION("""COMPUTED_VALUE"""),"N/A")</f>
        <v>N/A</v>
      </c>
      <c r="K241" t="str">
        <f ca="1">IFERROR(__xludf.DUMMYFUNCTION("""COMPUTED_VALUE"""),"Swift Delivery")</f>
        <v>Swift Delivery</v>
      </c>
      <c r="L241" t="str">
        <f ca="1">IFERROR(__xludf.DUMMYFUNCTION("""COMPUTED_VALUE"""),"Y")</f>
        <v>Y</v>
      </c>
      <c r="M241" t="str">
        <f ca="1">IFERROR(__xludf.DUMMYFUNCTION("""COMPUTED_VALUE"""),"Nb-183")</f>
        <v>Nb-183</v>
      </c>
    </row>
    <row r="242" spans="1:13" ht="12.5" x14ac:dyDescent="0.25">
      <c r="A242" t="str">
        <f ca="1">IFERROR(__xludf.DUMMYFUNCTION("""COMPUTED_VALUE"""),"Ninik")</f>
        <v>Ninik</v>
      </c>
      <c r="B242" t="str">
        <f ca="1">IFERROR(__xludf.DUMMYFUNCTION("""COMPUTED_VALUE"""),"Hendri")</f>
        <v>Hendri</v>
      </c>
      <c r="C242" t="str">
        <f ca="1">IFERROR(__xludf.DUMMYFUNCTION("""COMPUTED_VALUE"""),"Ninik@rocketmailx.com")</f>
        <v>Ninik@rocketmailx.com</v>
      </c>
      <c r="D242" t="str">
        <f ca="1">IFERROR(__xludf.DUMMYFUNCTION("""COMPUTED_VALUE"""),"Pasuruan")</f>
        <v>Pasuruan</v>
      </c>
      <c r="E242" s="12">
        <f ca="1">IFERROR(__xludf.DUMMYFUNCTION("""COMPUTED_VALUE"""),43285)</f>
        <v>43285</v>
      </c>
      <c r="F242" t="str">
        <f ca="1">IFERROR(__xludf.DUMMYFUNCTION("""COMPUTED_VALUE"""),"KP0850FB")</f>
        <v>KP0850FB</v>
      </c>
      <c r="G242" s="11">
        <f ca="1">IFERROR(__xludf.DUMMYFUNCTION("""COMPUTED_VALUE"""),105000000)</f>
        <v>105000000</v>
      </c>
      <c r="H242">
        <f ca="1">IFERROR(__xludf.DUMMYFUNCTION("""COMPUTED_VALUE"""),35221)</f>
        <v>35221</v>
      </c>
      <c r="I242">
        <f ca="1">IFERROR(__xludf.DUMMYFUNCTION("""COMPUTED_VALUE"""),5)</f>
        <v>5</v>
      </c>
      <c r="J242">
        <f ca="1">IFERROR(__xludf.DUMMYFUNCTION("""COMPUTED_VALUE"""),4)</f>
        <v>4</v>
      </c>
      <c r="K242" t="str">
        <f ca="1">IFERROR(__xludf.DUMMYFUNCTION("""COMPUTED_VALUE"""),"JENT")</f>
        <v>JENT</v>
      </c>
      <c r="L242" t="str">
        <f ca="1">IFERROR(__xludf.DUMMYFUNCTION("""COMPUTED_VALUE"""),"N")</f>
        <v>N</v>
      </c>
      <c r="M242" t="str">
        <f ca="1">IFERROR(__xludf.DUMMYFUNCTION("""COMPUTED_VALUE"""),"Wn-123")</f>
        <v>Wn-123</v>
      </c>
    </row>
    <row r="243" spans="1:13" ht="12.5" x14ac:dyDescent="0.25">
      <c r="A243" t="str">
        <f ca="1">IFERROR(__xludf.DUMMYFUNCTION("""COMPUTED_VALUE"""),"Lucia")</f>
        <v>Lucia</v>
      </c>
      <c r="B243" t="str">
        <f ca="1">IFERROR(__xludf.DUMMYFUNCTION("""COMPUTED_VALUE"""),"Sjarif")</f>
        <v>Sjarif</v>
      </c>
      <c r="C243" t="str">
        <f ca="1">IFERROR(__xludf.DUMMYFUNCTION("""COMPUTED_VALUE"""),"Sjarif@rocketmailx.com")</f>
        <v>Sjarif@rocketmailx.com</v>
      </c>
      <c r="D243" t="str">
        <f ca="1">IFERROR(__xludf.DUMMYFUNCTION("""COMPUTED_VALUE"""),"Padangpanjang")</f>
        <v>Padangpanjang</v>
      </c>
      <c r="E243" s="12">
        <f ca="1">IFERROR(__xludf.DUMMYFUNCTION("""COMPUTED_VALUE"""),43224)</f>
        <v>43224</v>
      </c>
      <c r="F243" t="str">
        <f ca="1">IFERROR(__xludf.DUMMYFUNCTION("""COMPUTED_VALUE"""),"KP0625AF")</f>
        <v>KP0625AF</v>
      </c>
      <c r="G243" s="11">
        <f ca="1">IFERROR(__xludf.DUMMYFUNCTION("""COMPUTED_VALUE"""),36000000)</f>
        <v>36000000</v>
      </c>
      <c r="H243">
        <f ca="1">IFERROR(__xludf.DUMMYFUNCTION("""COMPUTED_VALUE"""),35863)</f>
        <v>35863</v>
      </c>
      <c r="I243">
        <f ca="1">IFERROR(__xludf.DUMMYFUNCTION("""COMPUTED_VALUE"""),3)</f>
        <v>3</v>
      </c>
      <c r="J243">
        <f ca="1">IFERROR(__xludf.DUMMYFUNCTION("""COMPUTED_VALUE"""),4)</f>
        <v>4</v>
      </c>
      <c r="K243" t="str">
        <f ca="1">IFERROR(__xludf.DUMMYFUNCTION("""COMPUTED_VALUE"""),"JENT")</f>
        <v>JENT</v>
      </c>
      <c r="L243" t="str">
        <f ca="1">IFERROR(__xludf.DUMMYFUNCTION("""COMPUTED_VALUE"""),"Y")</f>
        <v>Y</v>
      </c>
      <c r="M243" t="str">
        <f ca="1">IFERROR(__xludf.DUMMYFUNCTION("""COMPUTED_VALUE"""),"Tx-559")</f>
        <v>Tx-559</v>
      </c>
    </row>
    <row r="244" spans="1:13" ht="12.5" x14ac:dyDescent="0.25">
      <c r="A244" t="str">
        <f ca="1">IFERROR(__xludf.DUMMYFUNCTION("""COMPUTED_VALUE"""),"Juliati")</f>
        <v>Juliati</v>
      </c>
      <c r="B244" t="str">
        <f ca="1">IFERROR(__xludf.DUMMYFUNCTION("""COMPUTED_VALUE"""),"Yu-Cheng")</f>
        <v>Yu-Cheng</v>
      </c>
      <c r="C244" t="str">
        <f ca="1">IFERROR(__xludf.DUMMYFUNCTION("""COMPUTED_VALUE"""),"Yu-Cheng@gmailx.com")</f>
        <v>Yu-Cheng@gmailx.com</v>
      </c>
      <c r="D244" t="str">
        <f ca="1">IFERROR(__xludf.DUMMYFUNCTION("""COMPUTED_VALUE"""),"Surabaya")</f>
        <v>Surabaya</v>
      </c>
      <c r="E244" s="12">
        <f ca="1">IFERROR(__xludf.DUMMYFUNCTION("""COMPUTED_VALUE"""),43163)</f>
        <v>43163</v>
      </c>
      <c r="F244" t="str">
        <f ca="1">IFERROR(__xludf.DUMMYFUNCTION("""COMPUTED_VALUE"""),"KP0925SG")</f>
        <v>KP0925SG</v>
      </c>
      <c r="G244" s="11">
        <f ca="1">IFERROR(__xludf.DUMMYFUNCTION("""COMPUTED_VALUE"""),135000000)</f>
        <v>135000000</v>
      </c>
      <c r="H244">
        <f ca="1">IFERROR(__xludf.DUMMYFUNCTION("""COMPUTED_VALUE"""),35272)</f>
        <v>35272</v>
      </c>
      <c r="I244">
        <f ca="1">IFERROR(__xludf.DUMMYFUNCTION("""COMPUTED_VALUE"""),9)</f>
        <v>9</v>
      </c>
      <c r="J244">
        <f ca="1">IFERROR(__xludf.DUMMYFUNCTION("""COMPUTED_VALUE"""),4)</f>
        <v>4</v>
      </c>
      <c r="K244" t="str">
        <f ca="1">IFERROR(__xludf.DUMMYFUNCTION("""COMPUTED_VALUE"""),"Swift Delivery")</f>
        <v>Swift Delivery</v>
      </c>
      <c r="L244" t="str">
        <f ca="1">IFERROR(__xludf.DUMMYFUNCTION("""COMPUTED_VALUE"""),"Y")</f>
        <v>Y</v>
      </c>
      <c r="M244" t="str">
        <f ca="1">IFERROR(__xludf.DUMMYFUNCTION("""COMPUTED_VALUE"""),"Ly-123")</f>
        <v>Ly-123</v>
      </c>
    </row>
    <row r="245" spans="1:13" ht="12.5" x14ac:dyDescent="0.25">
      <c r="A245" t="str">
        <f ca="1">IFERROR(__xludf.DUMMYFUNCTION("""COMPUTED_VALUE"""),"Eddy")</f>
        <v>Eddy</v>
      </c>
      <c r="B245" t="str">
        <f ca="1">IFERROR(__xludf.DUMMYFUNCTION("""COMPUTED_VALUE"""),"Tjiu")</f>
        <v>Tjiu</v>
      </c>
      <c r="C245" t="str">
        <f ca="1">IFERROR(__xludf.DUMMYFUNCTION("""COMPUTED_VALUE"""),"Eddy@ymailx.com")</f>
        <v>Eddy@ymailx.com</v>
      </c>
      <c r="D245" t="str">
        <f ca="1">IFERROR(__xludf.DUMMYFUNCTION("""COMPUTED_VALUE"""),"Mataram")</f>
        <v>Mataram</v>
      </c>
      <c r="E245" s="12">
        <f ca="1">IFERROR(__xludf.DUMMYFUNCTION("""COMPUTED_VALUE"""),43104)</f>
        <v>43104</v>
      </c>
      <c r="F245" t="str">
        <f ca="1">IFERROR(__xludf.DUMMYFUNCTION("""COMPUTED_VALUE"""),"KP0925SG")</f>
        <v>KP0925SG</v>
      </c>
      <c r="G245" s="11">
        <f ca="1">IFERROR(__xludf.DUMMYFUNCTION("""COMPUTED_VALUE"""),90000000)</f>
        <v>90000000</v>
      </c>
      <c r="H245">
        <f ca="1">IFERROR(__xludf.DUMMYFUNCTION("""COMPUTED_VALUE"""),36337)</f>
        <v>36337</v>
      </c>
      <c r="I245">
        <f ca="1">IFERROR(__xludf.DUMMYFUNCTION("""COMPUTED_VALUE"""),6)</f>
        <v>6</v>
      </c>
      <c r="J245" t="str">
        <f ca="1">IFERROR(__xludf.DUMMYFUNCTION("""COMPUTED_VALUE"""),"N/A")</f>
        <v>N/A</v>
      </c>
      <c r="K245" t="str">
        <f ca="1">IFERROR(__xludf.DUMMYFUNCTION("""COMPUTED_VALUE"""),"JENT")</f>
        <v>JENT</v>
      </c>
      <c r="L245" t="str">
        <f ca="1">IFERROR(__xludf.DUMMYFUNCTION("""COMPUTED_VALUE"""),"Y")</f>
        <v>Y</v>
      </c>
      <c r="M245" t="str">
        <f ca="1">IFERROR(__xludf.DUMMYFUNCTION("""COMPUTED_VALUE"""),"Nz-183")</f>
        <v>Nz-183</v>
      </c>
    </row>
    <row r="246" spans="1:13" ht="12.5" x14ac:dyDescent="0.25">
      <c r="A246" t="str">
        <f ca="1">IFERROR(__xludf.DUMMYFUNCTION("""COMPUTED_VALUE"""),"A.")</f>
        <v>A.</v>
      </c>
      <c r="B246" t="str">
        <f ca="1">IFERROR(__xludf.DUMMYFUNCTION("""COMPUTED_VALUE"""),"Djojosudirdjo")</f>
        <v>Djojosudirdjo</v>
      </c>
      <c r="C246" t="str">
        <f ca="1">IFERROR(__xludf.DUMMYFUNCTION("""COMPUTED_VALUE"""),"A.@gmailx.com")</f>
        <v>A.@gmailx.com</v>
      </c>
      <c r="D246" t="str">
        <f ca="1">IFERROR(__xludf.DUMMYFUNCTION("""COMPUTED_VALUE"""),"Metro")</f>
        <v>Metro</v>
      </c>
      <c r="E246" s="12">
        <f ca="1">IFERROR(__xludf.DUMMYFUNCTION("""COMPUTED_VALUE"""),43185)</f>
        <v>43185</v>
      </c>
      <c r="F246" t="str">
        <f ca="1">IFERROR(__xludf.DUMMYFUNCTION("""COMPUTED_VALUE"""),"KP0625AF")</f>
        <v>KP0625AF</v>
      </c>
      <c r="G246" s="11">
        <f ca="1">IFERROR(__xludf.DUMMYFUNCTION("""COMPUTED_VALUE"""),72000000)</f>
        <v>72000000</v>
      </c>
      <c r="H246" t="str">
        <f ca="1">IFERROR(__xludf.DUMMYFUNCTION("""COMPUTED_VALUE"""),"36926")</f>
        <v>36926</v>
      </c>
      <c r="I246">
        <f ca="1">IFERROR(__xludf.DUMMYFUNCTION("""COMPUTED_VALUE"""),6)</f>
        <v>6</v>
      </c>
      <c r="J246" t="str">
        <f ca="1">IFERROR(__xludf.DUMMYFUNCTION("""COMPUTED_VALUE"""),"N/A")</f>
        <v>N/A</v>
      </c>
      <c r="K246" t="str">
        <f ca="1">IFERROR(__xludf.DUMMYFUNCTION("""COMPUTED_VALUE"""),"Cepat Kirim")</f>
        <v>Cepat Kirim</v>
      </c>
      <c r="L246" t="str">
        <f ca="1">IFERROR(__xludf.DUMMYFUNCTION("""COMPUTED_VALUE"""),"Y")</f>
        <v>Y</v>
      </c>
      <c r="M246" t="str">
        <f ca="1">IFERROR(__xludf.DUMMYFUNCTION("""COMPUTED_VALUE"""),"Zc-150")</f>
        <v>Zc-150</v>
      </c>
    </row>
    <row r="247" spans="1:13" ht="12.5" x14ac:dyDescent="0.25">
      <c r="A247" t="str">
        <f ca="1">IFERROR(__xludf.DUMMYFUNCTION("""COMPUTED_VALUE"""),"Faiz")</f>
        <v>Faiz</v>
      </c>
      <c r="B247" t="str">
        <f ca="1">IFERROR(__xludf.DUMMYFUNCTION("""COMPUTED_VALUE"""),"Christranto")</f>
        <v>Christranto</v>
      </c>
      <c r="C247" t="str">
        <f ca="1">IFERROR(__xludf.DUMMYFUNCTION("""COMPUTED_VALUE"""),"Christranto@icloudx.com")</f>
        <v>Christranto@icloudx.com</v>
      </c>
      <c r="D247" t="str">
        <f ca="1">IFERROR(__xludf.DUMMYFUNCTION("""COMPUTED_VALUE"""),"Palu")</f>
        <v>Palu</v>
      </c>
      <c r="E247" s="12">
        <f ca="1">IFERROR(__xludf.DUMMYFUNCTION("""COMPUTED_VALUE"""),43182)</f>
        <v>43182</v>
      </c>
      <c r="F247" t="str">
        <f ca="1">IFERROR(__xludf.DUMMYFUNCTION("""COMPUTED_VALUE"""),"KP0925SG")</f>
        <v>KP0925SG</v>
      </c>
      <c r="G247" s="11">
        <f ca="1">IFERROR(__xludf.DUMMYFUNCTION("""COMPUTED_VALUE"""),120000000)</f>
        <v>120000000</v>
      </c>
      <c r="H247">
        <f ca="1">IFERROR(__xludf.DUMMYFUNCTION("""COMPUTED_VALUE"""),36042)</f>
        <v>36042</v>
      </c>
      <c r="I247">
        <f ca="1">IFERROR(__xludf.DUMMYFUNCTION("""COMPUTED_VALUE"""),8)</f>
        <v>8</v>
      </c>
      <c r="J247" t="str">
        <f ca="1">IFERROR(__xludf.DUMMYFUNCTION("""COMPUTED_VALUE"""),"N/A")</f>
        <v>N/A</v>
      </c>
      <c r="K247" t="str">
        <f ca="1">IFERROR(__xludf.DUMMYFUNCTION("""COMPUTED_VALUE"""),"Swift Delivery")</f>
        <v>Swift Delivery</v>
      </c>
      <c r="L247" t="str">
        <f ca="1">IFERROR(__xludf.DUMMYFUNCTION("""COMPUTED_VALUE"""),"Y")</f>
        <v>Y</v>
      </c>
      <c r="M247" t="str">
        <f ca="1">IFERROR(__xludf.DUMMYFUNCTION("""COMPUTED_VALUE"""),"Fi-280")</f>
        <v>Fi-280</v>
      </c>
    </row>
    <row r="248" spans="1:13" ht="12.5" x14ac:dyDescent="0.25">
      <c r="A248" t="str">
        <f ca="1">IFERROR(__xludf.DUMMYFUNCTION("""COMPUTED_VALUE"""),"Indahwaty")</f>
        <v>Indahwaty</v>
      </c>
      <c r="B248" t="str">
        <f ca="1">IFERROR(__xludf.DUMMYFUNCTION("""COMPUTED_VALUE"""),"Aryanto")</f>
        <v>Aryanto</v>
      </c>
      <c r="C248" t="str">
        <f ca="1">IFERROR(__xludf.DUMMYFUNCTION("""COMPUTED_VALUE"""),"Aryanto@ymailx.com")</f>
        <v>Aryanto@ymailx.com</v>
      </c>
      <c r="D248" t="str">
        <f ca="1">IFERROR(__xludf.DUMMYFUNCTION("""COMPUTED_VALUE"""),"Jayapura")</f>
        <v>Jayapura</v>
      </c>
      <c r="E248" s="12">
        <f ca="1">IFERROR(__xludf.DUMMYFUNCTION("""COMPUTED_VALUE"""),43180)</f>
        <v>43180</v>
      </c>
      <c r="F248" t="str">
        <f ca="1">IFERROR(__xludf.DUMMYFUNCTION("""COMPUTED_VALUE"""),"KP0750AJ")</f>
        <v>KP0750AJ</v>
      </c>
      <c r="G248" s="11">
        <f ca="1">IFERROR(__xludf.DUMMYFUNCTION("""COMPUTED_VALUE"""),54000000)</f>
        <v>54000000</v>
      </c>
      <c r="H248">
        <f ca="1">IFERROR(__xludf.DUMMYFUNCTION("""COMPUTED_VALUE"""),36915)</f>
        <v>36915</v>
      </c>
      <c r="I248">
        <f ca="1">IFERROR(__xludf.DUMMYFUNCTION("""COMPUTED_VALUE"""),3)</f>
        <v>3</v>
      </c>
      <c r="J248" t="str">
        <f ca="1">IFERROR(__xludf.DUMMYFUNCTION("""COMPUTED_VALUE"""),"N/A")</f>
        <v>N/A</v>
      </c>
      <c r="K248" t="str">
        <f ca="1">IFERROR(__xludf.DUMMYFUNCTION("""COMPUTED_VALUE"""),"Swift Delivery")</f>
        <v>Swift Delivery</v>
      </c>
      <c r="L248" t="str">
        <f ca="1">IFERROR(__xludf.DUMMYFUNCTION("""COMPUTED_VALUE"""),"Y")</f>
        <v>Y</v>
      </c>
      <c r="M248" t="str">
        <f ca="1">IFERROR(__xludf.DUMMYFUNCTION("""COMPUTED_VALUE"""),"Vl-990")</f>
        <v>Vl-990</v>
      </c>
    </row>
    <row r="249" spans="1:13" ht="12.5" x14ac:dyDescent="0.25">
      <c r="A249" t="str">
        <f ca="1">IFERROR(__xludf.DUMMYFUNCTION("""COMPUTED_VALUE"""),"Sri")</f>
        <v>Sri</v>
      </c>
      <c r="B249" t="str">
        <f ca="1">IFERROR(__xludf.DUMMYFUNCTION("""COMPUTED_VALUE"""),"Dharmaputra")</f>
        <v>Dharmaputra</v>
      </c>
      <c r="C249" t="str">
        <f ca="1">IFERROR(__xludf.DUMMYFUNCTION("""COMPUTED_VALUE"""),"Sri@livex.com")</f>
        <v>Sri@livex.com</v>
      </c>
      <c r="D249" t="str">
        <f ca="1">IFERROR(__xludf.DUMMYFUNCTION("""COMPUTED_VALUE"""),"Tomohon")</f>
        <v>Tomohon</v>
      </c>
      <c r="E249" s="12">
        <f ca="1">IFERROR(__xludf.DUMMYFUNCTION("""COMPUTED_VALUE"""),43180)</f>
        <v>43180</v>
      </c>
      <c r="F249" t="str">
        <f ca="1">IFERROR(__xludf.DUMMYFUNCTION("""COMPUTED_VALUE"""),"KP0850FB")</f>
        <v>KP0850FB</v>
      </c>
      <c r="G249" s="11">
        <f ca="1">IFERROR(__xludf.DUMMYFUNCTION("""COMPUTED_VALUE"""),147000000)</f>
        <v>147000000</v>
      </c>
      <c r="H249">
        <f ca="1">IFERROR(__xludf.DUMMYFUNCTION("""COMPUTED_VALUE"""),35005)</f>
        <v>35005</v>
      </c>
      <c r="I249">
        <f ca="1">IFERROR(__xludf.DUMMYFUNCTION("""COMPUTED_VALUE"""),7)</f>
        <v>7</v>
      </c>
      <c r="J249" t="str">
        <f ca="1">IFERROR(__xludf.DUMMYFUNCTION("""COMPUTED_VALUE"""),"N/A")</f>
        <v>N/A</v>
      </c>
      <c r="K249" t="str">
        <f ca="1">IFERROR(__xludf.DUMMYFUNCTION("""COMPUTED_VALUE"""),"JENT")</f>
        <v>JENT</v>
      </c>
      <c r="L249" t="str">
        <f ca="1">IFERROR(__xludf.DUMMYFUNCTION("""COMPUTED_VALUE"""),"N")</f>
        <v>N</v>
      </c>
      <c r="M249" t="str">
        <f ca="1">IFERROR(__xludf.DUMMYFUNCTION("""COMPUTED_VALUE"""),"Ry-221")</f>
        <v>Ry-221</v>
      </c>
    </row>
    <row r="250" spans="1:13" ht="12.5" x14ac:dyDescent="0.25">
      <c r="A250" t="str">
        <f ca="1">IFERROR(__xludf.DUMMYFUNCTION("""COMPUTED_VALUE"""),"Herdin")</f>
        <v>Herdin</v>
      </c>
      <c r="B250" t="str">
        <f ca="1">IFERROR(__xludf.DUMMYFUNCTION("""COMPUTED_VALUE"""),"Pierre")</f>
        <v>Pierre</v>
      </c>
      <c r="C250" t="str">
        <f ca="1">IFERROR(__xludf.DUMMYFUNCTION("""COMPUTED_VALUE"""),"Pierre@ymailx.com")</f>
        <v>Pierre@ymailx.com</v>
      </c>
      <c r="D250" t="str">
        <f ca="1">IFERROR(__xludf.DUMMYFUNCTION("""COMPUTED_VALUE"""),"Banjarmasin")</f>
        <v>Banjarmasin</v>
      </c>
      <c r="E250" s="12">
        <f ca="1">IFERROR(__xludf.DUMMYFUNCTION("""COMPUTED_VALUE"""),43179)</f>
        <v>43179</v>
      </c>
      <c r="F250" t="str">
        <f ca="1">IFERROR(__xludf.DUMMYFUNCTION("""COMPUTED_VALUE"""),"KP0850FB")</f>
        <v>KP0850FB</v>
      </c>
      <c r="G250" s="11">
        <f ca="1">IFERROR(__xludf.DUMMYFUNCTION("""COMPUTED_VALUE"""),105000000)</f>
        <v>105000000</v>
      </c>
      <c r="H250">
        <f ca="1">IFERROR(__xludf.DUMMYFUNCTION("""COMPUTED_VALUE"""),35498)</f>
        <v>35498</v>
      </c>
      <c r="I250">
        <f ca="1">IFERROR(__xludf.DUMMYFUNCTION("""COMPUTED_VALUE"""),5)</f>
        <v>5</v>
      </c>
      <c r="J250" t="str">
        <f ca="1">IFERROR(__xludf.DUMMYFUNCTION("""COMPUTED_VALUE"""),"N/A")</f>
        <v>N/A</v>
      </c>
      <c r="K250" t="str">
        <f ca="1">IFERROR(__xludf.DUMMYFUNCTION("""COMPUTED_VALUE"""),"Swift Delivery")</f>
        <v>Swift Delivery</v>
      </c>
      <c r="L250" t="str">
        <f ca="1">IFERROR(__xludf.DUMMYFUNCTION("""COMPUTED_VALUE"""),"Y")</f>
        <v>Y</v>
      </c>
      <c r="M250" t="str">
        <f ca="1">IFERROR(__xludf.DUMMYFUNCTION("""COMPUTED_VALUE"""),"On-991")</f>
        <v>On-991</v>
      </c>
    </row>
    <row r="251" spans="1:13" ht="12.5" x14ac:dyDescent="0.25">
      <c r="A251" t="str">
        <f ca="1">IFERROR(__xludf.DUMMYFUNCTION("""COMPUTED_VALUE"""),"Soebali")</f>
        <v>Soebali</v>
      </c>
      <c r="B251" t="str">
        <f ca="1">IFERROR(__xludf.DUMMYFUNCTION("""COMPUTED_VALUE"""),"Widjaja")</f>
        <v>Widjaja</v>
      </c>
      <c r="C251" t="str">
        <f ca="1">IFERROR(__xludf.DUMMYFUNCTION("""COMPUTED_VALUE"""),"Widjaja@mex.com")</f>
        <v>Widjaja@mex.com</v>
      </c>
      <c r="D251" t="str">
        <f ca="1">IFERROR(__xludf.DUMMYFUNCTION("""COMPUTED_VALUE"""),"Jambi")</f>
        <v>Jambi</v>
      </c>
      <c r="E251" s="12">
        <f ca="1">IFERROR(__xludf.DUMMYFUNCTION("""COMPUTED_VALUE"""),43179)</f>
        <v>43179</v>
      </c>
      <c r="F251" t="str">
        <f ca="1">IFERROR(__xludf.DUMMYFUNCTION("""COMPUTED_VALUE"""),"KP0850FB")</f>
        <v>KP0850FB</v>
      </c>
      <c r="G251" s="11">
        <f ca="1">IFERROR(__xludf.DUMMYFUNCTION("""COMPUTED_VALUE"""),42000000)</f>
        <v>42000000</v>
      </c>
      <c r="H251">
        <f ca="1">IFERROR(__xludf.DUMMYFUNCTION("""COMPUTED_VALUE"""),35811)</f>
        <v>35811</v>
      </c>
      <c r="I251">
        <f ca="1">IFERROR(__xludf.DUMMYFUNCTION("""COMPUTED_VALUE"""),2)</f>
        <v>2</v>
      </c>
      <c r="J251">
        <f ca="1">IFERROR(__xludf.DUMMYFUNCTION("""COMPUTED_VALUE"""),4)</f>
        <v>4</v>
      </c>
      <c r="K251" t="str">
        <f ca="1">IFERROR(__xludf.DUMMYFUNCTION("""COMPUTED_VALUE"""),"Swift Delivery")</f>
        <v>Swift Delivery</v>
      </c>
      <c r="L251" t="str">
        <f ca="1">IFERROR(__xludf.DUMMYFUNCTION("""COMPUTED_VALUE"""),"N")</f>
        <v>N</v>
      </c>
      <c r="M251" t="str">
        <f ca="1">IFERROR(__xludf.DUMMYFUNCTION("""COMPUTED_VALUE"""),"Pm-512")</f>
        <v>Pm-512</v>
      </c>
    </row>
    <row r="252" spans="1:13" ht="12.5" x14ac:dyDescent="0.25">
      <c r="A252" t="str">
        <f ca="1">IFERROR(__xludf.DUMMYFUNCTION("""COMPUTED_VALUE"""),"Andrew")</f>
        <v>Andrew</v>
      </c>
      <c r="B252" t="str">
        <f ca="1">IFERROR(__xludf.DUMMYFUNCTION("""COMPUTED_VALUE"""),"H.")</f>
        <v>H.</v>
      </c>
      <c r="C252" t="str">
        <f ca="1">IFERROR(__xludf.DUMMYFUNCTION("""COMPUTED_VALUE"""),"H.@livex.com")</f>
        <v>H.@livex.com</v>
      </c>
      <c r="D252" t="str">
        <f ca="1">IFERROR(__xludf.DUMMYFUNCTION("""COMPUTED_VALUE"""),"Tanjungpinang")</f>
        <v>Tanjungpinang</v>
      </c>
      <c r="E252" s="12">
        <f ca="1">IFERROR(__xludf.DUMMYFUNCTION("""COMPUTED_VALUE"""),43178)</f>
        <v>43178</v>
      </c>
      <c r="F252" t="str">
        <f ca="1">IFERROR(__xludf.DUMMYFUNCTION("""COMPUTED_VALUE"""),"KP0350CF")</f>
        <v>KP0350CF</v>
      </c>
      <c r="G252" s="11">
        <f ca="1">IFERROR(__xludf.DUMMYFUNCTION("""COMPUTED_VALUE"""),175000000)</f>
        <v>175000000</v>
      </c>
      <c r="H252">
        <f ca="1">IFERROR(__xludf.DUMMYFUNCTION("""COMPUTED_VALUE"""),36591)</f>
        <v>36591</v>
      </c>
      <c r="I252">
        <f ca="1">IFERROR(__xludf.DUMMYFUNCTION("""COMPUTED_VALUE"""),5)</f>
        <v>5</v>
      </c>
      <c r="J252" t="str">
        <f ca="1">IFERROR(__xludf.DUMMYFUNCTION("""COMPUTED_VALUE"""),"N/A")</f>
        <v>N/A</v>
      </c>
      <c r="K252" t="str">
        <f ca="1">IFERROR(__xludf.DUMMYFUNCTION("""COMPUTED_VALUE"""),"Wakanda Express")</f>
        <v>Wakanda Express</v>
      </c>
      <c r="L252" t="str">
        <f ca="1">IFERROR(__xludf.DUMMYFUNCTION("""COMPUTED_VALUE"""),"Y")</f>
        <v>Y</v>
      </c>
      <c r="M252" t="str">
        <f ca="1">IFERROR(__xludf.DUMMYFUNCTION("""COMPUTED_VALUE"""),"Qs-809")</f>
        <v>Qs-809</v>
      </c>
    </row>
    <row r="253" spans="1:13" ht="12.5" x14ac:dyDescent="0.25">
      <c r="A253" t="str">
        <f ca="1">IFERROR(__xludf.DUMMYFUNCTION("""COMPUTED_VALUE"""),"John")</f>
        <v>John</v>
      </c>
      <c r="B253" t="str">
        <f ca="1">IFERROR(__xludf.DUMMYFUNCTION("""COMPUTED_VALUE"""),"Nicolas")</f>
        <v>Nicolas</v>
      </c>
      <c r="C253" t="str">
        <f ca="1">IFERROR(__xludf.DUMMYFUNCTION("""COMPUTED_VALUE"""),"John@gmailx.com")</f>
        <v>John@gmailx.com</v>
      </c>
      <c r="D253" t="str">
        <f ca="1">IFERROR(__xludf.DUMMYFUNCTION("""COMPUTED_VALUE"""),"Palangkaraya")</f>
        <v>Palangkaraya</v>
      </c>
      <c r="E253" s="12">
        <f ca="1">IFERROR(__xludf.DUMMYFUNCTION("""COMPUTED_VALUE"""),43176)</f>
        <v>43176</v>
      </c>
      <c r="F253" t="str">
        <f ca="1">IFERROR(__xludf.DUMMYFUNCTION("""COMPUTED_VALUE"""),"KP0750AJ")</f>
        <v>KP0750AJ</v>
      </c>
      <c r="G253" s="11">
        <f ca="1">IFERROR(__xludf.DUMMYFUNCTION("""COMPUTED_VALUE"""),162000000)</f>
        <v>162000000</v>
      </c>
      <c r="H253">
        <f ca="1">IFERROR(__xludf.DUMMYFUNCTION("""COMPUTED_VALUE"""),35270)</f>
        <v>35270</v>
      </c>
      <c r="I253">
        <f ca="1">IFERROR(__xludf.DUMMYFUNCTION("""COMPUTED_VALUE"""),9)</f>
        <v>9</v>
      </c>
      <c r="J253" t="str">
        <f ca="1">IFERROR(__xludf.DUMMYFUNCTION("""COMPUTED_VALUE"""),"N/A")</f>
        <v>N/A</v>
      </c>
      <c r="K253" t="str">
        <f ca="1">IFERROR(__xludf.DUMMYFUNCTION("""COMPUTED_VALUE"""),"Wakanda Express")</f>
        <v>Wakanda Express</v>
      </c>
      <c r="L253" t="str">
        <f ca="1">IFERROR(__xludf.DUMMYFUNCTION("""COMPUTED_VALUE"""),"Y")</f>
        <v>Y</v>
      </c>
      <c r="M253" t="str">
        <f ca="1">IFERROR(__xludf.DUMMYFUNCTION("""COMPUTED_VALUE"""),"Mw-992")</f>
        <v>Mw-992</v>
      </c>
    </row>
    <row r="254" spans="1:13" ht="12.5" x14ac:dyDescent="0.25">
      <c r="A254" t="str">
        <f ca="1">IFERROR(__xludf.DUMMYFUNCTION("""COMPUTED_VALUE"""),"Ang")</f>
        <v>Ang</v>
      </c>
      <c r="B254" t="str">
        <f ca="1">IFERROR(__xludf.DUMMYFUNCTION("""COMPUTED_VALUE"""),"Tjokrosaputro")</f>
        <v>Tjokrosaputro</v>
      </c>
      <c r="C254" t="str">
        <f ca="1">IFERROR(__xludf.DUMMYFUNCTION("""COMPUTED_VALUE"""),"Ang@ymailx.com")</f>
        <v>Ang@ymailx.com</v>
      </c>
      <c r="D254" t="str">
        <f ca="1">IFERROR(__xludf.DUMMYFUNCTION("""COMPUTED_VALUE"""),"Batu")</f>
        <v>Batu</v>
      </c>
      <c r="E254" s="12">
        <f ca="1">IFERROR(__xludf.DUMMYFUNCTION("""COMPUTED_VALUE"""),43175)</f>
        <v>43175</v>
      </c>
      <c r="F254" t="str">
        <f ca="1">IFERROR(__xludf.DUMMYFUNCTION("""COMPUTED_VALUE"""),"KP0925SG")</f>
        <v>KP0925SG</v>
      </c>
      <c r="G254" s="11">
        <f ca="1">IFERROR(__xludf.DUMMYFUNCTION("""COMPUTED_VALUE"""),30000000)</f>
        <v>30000000</v>
      </c>
      <c r="H254">
        <f ca="1">IFERROR(__xludf.DUMMYFUNCTION("""COMPUTED_VALUE"""),35215)</f>
        <v>35215</v>
      </c>
      <c r="I254">
        <f ca="1">IFERROR(__xludf.DUMMYFUNCTION("""COMPUTED_VALUE"""),2)</f>
        <v>2</v>
      </c>
      <c r="J254" t="str">
        <f ca="1">IFERROR(__xludf.DUMMYFUNCTION("""COMPUTED_VALUE"""),"N/A")</f>
        <v>N/A</v>
      </c>
      <c r="K254" t="str">
        <f ca="1">IFERROR(__xludf.DUMMYFUNCTION("""COMPUTED_VALUE"""),"Wakanda Express")</f>
        <v>Wakanda Express</v>
      </c>
      <c r="L254" t="str">
        <f ca="1">IFERROR(__xludf.DUMMYFUNCTION("""COMPUTED_VALUE"""),"Y")</f>
        <v>Y</v>
      </c>
      <c r="M254" t="str">
        <f ca="1">IFERROR(__xludf.DUMMYFUNCTION("""COMPUTED_VALUE"""),"Ce-123")</f>
        <v>Ce-123</v>
      </c>
    </row>
    <row r="255" spans="1:13" ht="12.5" x14ac:dyDescent="0.25">
      <c r="A255" t="str">
        <f ca="1">IFERROR(__xludf.DUMMYFUNCTION("""COMPUTED_VALUE"""),"Harry")</f>
        <v>Harry</v>
      </c>
      <c r="B255" t="str">
        <f ca="1">IFERROR(__xludf.DUMMYFUNCTION("""COMPUTED_VALUE"""),"Daud")</f>
        <v>Daud</v>
      </c>
      <c r="C255" t="str">
        <f ca="1">IFERROR(__xludf.DUMMYFUNCTION("""COMPUTED_VALUE"""),"Harry@ymailx.com")</f>
        <v>Harry@ymailx.com</v>
      </c>
      <c r="D255" t="str">
        <f ca="1">IFERROR(__xludf.DUMMYFUNCTION("""COMPUTED_VALUE"""),"Tasikmalaya")</f>
        <v>Tasikmalaya</v>
      </c>
      <c r="E255" s="12">
        <f ca="1">IFERROR(__xludf.DUMMYFUNCTION("""COMPUTED_VALUE"""),43175)</f>
        <v>43175</v>
      </c>
      <c r="F255" t="str">
        <f ca="1">IFERROR(__xludf.DUMMYFUNCTION("""COMPUTED_VALUE"""),"KP0425CB")</f>
        <v>KP0425CB</v>
      </c>
      <c r="G255" s="11">
        <f ca="1">IFERROR(__xludf.DUMMYFUNCTION("""COMPUTED_VALUE"""),136250000)</f>
        <v>136250000</v>
      </c>
      <c r="H255">
        <f ca="1">IFERROR(__xludf.DUMMYFUNCTION("""COMPUTED_VALUE"""),35333)</f>
        <v>35333</v>
      </c>
      <c r="I255">
        <f ca="1">IFERROR(__xludf.DUMMYFUNCTION("""COMPUTED_VALUE"""),5)</f>
        <v>5</v>
      </c>
      <c r="J255">
        <f ca="1">IFERROR(__xludf.DUMMYFUNCTION("""COMPUTED_VALUE"""),4)</f>
        <v>4</v>
      </c>
      <c r="K255" t="str">
        <f ca="1">IFERROR(__xludf.DUMMYFUNCTION("""COMPUTED_VALUE"""),"Swift Delivery")</f>
        <v>Swift Delivery</v>
      </c>
      <c r="L255" t="str">
        <f ca="1">IFERROR(__xludf.DUMMYFUNCTION("""COMPUTED_VALUE"""),"Y")</f>
        <v>Y</v>
      </c>
      <c r="M255" t="str">
        <f ca="1">IFERROR(__xludf.DUMMYFUNCTION("""COMPUTED_VALUE"""),"Ph-409")</f>
        <v>Ph-409</v>
      </c>
    </row>
    <row r="256" spans="1:13" ht="12.5" x14ac:dyDescent="0.25">
      <c r="A256" t="str">
        <f ca="1">IFERROR(__xludf.DUMMYFUNCTION("""COMPUTED_VALUE"""),"Barlianto")</f>
        <v>Barlianto</v>
      </c>
      <c r="B256" t="str">
        <f ca="1">IFERROR(__xludf.DUMMYFUNCTION("""COMPUTED_VALUE"""),"Soeria")</f>
        <v>Soeria</v>
      </c>
      <c r="C256" t="str">
        <f ca="1">IFERROR(__xludf.DUMMYFUNCTION("""COMPUTED_VALUE"""),"Soeria@outlookx.com")</f>
        <v>Soeria@outlookx.com</v>
      </c>
      <c r="D256" t="str">
        <f ca="1">IFERROR(__xludf.DUMMYFUNCTION("""COMPUTED_VALUE"""),"Lhokseumawe")</f>
        <v>Lhokseumawe</v>
      </c>
      <c r="E256" s="12">
        <f ca="1">IFERROR(__xludf.DUMMYFUNCTION("""COMPUTED_VALUE"""),43172)</f>
        <v>43172</v>
      </c>
      <c r="F256" t="str">
        <f ca="1">IFERROR(__xludf.DUMMYFUNCTION("""COMPUTED_VALUE"""),"KP0850FB")</f>
        <v>KP0850FB</v>
      </c>
      <c r="G256" s="11">
        <f ca="1">IFERROR(__xludf.DUMMYFUNCTION("""COMPUTED_VALUE"""),105000000)</f>
        <v>105000000</v>
      </c>
      <c r="H256">
        <f ca="1">IFERROR(__xludf.DUMMYFUNCTION("""COMPUTED_VALUE"""),35686)</f>
        <v>35686</v>
      </c>
      <c r="I256">
        <f ca="1">IFERROR(__xludf.DUMMYFUNCTION("""COMPUTED_VALUE"""),5)</f>
        <v>5</v>
      </c>
      <c r="J256" t="str">
        <f ca="1">IFERROR(__xludf.DUMMYFUNCTION("""COMPUTED_VALUE"""),"N/A")</f>
        <v>N/A</v>
      </c>
      <c r="K256" t="str">
        <f ca="1">IFERROR(__xludf.DUMMYFUNCTION("""COMPUTED_VALUE"""),"Wakanda Express")</f>
        <v>Wakanda Express</v>
      </c>
      <c r="L256" t="str">
        <f ca="1">IFERROR(__xludf.DUMMYFUNCTION("""COMPUTED_VALUE"""),"Y")</f>
        <v>Y</v>
      </c>
      <c r="M256" t="str">
        <f ca="1">IFERROR(__xludf.DUMMYFUNCTION("""COMPUTED_VALUE"""),"Ht-101")</f>
        <v>Ht-101</v>
      </c>
    </row>
    <row r="257" spans="1:13" ht="12.5" x14ac:dyDescent="0.25">
      <c r="A257" t="str">
        <f ca="1">IFERROR(__xludf.DUMMYFUNCTION("""COMPUTED_VALUE"""),"Junus")</f>
        <v>Junus</v>
      </c>
      <c r="B257" t="str">
        <f ca="1">IFERROR(__xludf.DUMMYFUNCTION("""COMPUTED_VALUE"""),"Widjaja")</f>
        <v>Widjaja</v>
      </c>
      <c r="C257" t="str">
        <f ca="1">IFERROR(__xludf.DUMMYFUNCTION("""COMPUTED_VALUE"""),"Junus@ymailx.com")</f>
        <v>Junus@ymailx.com</v>
      </c>
      <c r="D257" t="str">
        <f ca="1">IFERROR(__xludf.DUMMYFUNCTION("""COMPUTED_VALUE"""),"Palu")</f>
        <v>Palu</v>
      </c>
      <c r="E257" s="12">
        <f ca="1">IFERROR(__xludf.DUMMYFUNCTION("""COMPUTED_VALUE"""),43172)</f>
        <v>43172</v>
      </c>
      <c r="F257" t="str">
        <f ca="1">IFERROR(__xludf.DUMMYFUNCTION("""COMPUTED_VALUE"""),"KP0150BH")</f>
        <v>KP0150BH</v>
      </c>
      <c r="G257" s="11">
        <f ca="1">IFERROR(__xludf.DUMMYFUNCTION("""COMPUTED_VALUE"""),216000000)</f>
        <v>216000000</v>
      </c>
      <c r="H257">
        <f ca="1">IFERROR(__xludf.DUMMYFUNCTION("""COMPUTED_VALUE"""),35573)</f>
        <v>35573</v>
      </c>
      <c r="I257">
        <f ca="1">IFERROR(__xludf.DUMMYFUNCTION("""COMPUTED_VALUE"""),8)</f>
        <v>8</v>
      </c>
      <c r="J257" t="str">
        <f ca="1">IFERROR(__xludf.DUMMYFUNCTION("""COMPUTED_VALUE"""),"N/A")</f>
        <v>N/A</v>
      </c>
      <c r="K257" t="str">
        <f ca="1">IFERROR(__xludf.DUMMYFUNCTION("""COMPUTED_VALUE"""),"JENT")</f>
        <v>JENT</v>
      </c>
      <c r="L257" t="str">
        <f ca="1">IFERROR(__xludf.DUMMYFUNCTION("""COMPUTED_VALUE"""),"Y")</f>
        <v>Y</v>
      </c>
      <c r="M257" t="str">
        <f ca="1">IFERROR(__xludf.DUMMYFUNCTION("""COMPUTED_VALUE"""),"Lq-280")</f>
        <v>Lq-280</v>
      </c>
    </row>
    <row r="258" spans="1:13" ht="12.5" x14ac:dyDescent="0.25">
      <c r="A258" t="str">
        <f ca="1">IFERROR(__xludf.DUMMYFUNCTION("""COMPUTED_VALUE"""),"Ichsanuddin")</f>
        <v>Ichsanuddin</v>
      </c>
      <c r="B258" t="str">
        <f ca="1">IFERROR(__xludf.DUMMYFUNCTION("""COMPUTED_VALUE"""),"Suhendra")</f>
        <v>Suhendra</v>
      </c>
      <c r="C258" t="str">
        <f ca="1">IFERROR(__xludf.DUMMYFUNCTION("""COMPUTED_VALUE"""),"Suhendra@ymailx.com")</f>
        <v>Suhendra@ymailx.com</v>
      </c>
      <c r="D258" t="str">
        <f ca="1">IFERROR(__xludf.DUMMYFUNCTION("""COMPUTED_VALUE"""),"Tanjungpinang")</f>
        <v>Tanjungpinang</v>
      </c>
      <c r="E258" s="12">
        <f ca="1">IFERROR(__xludf.DUMMYFUNCTION("""COMPUTED_VALUE"""),43407)</f>
        <v>43407</v>
      </c>
      <c r="F258" t="str">
        <f ca="1">IFERROR(__xludf.DUMMYFUNCTION("""COMPUTED_VALUE"""),"KP0225BB")</f>
        <v>KP0225BB</v>
      </c>
      <c r="G258" s="11">
        <f ca="1">IFERROR(__xludf.DUMMYFUNCTION("""COMPUTED_VALUE"""),100000000)</f>
        <v>100000000</v>
      </c>
      <c r="H258">
        <f ca="1">IFERROR(__xludf.DUMMYFUNCTION("""COMPUTED_VALUE"""),35355)</f>
        <v>35355</v>
      </c>
      <c r="I258">
        <f ca="1">IFERROR(__xludf.DUMMYFUNCTION("""COMPUTED_VALUE"""),10)</f>
        <v>10</v>
      </c>
      <c r="J258">
        <f ca="1">IFERROR(__xludf.DUMMYFUNCTION("""COMPUTED_VALUE"""),4)</f>
        <v>4</v>
      </c>
      <c r="K258" t="str">
        <f ca="1">IFERROR(__xludf.DUMMYFUNCTION("""COMPUTED_VALUE"""),"Cepat Kirim")</f>
        <v>Cepat Kirim</v>
      </c>
      <c r="L258" t="str">
        <f ca="1">IFERROR(__xludf.DUMMYFUNCTION("""COMPUTED_VALUE"""),"Y")</f>
        <v>Y</v>
      </c>
      <c r="M258" t="str">
        <f ca="1">IFERROR(__xludf.DUMMYFUNCTION("""COMPUTED_VALUE"""),"Ak-809")</f>
        <v>Ak-809</v>
      </c>
    </row>
    <row r="259" spans="1:13" ht="12.5" x14ac:dyDescent="0.25">
      <c r="A259" t="str">
        <f ca="1">IFERROR(__xludf.DUMMYFUNCTION("""COMPUTED_VALUE"""),"Dodi")</f>
        <v>Dodi</v>
      </c>
      <c r="B259" t="str">
        <f ca="1">IFERROR(__xludf.DUMMYFUNCTION("""COMPUTED_VALUE"""),"Pramaditia")</f>
        <v>Pramaditia</v>
      </c>
      <c r="C259" t="str">
        <f ca="1">IFERROR(__xludf.DUMMYFUNCTION("""COMPUTED_VALUE"""),"Dodi@ymailx.com")</f>
        <v>Dodi@ymailx.com</v>
      </c>
      <c r="D259" t="str">
        <f ca="1">IFERROR(__xludf.DUMMYFUNCTION("""COMPUTED_VALUE"""),"Bengkulu")</f>
        <v>Bengkulu</v>
      </c>
      <c r="E259" s="12">
        <f ca="1">IFERROR(__xludf.DUMMYFUNCTION("""COMPUTED_VALUE"""),43407)</f>
        <v>43407</v>
      </c>
      <c r="F259" t="str">
        <f ca="1">IFERROR(__xludf.DUMMYFUNCTION("""COMPUTED_VALUE"""),"KP0350CF")</f>
        <v>KP0350CF</v>
      </c>
      <c r="G259" s="11">
        <f ca="1">IFERROR(__xludf.DUMMYFUNCTION("""COMPUTED_VALUE"""),315000000)</f>
        <v>315000000</v>
      </c>
      <c r="H259">
        <f ca="1">IFERROR(__xludf.DUMMYFUNCTION("""COMPUTED_VALUE"""),35727)</f>
        <v>35727</v>
      </c>
      <c r="I259">
        <f ca="1">IFERROR(__xludf.DUMMYFUNCTION("""COMPUTED_VALUE"""),9)</f>
        <v>9</v>
      </c>
      <c r="J259" t="str">
        <f ca="1">IFERROR(__xludf.DUMMYFUNCTION("""COMPUTED_VALUE"""),"N/A")</f>
        <v>N/A</v>
      </c>
      <c r="K259" t="str">
        <f ca="1">IFERROR(__xludf.DUMMYFUNCTION("""COMPUTED_VALUE"""),"Wakanda Express")</f>
        <v>Wakanda Express</v>
      </c>
      <c r="L259" t="str">
        <f ca="1">IFERROR(__xludf.DUMMYFUNCTION("""COMPUTED_VALUE"""),"Y")</f>
        <v>Y</v>
      </c>
      <c r="M259" t="str">
        <f ca="1">IFERROR(__xludf.DUMMYFUNCTION("""COMPUTED_VALUE"""),"Dt-300")</f>
        <v>Dt-300</v>
      </c>
    </row>
    <row r="260" spans="1:13" ht="12.5" x14ac:dyDescent="0.25">
      <c r="A260" t="str">
        <f ca="1">IFERROR(__xludf.DUMMYFUNCTION("""COMPUTED_VALUE"""),"Rudy")</f>
        <v>Rudy</v>
      </c>
      <c r="B260" t="str">
        <f ca="1">IFERROR(__xludf.DUMMYFUNCTION("""COMPUTED_VALUE"""),"Hartono")</f>
        <v>Hartono</v>
      </c>
      <c r="C260" t="str">
        <f ca="1">IFERROR(__xludf.DUMMYFUNCTION("""COMPUTED_VALUE"""),"Rudy@gmailx.com")</f>
        <v>Rudy@gmailx.com</v>
      </c>
      <c r="D260" t="str">
        <f ca="1">IFERROR(__xludf.DUMMYFUNCTION("""COMPUTED_VALUE"""),"Jakarta Selatan")</f>
        <v>Jakarta Selatan</v>
      </c>
      <c r="E260" s="12">
        <f ca="1">IFERROR(__xludf.DUMMYFUNCTION("""COMPUTED_VALUE"""),43376)</f>
        <v>43376</v>
      </c>
      <c r="F260" t="str">
        <f ca="1">IFERROR(__xludf.DUMMYFUNCTION("""COMPUTED_VALUE"""),"KP0750AJ")</f>
        <v>KP0750AJ</v>
      </c>
      <c r="G260" s="11">
        <f ca="1">IFERROR(__xludf.DUMMYFUNCTION("""COMPUTED_VALUE"""),180000000)</f>
        <v>180000000</v>
      </c>
      <c r="H260">
        <f ca="1">IFERROR(__xludf.DUMMYFUNCTION("""COMPUTED_VALUE"""),36794)</f>
        <v>36794</v>
      </c>
      <c r="I260">
        <f ca="1">IFERROR(__xludf.DUMMYFUNCTION("""COMPUTED_VALUE"""),10)</f>
        <v>10</v>
      </c>
      <c r="J260">
        <f ca="1">IFERROR(__xludf.DUMMYFUNCTION("""COMPUTED_VALUE"""),2)</f>
        <v>2</v>
      </c>
      <c r="K260" t="str">
        <f ca="1">IFERROR(__xludf.DUMMYFUNCTION("""COMPUTED_VALUE"""),"Swift Delivery")</f>
        <v>Swift Delivery</v>
      </c>
      <c r="L260" t="str">
        <f ca="1">IFERROR(__xludf.DUMMYFUNCTION("""COMPUTED_VALUE"""),"N")</f>
        <v>N</v>
      </c>
      <c r="M260" t="str">
        <f ca="1">IFERROR(__xludf.DUMMYFUNCTION("""COMPUTED_VALUE"""),"Er-333")</f>
        <v>Er-333</v>
      </c>
    </row>
    <row r="261" spans="1:13" ht="12.5" x14ac:dyDescent="0.25">
      <c r="A261" t="str">
        <f ca="1">IFERROR(__xludf.DUMMYFUNCTION("""COMPUTED_VALUE"""),"Hadysugani")</f>
        <v>Hadysugani</v>
      </c>
      <c r="B261" t="str">
        <f ca="1">IFERROR(__xludf.DUMMYFUNCTION("""COMPUTED_VALUE"""),"Office")</f>
        <v>Office</v>
      </c>
      <c r="C261" t="str">
        <f ca="1">IFERROR(__xludf.DUMMYFUNCTION("""COMPUTED_VALUE"""),"Hadysugani@ymailx.com")</f>
        <v>Hadysugani@ymailx.com</v>
      </c>
      <c r="D261" t="str">
        <f ca="1">IFERROR(__xludf.DUMMYFUNCTION("""COMPUTED_VALUE"""),"Subulussalam")</f>
        <v>Subulussalam</v>
      </c>
      <c r="E261" s="12">
        <f ca="1">IFERROR(__xludf.DUMMYFUNCTION("""COMPUTED_VALUE"""),43376)</f>
        <v>43376</v>
      </c>
      <c r="F261" t="str">
        <f ca="1">IFERROR(__xludf.DUMMYFUNCTION("""COMPUTED_VALUE"""),"KP0625AF")</f>
        <v>KP0625AF</v>
      </c>
      <c r="G261" s="11">
        <f ca="1">IFERROR(__xludf.DUMMYFUNCTION("""COMPUTED_VALUE"""),60000000)</f>
        <v>60000000</v>
      </c>
      <c r="H261">
        <f ca="1">IFERROR(__xludf.DUMMYFUNCTION("""COMPUTED_VALUE"""),35324)</f>
        <v>35324</v>
      </c>
      <c r="I261">
        <f ca="1">IFERROR(__xludf.DUMMYFUNCTION("""COMPUTED_VALUE"""),5)</f>
        <v>5</v>
      </c>
      <c r="J261" t="str">
        <f ca="1">IFERROR(__xludf.DUMMYFUNCTION("""COMPUTED_VALUE"""),"N/A")</f>
        <v>N/A</v>
      </c>
      <c r="K261" t="str">
        <f ca="1">IFERROR(__xludf.DUMMYFUNCTION("""COMPUTED_VALUE"""),"Wakanda Express")</f>
        <v>Wakanda Express</v>
      </c>
      <c r="L261" t="str">
        <f ca="1">IFERROR(__xludf.DUMMYFUNCTION("""COMPUTED_VALUE"""),"Y")</f>
        <v>Y</v>
      </c>
      <c r="M261" t="str">
        <f ca="1">IFERROR(__xludf.DUMMYFUNCTION("""COMPUTED_VALUE"""),"Ze-101")</f>
        <v>Ze-101</v>
      </c>
    </row>
    <row r="262" spans="1:13" ht="12.5" x14ac:dyDescent="0.25">
      <c r="A262" t="str">
        <f ca="1">IFERROR(__xludf.DUMMYFUNCTION("""COMPUTED_VALUE"""),"Handoyo")</f>
        <v>Handoyo</v>
      </c>
      <c r="B262" t="str">
        <f ca="1">IFERROR(__xludf.DUMMYFUNCTION("""COMPUTED_VALUE"""),"Tjipto")</f>
        <v>Tjipto</v>
      </c>
      <c r="C262" t="str">
        <f ca="1">IFERROR(__xludf.DUMMYFUNCTION("""COMPUTED_VALUE"""),"Handoyo@gmailx.com")</f>
        <v>Handoyo@gmailx.com</v>
      </c>
      <c r="D262" t="str">
        <f ca="1">IFERROR(__xludf.DUMMYFUNCTION("""COMPUTED_VALUE"""),"Probolinggo")</f>
        <v>Probolinggo</v>
      </c>
      <c r="E262" s="12">
        <f ca="1">IFERROR(__xludf.DUMMYFUNCTION("""COMPUTED_VALUE"""),43346)</f>
        <v>43346</v>
      </c>
      <c r="F262" t="str">
        <f ca="1">IFERROR(__xludf.DUMMYFUNCTION("""COMPUTED_VALUE"""),"KP0225BB")</f>
        <v>KP0225BB</v>
      </c>
      <c r="G262" s="11">
        <f ca="1">IFERROR(__xludf.DUMMYFUNCTION("""COMPUTED_VALUE"""),20000000)</f>
        <v>20000000</v>
      </c>
      <c r="H262">
        <f ca="1">IFERROR(__xludf.DUMMYFUNCTION("""COMPUTED_VALUE"""),36996)</f>
        <v>36996</v>
      </c>
      <c r="I262">
        <f ca="1">IFERROR(__xludf.DUMMYFUNCTION("""COMPUTED_VALUE"""),2)</f>
        <v>2</v>
      </c>
      <c r="J262" t="str">
        <f ca="1">IFERROR(__xludf.DUMMYFUNCTION("""COMPUTED_VALUE"""),"N/A")</f>
        <v>N/A</v>
      </c>
      <c r="K262" t="str">
        <f ca="1">IFERROR(__xludf.DUMMYFUNCTION("""COMPUTED_VALUE"""),"Cepat Kirim")</f>
        <v>Cepat Kirim</v>
      </c>
      <c r="L262" t="str">
        <f ca="1">IFERROR(__xludf.DUMMYFUNCTION("""COMPUTED_VALUE"""),"Y")</f>
        <v>Y</v>
      </c>
      <c r="M262" t="str">
        <f ca="1">IFERROR(__xludf.DUMMYFUNCTION("""COMPUTED_VALUE"""),"Do-123")</f>
        <v>Do-123</v>
      </c>
    </row>
    <row r="263" spans="1:13" ht="12.5" x14ac:dyDescent="0.25">
      <c r="A263" t="str">
        <f ca="1">IFERROR(__xludf.DUMMYFUNCTION("""COMPUTED_VALUE"""),"Handy")</f>
        <v>Handy</v>
      </c>
      <c r="B263" t="str">
        <f ca="1">IFERROR(__xludf.DUMMYFUNCTION("""COMPUTED_VALUE"""),"Busono")</f>
        <v>Busono</v>
      </c>
      <c r="C263" t="str">
        <f ca="1">IFERROR(__xludf.DUMMYFUNCTION("""COMPUTED_VALUE"""),"Busono@gmailx.com")</f>
        <v>Busono@gmailx.com</v>
      </c>
      <c r="D263" t="str">
        <f ca="1">IFERROR(__xludf.DUMMYFUNCTION("""COMPUTED_VALUE"""),"Tual")</f>
        <v>Tual</v>
      </c>
      <c r="E263" s="12">
        <f ca="1">IFERROR(__xludf.DUMMYFUNCTION("""COMPUTED_VALUE"""),43315)</f>
        <v>43315</v>
      </c>
      <c r="F263" t="str">
        <f ca="1">IFERROR(__xludf.DUMMYFUNCTION("""COMPUTED_VALUE"""),"KP0750AJ")</f>
        <v>KP0750AJ</v>
      </c>
      <c r="G263" s="11">
        <f ca="1">IFERROR(__xludf.DUMMYFUNCTION("""COMPUTED_VALUE"""),162000000)</f>
        <v>162000000</v>
      </c>
      <c r="H263">
        <f ca="1">IFERROR(__xludf.DUMMYFUNCTION("""COMPUTED_VALUE"""),35967)</f>
        <v>35967</v>
      </c>
      <c r="I263">
        <f ca="1">IFERROR(__xludf.DUMMYFUNCTION("""COMPUTED_VALUE"""),9)</f>
        <v>9</v>
      </c>
      <c r="J263" t="str">
        <f ca="1">IFERROR(__xludf.DUMMYFUNCTION("""COMPUTED_VALUE"""),"N/A")</f>
        <v>N/A</v>
      </c>
      <c r="K263" t="str">
        <f ca="1">IFERROR(__xludf.DUMMYFUNCTION("""COMPUTED_VALUE"""),"Swift Delivery")</f>
        <v>Swift Delivery</v>
      </c>
      <c r="L263" t="str">
        <f ca="1">IFERROR(__xludf.DUMMYFUNCTION("""COMPUTED_VALUE"""),"Y")</f>
        <v>Y</v>
      </c>
      <c r="M263" t="str">
        <f ca="1">IFERROR(__xludf.DUMMYFUNCTION("""COMPUTED_VALUE"""),"Hp-171")</f>
        <v>Hp-171</v>
      </c>
    </row>
    <row r="264" spans="1:13" ht="12.5" x14ac:dyDescent="0.25">
      <c r="A264" t="str">
        <f ca="1">IFERROR(__xludf.DUMMYFUNCTION("""COMPUTED_VALUE"""),"Myrna")</f>
        <v>Myrna</v>
      </c>
      <c r="B264" t="str">
        <f ca="1">IFERROR(__xludf.DUMMYFUNCTION("""COMPUTED_VALUE"""),"Markart")</f>
        <v>Markart</v>
      </c>
      <c r="C264" t="str">
        <f ca="1">IFERROR(__xludf.DUMMYFUNCTION("""COMPUTED_VALUE"""),"Myrna@mex.com")</f>
        <v>Myrna@mex.com</v>
      </c>
      <c r="D264" t="str">
        <f ca="1">IFERROR(__xludf.DUMMYFUNCTION("""COMPUTED_VALUE"""),"Prabumulih")</f>
        <v>Prabumulih</v>
      </c>
      <c r="E264" s="12">
        <f ca="1">IFERROR(__xludf.DUMMYFUNCTION("""COMPUTED_VALUE"""),43284)</f>
        <v>43284</v>
      </c>
      <c r="F264" t="str">
        <f ca="1">IFERROR(__xludf.DUMMYFUNCTION("""COMPUTED_VALUE"""),"KP0050AG")</f>
        <v>KP0050AG</v>
      </c>
      <c r="G264" s="11">
        <f ca="1">IFERROR(__xludf.DUMMYFUNCTION("""COMPUTED_VALUE"""),81250000)</f>
        <v>81250000</v>
      </c>
      <c r="H264">
        <f ca="1">IFERROR(__xludf.DUMMYFUNCTION("""COMPUTED_VALUE"""),35328)</f>
        <v>35328</v>
      </c>
      <c r="I264">
        <f ca="1">IFERROR(__xludf.DUMMYFUNCTION("""COMPUTED_VALUE"""),5)</f>
        <v>5</v>
      </c>
      <c r="J264">
        <f ca="1">IFERROR(__xludf.DUMMYFUNCTION("""COMPUTED_VALUE"""),4)</f>
        <v>4</v>
      </c>
      <c r="K264" t="str">
        <f ca="1">IFERROR(__xludf.DUMMYFUNCTION("""COMPUTED_VALUE"""),"JENT")</f>
        <v>JENT</v>
      </c>
      <c r="L264" t="str">
        <f ca="1">IFERROR(__xludf.DUMMYFUNCTION("""COMPUTED_VALUE"""),"N")</f>
        <v>N</v>
      </c>
      <c r="M264" t="str">
        <f ca="1">IFERROR(__xludf.DUMMYFUNCTION("""COMPUTED_VALUE"""),"Pk-661")</f>
        <v>Pk-661</v>
      </c>
    </row>
    <row r="265" spans="1:13" ht="12.5" x14ac:dyDescent="0.25">
      <c r="A265" t="str">
        <f ca="1">IFERROR(__xludf.DUMMYFUNCTION("""COMPUTED_VALUE"""),"Jessy")</f>
        <v>Jessy</v>
      </c>
      <c r="B265" t="str">
        <f ca="1">IFERROR(__xludf.DUMMYFUNCTION("""COMPUTED_VALUE"""),"M.")</f>
        <v>M.</v>
      </c>
      <c r="C265" t="str">
        <f ca="1">IFERROR(__xludf.DUMMYFUNCTION("""COMPUTED_VALUE"""),"Jessy@gmailx.com")</f>
        <v>Jessy@gmailx.com</v>
      </c>
      <c r="D265" t="str">
        <f ca="1">IFERROR(__xludf.DUMMYFUNCTION("""COMPUTED_VALUE"""),"Tangerang Selatan")</f>
        <v>Tangerang Selatan</v>
      </c>
      <c r="E265" s="12">
        <f ca="1">IFERROR(__xludf.DUMMYFUNCTION("""COMPUTED_VALUE"""),43284)</f>
        <v>43284</v>
      </c>
      <c r="F265" t="str">
        <f ca="1">IFERROR(__xludf.DUMMYFUNCTION("""COMPUTED_VALUE"""),"KP0850FB")</f>
        <v>KP0850FB</v>
      </c>
      <c r="G265" s="11">
        <f ca="1">IFERROR(__xludf.DUMMYFUNCTION("""COMPUTED_VALUE"""),126000000)</f>
        <v>126000000</v>
      </c>
      <c r="H265">
        <f ca="1">IFERROR(__xludf.DUMMYFUNCTION("""COMPUTED_VALUE"""),35826)</f>
        <v>35826</v>
      </c>
      <c r="I265">
        <f ca="1">IFERROR(__xludf.DUMMYFUNCTION("""COMPUTED_VALUE"""),6)</f>
        <v>6</v>
      </c>
      <c r="J265">
        <f ca="1">IFERROR(__xludf.DUMMYFUNCTION("""COMPUTED_VALUE"""),4)</f>
        <v>4</v>
      </c>
      <c r="K265" t="str">
        <f ca="1">IFERROR(__xludf.DUMMYFUNCTION("""COMPUTED_VALUE"""),"JENT")</f>
        <v>JENT</v>
      </c>
      <c r="L265" t="str">
        <f ca="1">IFERROR(__xludf.DUMMYFUNCTION("""COMPUTED_VALUE"""),"Y")</f>
        <v>Y</v>
      </c>
      <c r="M265" t="str">
        <f ca="1">IFERROR(__xludf.DUMMYFUNCTION("""COMPUTED_VALUE"""),"Wr-500")</f>
        <v>Wr-500</v>
      </c>
    </row>
    <row r="266" spans="1:13" ht="12.5" x14ac:dyDescent="0.25">
      <c r="A266" t="str">
        <f ca="1">IFERROR(__xludf.DUMMYFUNCTION("""COMPUTED_VALUE"""),"Lily")</f>
        <v>Lily</v>
      </c>
      <c r="B266" t="str">
        <f ca="1">IFERROR(__xludf.DUMMYFUNCTION("""COMPUTED_VALUE"""),"Tjahaja")</f>
        <v>Tjahaja</v>
      </c>
      <c r="C266" t="str">
        <f ca="1">IFERROR(__xludf.DUMMYFUNCTION("""COMPUTED_VALUE"""),"Tjahaja@gmailx.com")</f>
        <v>Tjahaja@gmailx.com</v>
      </c>
      <c r="D266" t="str">
        <f ca="1">IFERROR(__xludf.DUMMYFUNCTION("""COMPUTED_VALUE"""),"Tegal")</f>
        <v>Tegal</v>
      </c>
      <c r="E266" s="12">
        <f ca="1">IFERROR(__xludf.DUMMYFUNCTION("""COMPUTED_VALUE"""),43254)</f>
        <v>43254</v>
      </c>
      <c r="F266" t="str">
        <f ca="1">IFERROR(__xludf.DUMMYFUNCTION("""COMPUTED_VALUE"""),"KP0150BH")</f>
        <v>KP0150BH</v>
      </c>
      <c r="G266" s="11">
        <f ca="1">IFERROR(__xludf.DUMMYFUNCTION("""COMPUTED_VALUE"""),135000000)</f>
        <v>135000000</v>
      </c>
      <c r="H266">
        <f ca="1">IFERROR(__xludf.DUMMYFUNCTION("""COMPUTED_VALUE"""),36527)</f>
        <v>36527</v>
      </c>
      <c r="I266">
        <f ca="1">IFERROR(__xludf.DUMMYFUNCTION("""COMPUTED_VALUE"""),5)</f>
        <v>5</v>
      </c>
      <c r="J266" t="str">
        <f ca="1">IFERROR(__xludf.DUMMYFUNCTION("""COMPUTED_VALUE"""),"N/A")</f>
        <v>N/A</v>
      </c>
      <c r="K266" t="str">
        <f ca="1">IFERROR(__xludf.DUMMYFUNCTION("""COMPUTED_VALUE"""),"Swift Delivery")</f>
        <v>Swift Delivery</v>
      </c>
      <c r="L266" t="str">
        <f ca="1">IFERROR(__xludf.DUMMYFUNCTION("""COMPUTED_VALUE"""),"Y")</f>
        <v>Y</v>
      </c>
      <c r="M266" t="str">
        <f ca="1">IFERROR(__xludf.DUMMYFUNCTION("""COMPUTED_VALUE"""),"Qz-410")</f>
        <v>Qz-410</v>
      </c>
    </row>
    <row r="267" spans="1:13" ht="12.5" x14ac:dyDescent="0.25">
      <c r="A267" t="str">
        <f ca="1">IFERROR(__xludf.DUMMYFUNCTION("""COMPUTED_VALUE"""),"Jimmy")</f>
        <v>Jimmy</v>
      </c>
      <c r="B267" t="str">
        <f ca="1">IFERROR(__xludf.DUMMYFUNCTION("""COMPUTED_VALUE"""),"Phair")</f>
        <v>Phair</v>
      </c>
      <c r="C267" t="str">
        <f ca="1">IFERROR(__xludf.DUMMYFUNCTION("""COMPUTED_VALUE"""),"Phair@gmailx.com")</f>
        <v>Phair@gmailx.com</v>
      </c>
      <c r="D267" t="str">
        <f ca="1">IFERROR(__xludf.DUMMYFUNCTION("""COMPUTED_VALUE"""),"Solok")</f>
        <v>Solok</v>
      </c>
      <c r="E267" s="12">
        <f ca="1">IFERROR(__xludf.DUMMYFUNCTION("""COMPUTED_VALUE"""),43134)</f>
        <v>43134</v>
      </c>
      <c r="F267" t="str">
        <f ca="1">IFERROR(__xludf.DUMMYFUNCTION("""COMPUTED_VALUE"""),"KP0050AG")</f>
        <v>KP0050AG</v>
      </c>
      <c r="G267" s="11">
        <f ca="1">IFERROR(__xludf.DUMMYFUNCTION("""COMPUTED_VALUE"""),97500000)</f>
        <v>97500000</v>
      </c>
      <c r="H267">
        <f ca="1">IFERROR(__xludf.DUMMYFUNCTION("""COMPUTED_VALUE"""),35152)</f>
        <v>35152</v>
      </c>
      <c r="I267">
        <f ca="1">IFERROR(__xludf.DUMMYFUNCTION("""COMPUTED_VALUE"""),6)</f>
        <v>6</v>
      </c>
      <c r="J267" t="str">
        <f ca="1">IFERROR(__xludf.DUMMYFUNCTION("""COMPUTED_VALUE"""),"N/A")</f>
        <v>N/A</v>
      </c>
      <c r="K267" t="str">
        <f ca="1">IFERROR(__xludf.DUMMYFUNCTION("""COMPUTED_VALUE"""),"JENT")</f>
        <v>JENT</v>
      </c>
      <c r="L267" t="str">
        <f ca="1">IFERROR(__xludf.DUMMYFUNCTION("""COMPUTED_VALUE"""),"Y")</f>
        <v>Y</v>
      </c>
      <c r="M267" t="str">
        <f ca="1">IFERROR(__xludf.DUMMYFUNCTION("""COMPUTED_VALUE"""),"Yc-559")</f>
        <v>Yc-559</v>
      </c>
    </row>
    <row r="268" spans="1:13" ht="12.5" x14ac:dyDescent="0.25">
      <c r="A268" t="str">
        <f ca="1">IFERROR(__xludf.DUMMYFUNCTION("""COMPUTED_VALUE"""),"Sembodo")</f>
        <v>Sembodo</v>
      </c>
      <c r="B268" t="str">
        <f ca="1">IFERROR(__xludf.DUMMYFUNCTION("""COMPUTED_VALUE"""),"Silya")</f>
        <v>Silya</v>
      </c>
      <c r="C268" t="str">
        <f ca="1">IFERROR(__xludf.DUMMYFUNCTION("""COMPUTED_VALUE"""),"Silya@icloudx.com")</f>
        <v>Silya@icloudx.com</v>
      </c>
      <c r="D268" t="str">
        <f ca="1">IFERROR(__xludf.DUMMYFUNCTION("""COMPUTED_VALUE"""),"Dumai")</f>
        <v>Dumai</v>
      </c>
      <c r="E268" s="12">
        <f ca="1">IFERROR(__xludf.DUMMYFUNCTION("""COMPUTED_VALUE"""),43134)</f>
        <v>43134</v>
      </c>
      <c r="F268" t="str">
        <f ca="1">IFERROR(__xludf.DUMMYFUNCTION("""COMPUTED_VALUE"""),"KP0050AG")</f>
        <v>KP0050AG</v>
      </c>
      <c r="G268" s="11">
        <f ca="1">IFERROR(__xludf.DUMMYFUNCTION("""COMPUTED_VALUE"""),48750000)</f>
        <v>48750000</v>
      </c>
      <c r="H268">
        <f ca="1">IFERROR(__xludf.DUMMYFUNCTION("""COMPUTED_VALUE"""),36428)</f>
        <v>36428</v>
      </c>
      <c r="I268">
        <f ca="1">IFERROR(__xludf.DUMMYFUNCTION("""COMPUTED_VALUE"""),3)</f>
        <v>3</v>
      </c>
      <c r="J268" t="str">
        <f ca="1">IFERROR(__xludf.DUMMYFUNCTION("""COMPUTED_VALUE"""),"N/A")</f>
        <v>N/A</v>
      </c>
      <c r="K268" t="str">
        <f ca="1">IFERROR(__xludf.DUMMYFUNCTION("""COMPUTED_VALUE"""),"Swift Delivery")</f>
        <v>Swift Delivery</v>
      </c>
      <c r="L268" t="str">
        <f ca="1">IFERROR(__xludf.DUMMYFUNCTION("""COMPUTED_VALUE"""),"N")</f>
        <v>N</v>
      </c>
      <c r="M268" t="str">
        <f ca="1">IFERROR(__xludf.DUMMYFUNCTION("""COMPUTED_VALUE"""),"Yc-222")</f>
        <v>Yc-222</v>
      </c>
    </row>
    <row r="269" spans="1:13" ht="12.5" x14ac:dyDescent="0.25">
      <c r="A269" t="str">
        <f ca="1">IFERROR(__xludf.DUMMYFUNCTION("""COMPUTED_VALUE"""),"Raju")</f>
        <v>Raju</v>
      </c>
      <c r="B269" t="str">
        <f ca="1">IFERROR(__xludf.DUMMYFUNCTION("""COMPUTED_VALUE"""),"Halim")</f>
        <v>Halim</v>
      </c>
      <c r="C269" t="str">
        <f ca="1">IFERROR(__xludf.DUMMYFUNCTION("""COMPUTED_VALUE"""),"Raju@outlookx.com")</f>
        <v>Raju@outlookx.com</v>
      </c>
      <c r="D269" t="str">
        <f ca="1">IFERROR(__xludf.DUMMYFUNCTION("""COMPUTED_VALUE"""),"Sawahlunto")</f>
        <v>Sawahlunto</v>
      </c>
      <c r="E269" s="12">
        <f ca="1">IFERROR(__xludf.DUMMYFUNCTION("""COMPUTED_VALUE"""),43134)</f>
        <v>43134</v>
      </c>
      <c r="F269" t="str">
        <f ca="1">IFERROR(__xludf.DUMMYFUNCTION("""COMPUTED_VALUE"""),"KP0625AF")</f>
        <v>KP0625AF</v>
      </c>
      <c r="G269" s="11">
        <f ca="1">IFERROR(__xludf.DUMMYFUNCTION("""COMPUTED_VALUE"""),36000000)</f>
        <v>36000000</v>
      </c>
      <c r="H269">
        <f ca="1">IFERROR(__xludf.DUMMYFUNCTION("""COMPUTED_VALUE"""),35982)</f>
        <v>35982</v>
      </c>
      <c r="I269">
        <f ca="1">IFERROR(__xludf.DUMMYFUNCTION("""COMPUTED_VALUE"""),3)</f>
        <v>3</v>
      </c>
      <c r="J269">
        <f ca="1">IFERROR(__xludf.DUMMYFUNCTION("""COMPUTED_VALUE"""),3)</f>
        <v>3</v>
      </c>
      <c r="K269" t="str">
        <f ca="1">IFERROR(__xludf.DUMMYFUNCTION("""COMPUTED_VALUE"""),"Cepat Kirim")</f>
        <v>Cepat Kirim</v>
      </c>
      <c r="L269" t="str">
        <f ca="1">IFERROR(__xludf.DUMMYFUNCTION("""COMPUTED_VALUE"""),"N")</f>
        <v>N</v>
      </c>
      <c r="M269" t="str">
        <f ca="1">IFERROR(__xludf.DUMMYFUNCTION("""COMPUTED_VALUE"""),"Ic-559")</f>
        <v>Ic-559</v>
      </c>
    </row>
    <row r="270" spans="1:13" ht="12.5" x14ac:dyDescent="0.25">
      <c r="A270" t="str">
        <f ca="1">IFERROR(__xludf.DUMMYFUNCTION("""COMPUTED_VALUE"""),"Rulyani")</f>
        <v>Rulyani</v>
      </c>
      <c r="B270" t="str">
        <f ca="1">IFERROR(__xludf.DUMMYFUNCTION("""COMPUTED_VALUE"""),"Pacific")</f>
        <v>Pacific</v>
      </c>
      <c r="C270" t="str">
        <f ca="1">IFERROR(__xludf.DUMMYFUNCTION("""COMPUTED_VALUE"""),"Rulyani@mex.com")</f>
        <v>Rulyani@mex.com</v>
      </c>
      <c r="D270" t="str">
        <f ca="1">IFERROR(__xludf.DUMMYFUNCTION("""COMPUTED_VALUE"""),"Banjar")</f>
        <v>Banjar</v>
      </c>
      <c r="E270" s="12">
        <f ca="1">IFERROR(__xludf.DUMMYFUNCTION("""COMPUTED_VALUE"""),43159)</f>
        <v>43159</v>
      </c>
      <c r="F270" t="str">
        <f ca="1">IFERROR(__xludf.DUMMYFUNCTION("""COMPUTED_VALUE"""),"KP0925SG")</f>
        <v>KP0925SG</v>
      </c>
      <c r="G270" s="11">
        <f ca="1">IFERROR(__xludf.DUMMYFUNCTION("""COMPUTED_VALUE"""),150000000)</f>
        <v>150000000</v>
      </c>
      <c r="H270">
        <f ca="1">IFERROR(__xludf.DUMMYFUNCTION("""COMPUTED_VALUE"""),36420)</f>
        <v>36420</v>
      </c>
      <c r="I270">
        <f ca="1">IFERROR(__xludf.DUMMYFUNCTION("""COMPUTED_VALUE"""),10)</f>
        <v>10</v>
      </c>
      <c r="J270" t="str">
        <f ca="1">IFERROR(__xludf.DUMMYFUNCTION("""COMPUTED_VALUE"""),"N/A")</f>
        <v>N/A</v>
      </c>
      <c r="K270" t="str">
        <f ca="1">IFERROR(__xludf.DUMMYFUNCTION("""COMPUTED_VALUE"""),"JENT")</f>
        <v>JENT</v>
      </c>
      <c r="L270" t="str">
        <f ca="1">IFERROR(__xludf.DUMMYFUNCTION("""COMPUTED_VALUE"""),"N")</f>
        <v>N</v>
      </c>
      <c r="M270" t="str">
        <f ca="1">IFERROR(__xludf.DUMMYFUNCTION("""COMPUTED_VALUE"""),"Fm-409")</f>
        <v>Fm-409</v>
      </c>
    </row>
    <row r="271" spans="1:13" ht="12.5" x14ac:dyDescent="0.25">
      <c r="A271" t="str">
        <f ca="1">IFERROR(__xludf.DUMMYFUNCTION("""COMPUTED_VALUE"""),"Iskandar")</f>
        <v>Iskandar</v>
      </c>
      <c r="B271" t="str">
        <f ca="1">IFERROR(__xludf.DUMMYFUNCTION("""COMPUTED_VALUE"""),"Bisono")</f>
        <v>Bisono</v>
      </c>
      <c r="C271" t="str">
        <f ca="1">IFERROR(__xludf.DUMMYFUNCTION("""COMPUTED_VALUE"""),"Iskandar@ymailx.com")</f>
        <v>Iskandar@ymailx.com</v>
      </c>
      <c r="D271" t="str">
        <f ca="1">IFERROR(__xludf.DUMMYFUNCTION("""COMPUTED_VALUE"""),"Langsa")</f>
        <v>Langsa</v>
      </c>
      <c r="E271" s="12">
        <f ca="1">IFERROR(__xludf.DUMMYFUNCTION("""COMPUTED_VALUE"""),43158)</f>
        <v>43158</v>
      </c>
      <c r="F271" t="str">
        <f ca="1">IFERROR(__xludf.DUMMYFUNCTION("""COMPUTED_VALUE"""),"KP0750AJ")</f>
        <v>KP0750AJ</v>
      </c>
      <c r="G271" s="11">
        <f ca="1">IFERROR(__xludf.DUMMYFUNCTION("""COMPUTED_VALUE"""),36000000)</f>
        <v>36000000</v>
      </c>
      <c r="H271">
        <f ca="1">IFERROR(__xludf.DUMMYFUNCTION("""COMPUTED_VALUE"""),35090)</f>
        <v>35090</v>
      </c>
      <c r="I271">
        <f ca="1">IFERROR(__xludf.DUMMYFUNCTION("""COMPUTED_VALUE"""),2)</f>
        <v>2</v>
      </c>
      <c r="J271" t="str">
        <f ca="1">IFERROR(__xludf.DUMMYFUNCTION("""COMPUTED_VALUE"""),"N/A")</f>
        <v>N/A</v>
      </c>
      <c r="K271" t="str">
        <f ca="1">IFERROR(__xludf.DUMMYFUNCTION("""COMPUTED_VALUE"""),"JENT")</f>
        <v>JENT</v>
      </c>
      <c r="L271" t="str">
        <f ca="1">IFERROR(__xludf.DUMMYFUNCTION("""COMPUTED_VALUE"""),"Y")</f>
        <v>Y</v>
      </c>
      <c r="M271" t="str">
        <f ca="1">IFERROR(__xludf.DUMMYFUNCTION("""COMPUTED_VALUE"""),"No-101")</f>
        <v>No-101</v>
      </c>
    </row>
    <row r="272" spans="1:13" ht="12.5" x14ac:dyDescent="0.25">
      <c r="A272" t="str">
        <f ca="1">IFERROR(__xludf.DUMMYFUNCTION("""COMPUTED_VALUE"""),"Anna")</f>
        <v>Anna</v>
      </c>
      <c r="B272" t="str">
        <f ca="1">IFERROR(__xludf.DUMMYFUNCTION("""COMPUTED_VALUE"""),"Kosasih")</f>
        <v>Kosasih</v>
      </c>
      <c r="C272" t="str">
        <f ca="1">IFERROR(__xludf.DUMMYFUNCTION("""COMPUTED_VALUE"""),"Anna@gmailx.com")</f>
        <v>Anna@gmailx.com</v>
      </c>
      <c r="D272" t="str">
        <f ca="1">IFERROR(__xludf.DUMMYFUNCTION("""COMPUTED_VALUE"""),"Pontianak")</f>
        <v>Pontianak</v>
      </c>
      <c r="E272" s="12">
        <f ca="1">IFERROR(__xludf.DUMMYFUNCTION("""COMPUTED_VALUE"""),43153)</f>
        <v>43153</v>
      </c>
      <c r="F272" t="str">
        <f ca="1">IFERROR(__xludf.DUMMYFUNCTION("""COMPUTED_VALUE"""),"KP0050AG")</f>
        <v>KP0050AG</v>
      </c>
      <c r="G272" s="11">
        <f ca="1">IFERROR(__xludf.DUMMYFUNCTION("""COMPUTED_VALUE"""),162500000)</f>
        <v>162500000</v>
      </c>
      <c r="H272">
        <f ca="1">IFERROR(__xludf.DUMMYFUNCTION("""COMPUTED_VALUE"""),36641)</f>
        <v>36641</v>
      </c>
      <c r="I272">
        <f ca="1">IFERROR(__xludf.DUMMYFUNCTION("""COMPUTED_VALUE"""),10)</f>
        <v>10</v>
      </c>
      <c r="J272">
        <f ca="1">IFERROR(__xludf.DUMMYFUNCTION("""COMPUTED_VALUE"""),4)</f>
        <v>4</v>
      </c>
      <c r="K272" t="str">
        <f ca="1">IFERROR(__xludf.DUMMYFUNCTION("""COMPUTED_VALUE"""),"Wakanda Express")</f>
        <v>Wakanda Express</v>
      </c>
      <c r="L272" t="str">
        <f ca="1">IFERROR(__xludf.DUMMYFUNCTION("""COMPUTED_VALUE"""),"Y")</f>
        <v>Y</v>
      </c>
      <c r="M272" t="str">
        <f ca="1">IFERROR(__xludf.DUMMYFUNCTION("""COMPUTED_VALUE"""),"Aj-880")</f>
        <v>Aj-880</v>
      </c>
    </row>
    <row r="273" spans="1:13" ht="12.5" x14ac:dyDescent="0.25">
      <c r="A273" t="str">
        <f ca="1">IFERROR(__xludf.DUMMYFUNCTION("""COMPUTED_VALUE"""),"Le")</f>
        <v>Le</v>
      </c>
      <c r="B273" t="str">
        <f ca="1">IFERROR(__xludf.DUMMYFUNCTION("""COMPUTED_VALUE"""),"Helvani")</f>
        <v>Helvani</v>
      </c>
      <c r="C273" t="str">
        <f ca="1">IFERROR(__xludf.DUMMYFUNCTION("""COMPUTED_VALUE"""),"LE@icloudx.com")</f>
        <v>LE@icloudx.com</v>
      </c>
      <c r="D273" t="str">
        <f ca="1">IFERROR(__xludf.DUMMYFUNCTION("""COMPUTED_VALUE"""),"Batam")</f>
        <v>Batam</v>
      </c>
      <c r="E273" s="12">
        <f ca="1">IFERROR(__xludf.DUMMYFUNCTION("""COMPUTED_VALUE"""),43153)</f>
        <v>43153</v>
      </c>
      <c r="F273" t="str">
        <f ca="1">IFERROR(__xludf.DUMMYFUNCTION("""COMPUTED_VALUE"""),"KP0925SG")</f>
        <v>KP0925SG</v>
      </c>
      <c r="G273" s="11">
        <f ca="1">IFERROR(__xludf.DUMMYFUNCTION("""COMPUTED_VALUE"""),75000000)</f>
        <v>75000000</v>
      </c>
      <c r="H273">
        <f ca="1">IFERROR(__xludf.DUMMYFUNCTION("""COMPUTED_VALUE"""),35103)</f>
        <v>35103</v>
      </c>
      <c r="I273">
        <f ca="1">IFERROR(__xludf.DUMMYFUNCTION("""COMPUTED_VALUE"""),5)</f>
        <v>5</v>
      </c>
      <c r="J273" t="str">
        <f ca="1">IFERROR(__xludf.DUMMYFUNCTION("""COMPUTED_VALUE"""),"N/A")</f>
        <v>N/A</v>
      </c>
      <c r="K273" t="str">
        <f ca="1">IFERROR(__xludf.DUMMYFUNCTION("""COMPUTED_VALUE"""),"Swift Delivery")</f>
        <v>Swift Delivery</v>
      </c>
      <c r="L273" t="str">
        <f ca="1">IFERROR(__xludf.DUMMYFUNCTION("""COMPUTED_VALUE"""),"Y")</f>
        <v>Y</v>
      </c>
      <c r="M273" t="str">
        <f ca="1">IFERROR(__xludf.DUMMYFUNCTION("""COMPUTED_VALUE"""),"Qq-809")</f>
        <v>Qq-809</v>
      </c>
    </row>
    <row r="274" spans="1:13" ht="12.5" x14ac:dyDescent="0.25">
      <c r="A274" t="str">
        <f ca="1">IFERROR(__xludf.DUMMYFUNCTION("""COMPUTED_VALUE"""),"Michelle")</f>
        <v>Michelle</v>
      </c>
      <c r="B274" t="str">
        <f ca="1">IFERROR(__xludf.DUMMYFUNCTION("""COMPUTED_VALUE"""),"Soesanto")</f>
        <v>Soesanto</v>
      </c>
      <c r="C274" t="str">
        <f ca="1">IFERROR(__xludf.DUMMYFUNCTION("""COMPUTED_VALUE"""),"Soesanto@gmailx.com")</f>
        <v>Soesanto@gmailx.com</v>
      </c>
      <c r="D274" t="str">
        <f ca="1">IFERROR(__xludf.DUMMYFUNCTION("""COMPUTED_VALUE"""),"Purwokerto")</f>
        <v>Purwokerto</v>
      </c>
      <c r="E274" s="12">
        <f ca="1">IFERROR(__xludf.DUMMYFUNCTION("""COMPUTED_VALUE"""),43153)</f>
        <v>43153</v>
      </c>
      <c r="F274" t="str">
        <f ca="1">IFERROR(__xludf.DUMMYFUNCTION("""COMPUTED_VALUE"""),"KP0925SG")</f>
        <v>KP0925SG</v>
      </c>
      <c r="G274" s="11">
        <f ca="1">IFERROR(__xludf.DUMMYFUNCTION("""COMPUTED_VALUE"""),135000000)</f>
        <v>135000000</v>
      </c>
      <c r="H274">
        <f ca="1">IFERROR(__xludf.DUMMYFUNCTION("""COMPUTED_VALUE"""),36464)</f>
        <v>36464</v>
      </c>
      <c r="I274">
        <f ca="1">IFERROR(__xludf.DUMMYFUNCTION("""COMPUTED_VALUE"""),9)</f>
        <v>9</v>
      </c>
      <c r="J274" t="str">
        <f ca="1">IFERROR(__xludf.DUMMYFUNCTION("""COMPUTED_VALUE"""),"N/A")</f>
        <v>N/A</v>
      </c>
      <c r="K274" t="str">
        <f ca="1">IFERROR(__xludf.DUMMYFUNCTION("""COMPUTED_VALUE"""),"Wakanda Express")</f>
        <v>Wakanda Express</v>
      </c>
      <c r="L274" t="str">
        <f ca="1">IFERROR(__xludf.DUMMYFUNCTION("""COMPUTED_VALUE"""),"Y")</f>
        <v>Y</v>
      </c>
      <c r="M274" t="str">
        <f ca="1">IFERROR(__xludf.DUMMYFUNCTION("""COMPUTED_VALUE"""),"Eo-410")</f>
        <v>Eo-410</v>
      </c>
    </row>
    <row r="275" spans="1:13" ht="12.5" x14ac:dyDescent="0.25">
      <c r="A275" t="str">
        <f ca="1">IFERROR(__xludf.DUMMYFUNCTION("""COMPUTED_VALUE"""),"Jacub")</f>
        <v>Jacub</v>
      </c>
      <c r="B275" t="str">
        <f ca="1">IFERROR(__xludf.DUMMYFUNCTION("""COMPUTED_VALUE"""),"Sukardjo")</f>
        <v>Sukardjo</v>
      </c>
      <c r="C275" t="str">
        <f ca="1">IFERROR(__xludf.DUMMYFUNCTION("""COMPUTED_VALUE"""),"Sukardjo@gmailx.com")</f>
        <v>Sukardjo@gmailx.com</v>
      </c>
      <c r="D275" t="str">
        <f ca="1">IFERROR(__xludf.DUMMYFUNCTION("""COMPUTED_VALUE"""),"Malang")</f>
        <v>Malang</v>
      </c>
      <c r="E275" s="12">
        <f ca="1">IFERROR(__xludf.DUMMYFUNCTION("""COMPUTED_VALUE"""),43149)</f>
        <v>43149</v>
      </c>
      <c r="F275" t="str">
        <f ca="1">IFERROR(__xludf.DUMMYFUNCTION("""COMPUTED_VALUE"""),"KP0925SG")</f>
        <v>KP0925SG</v>
      </c>
      <c r="G275" s="11">
        <f ca="1">IFERROR(__xludf.DUMMYFUNCTION("""COMPUTED_VALUE"""),60000000)</f>
        <v>60000000</v>
      </c>
      <c r="H275">
        <f ca="1">IFERROR(__xludf.DUMMYFUNCTION("""COMPUTED_VALUE"""),35143)</f>
        <v>35143</v>
      </c>
      <c r="I275">
        <f ca="1">IFERROR(__xludf.DUMMYFUNCTION("""COMPUTED_VALUE"""),4)</f>
        <v>4</v>
      </c>
      <c r="J275" t="str">
        <f ca="1">IFERROR(__xludf.DUMMYFUNCTION("""COMPUTED_VALUE"""),"N/A")</f>
        <v>N/A</v>
      </c>
      <c r="K275" t="str">
        <f ca="1">IFERROR(__xludf.DUMMYFUNCTION("""COMPUTED_VALUE"""),"Wakanda Express")</f>
        <v>Wakanda Express</v>
      </c>
      <c r="L275" t="str">
        <f ca="1">IFERROR(__xludf.DUMMYFUNCTION("""COMPUTED_VALUE"""),"Y")</f>
        <v>Y</v>
      </c>
      <c r="M275" t="str">
        <f ca="1">IFERROR(__xludf.DUMMYFUNCTION("""COMPUTED_VALUE"""),"Hx-123")</f>
        <v>Hx-123</v>
      </c>
    </row>
    <row r="276" spans="1:13" ht="12.5" x14ac:dyDescent="0.25">
      <c r="A276" t="str">
        <f ca="1">IFERROR(__xludf.DUMMYFUNCTION("""COMPUTED_VALUE"""),"Ng")</f>
        <v>Ng</v>
      </c>
      <c r="B276" t="str">
        <f ca="1">IFERROR(__xludf.DUMMYFUNCTION("""COMPUTED_VALUE"""),"Wibowo")</f>
        <v>Wibowo</v>
      </c>
      <c r="C276" t="str">
        <f ca="1">IFERROR(__xludf.DUMMYFUNCTION("""COMPUTED_VALUE"""),"NG@icloudx.com")</f>
        <v>NG@icloudx.com</v>
      </c>
      <c r="D276" t="str">
        <f ca="1">IFERROR(__xludf.DUMMYFUNCTION("""COMPUTED_VALUE"""),"Sorong")</f>
        <v>Sorong</v>
      </c>
      <c r="E276" s="12">
        <f ca="1">IFERROR(__xludf.DUMMYFUNCTION("""COMPUTED_VALUE"""),43148)</f>
        <v>43148</v>
      </c>
      <c r="F276" t="str">
        <f ca="1">IFERROR(__xludf.DUMMYFUNCTION("""COMPUTED_VALUE"""),"KP0750AJ")</f>
        <v>KP0750AJ</v>
      </c>
      <c r="G276" s="11">
        <f ca="1">IFERROR(__xludf.DUMMYFUNCTION("""COMPUTED_VALUE"""),54000000)</f>
        <v>54000000</v>
      </c>
      <c r="H276">
        <f ca="1">IFERROR(__xludf.DUMMYFUNCTION("""COMPUTED_VALUE"""),35086)</f>
        <v>35086</v>
      </c>
      <c r="I276">
        <f ca="1">IFERROR(__xludf.DUMMYFUNCTION("""COMPUTED_VALUE"""),3)</f>
        <v>3</v>
      </c>
      <c r="J276" t="str">
        <f ca="1">IFERROR(__xludf.DUMMYFUNCTION("""COMPUTED_VALUE"""),"N/A")</f>
        <v>N/A</v>
      </c>
      <c r="K276" t="str">
        <f ca="1">IFERROR(__xludf.DUMMYFUNCTION("""COMPUTED_VALUE"""),"Cepat Kirim")</f>
        <v>Cepat Kirim</v>
      </c>
      <c r="L276" t="str">
        <f ca="1">IFERROR(__xludf.DUMMYFUNCTION("""COMPUTED_VALUE"""),"N")</f>
        <v>N</v>
      </c>
      <c r="M276" t="str">
        <f ca="1">IFERROR(__xludf.DUMMYFUNCTION("""COMPUTED_VALUE"""),"Cf-999")</f>
        <v>Cf-999</v>
      </c>
    </row>
    <row r="277" spans="1:13" ht="12.5" x14ac:dyDescent="0.25">
      <c r="A277" t="str">
        <f ca="1">IFERROR(__xludf.DUMMYFUNCTION("""COMPUTED_VALUE"""),"Krishnan")</f>
        <v>Krishnan</v>
      </c>
      <c r="B277" t="str">
        <f ca="1">IFERROR(__xludf.DUMMYFUNCTION("""COMPUTED_VALUE"""),"Jusuf")</f>
        <v>Jusuf</v>
      </c>
      <c r="C277" t="str">
        <f ca="1">IFERROR(__xludf.DUMMYFUNCTION("""COMPUTED_VALUE"""),"Krishnan@gmailx.com")</f>
        <v>Krishnan@gmailx.com</v>
      </c>
      <c r="D277" t="str">
        <f ca="1">IFERROR(__xludf.DUMMYFUNCTION("""COMPUTED_VALUE"""),"Sungai Penuh")</f>
        <v>Sungai Penuh</v>
      </c>
      <c r="E277" s="12">
        <f ca="1">IFERROR(__xludf.DUMMYFUNCTION("""COMPUTED_VALUE"""),43147)</f>
        <v>43147</v>
      </c>
      <c r="F277" t="str">
        <f ca="1">IFERROR(__xludf.DUMMYFUNCTION("""COMPUTED_VALUE"""),"KP0150BH")</f>
        <v>KP0150BH</v>
      </c>
      <c r="G277" s="11">
        <f ca="1">IFERROR(__xludf.DUMMYFUNCTION("""COMPUTED_VALUE"""),270000000)</f>
        <v>270000000</v>
      </c>
      <c r="H277">
        <f ca="1">IFERROR(__xludf.DUMMYFUNCTION("""COMPUTED_VALUE"""),35192)</f>
        <v>35192</v>
      </c>
      <c r="I277">
        <f ca="1">IFERROR(__xludf.DUMMYFUNCTION("""COMPUTED_VALUE"""),10)</f>
        <v>10</v>
      </c>
      <c r="J277" t="str">
        <f ca="1">IFERROR(__xludf.DUMMYFUNCTION("""COMPUTED_VALUE"""),"N/A")</f>
        <v>N/A</v>
      </c>
      <c r="K277" t="str">
        <f ca="1">IFERROR(__xludf.DUMMYFUNCTION("""COMPUTED_VALUE"""),"Pru Logistic")</f>
        <v>Pru Logistic</v>
      </c>
      <c r="L277" t="str">
        <f ca="1">IFERROR(__xludf.DUMMYFUNCTION("""COMPUTED_VALUE"""),"Y")</f>
        <v>Y</v>
      </c>
      <c r="M277" t="str">
        <f ca="1">IFERROR(__xludf.DUMMYFUNCTION("""COMPUTED_VALUE"""),"Nw-512")</f>
        <v>Nw-512</v>
      </c>
    </row>
    <row r="278" spans="1:13" ht="12.5" x14ac:dyDescent="0.25">
      <c r="A278" t="str">
        <f ca="1">IFERROR(__xludf.DUMMYFUNCTION("""COMPUTED_VALUE"""),"Omar")</f>
        <v>Omar</v>
      </c>
      <c r="B278" t="str">
        <f ca="1">IFERROR(__xludf.DUMMYFUNCTION("""COMPUTED_VALUE"""),"Golfiani")</f>
        <v>Golfiani</v>
      </c>
      <c r="C278" t="str">
        <f ca="1">IFERROR(__xludf.DUMMYFUNCTION("""COMPUTED_VALUE"""),"GOLFIANI@ymailx.com")</f>
        <v>GOLFIANI@ymailx.com</v>
      </c>
      <c r="D278" t="str">
        <f ca="1">IFERROR(__xludf.DUMMYFUNCTION("""COMPUTED_VALUE"""),"Bukittinggi")</f>
        <v>Bukittinggi</v>
      </c>
      <c r="E278" s="12">
        <f ca="1">IFERROR(__xludf.DUMMYFUNCTION("""COMPUTED_VALUE"""),43147)</f>
        <v>43147</v>
      </c>
      <c r="F278" t="str">
        <f ca="1">IFERROR(__xludf.DUMMYFUNCTION("""COMPUTED_VALUE"""),"KP0350CF")</f>
        <v>KP0350CF</v>
      </c>
      <c r="G278" s="11">
        <f ca="1">IFERROR(__xludf.DUMMYFUNCTION("""COMPUTED_VALUE"""),280000000)</f>
        <v>280000000</v>
      </c>
      <c r="H278">
        <f ca="1">IFERROR(__xludf.DUMMYFUNCTION("""COMPUTED_VALUE"""),36247)</f>
        <v>36247</v>
      </c>
      <c r="I278">
        <f ca="1">IFERROR(__xludf.DUMMYFUNCTION("""COMPUTED_VALUE"""),8)</f>
        <v>8</v>
      </c>
      <c r="J278" t="str">
        <f ca="1">IFERROR(__xludf.DUMMYFUNCTION("""COMPUTED_VALUE"""),"N/A")</f>
        <v>N/A</v>
      </c>
      <c r="K278" t="str">
        <f ca="1">IFERROR(__xludf.DUMMYFUNCTION("""COMPUTED_VALUE"""),"Wakanda Express")</f>
        <v>Wakanda Express</v>
      </c>
      <c r="L278" t="str">
        <f ca="1">IFERROR(__xludf.DUMMYFUNCTION("""COMPUTED_VALUE"""),"N")</f>
        <v>N</v>
      </c>
      <c r="M278" t="str">
        <f ca="1">IFERROR(__xludf.DUMMYFUNCTION("""COMPUTED_VALUE"""),"Xt-559")</f>
        <v>Xt-559</v>
      </c>
    </row>
    <row r="279" spans="1:13" ht="12.5" x14ac:dyDescent="0.25">
      <c r="A279" t="str">
        <f ca="1">IFERROR(__xludf.DUMMYFUNCTION("""COMPUTED_VALUE"""),"Linda")</f>
        <v>Linda</v>
      </c>
      <c r="B279" t="str">
        <f ca="1">IFERROR(__xludf.DUMMYFUNCTION("""COMPUTED_VALUE"""),"Unjoto")</f>
        <v>Unjoto</v>
      </c>
      <c r="C279" t="str">
        <f ca="1">IFERROR(__xludf.DUMMYFUNCTION("""COMPUTED_VALUE"""),"Linda@gmailx.com")</f>
        <v>Linda@gmailx.com</v>
      </c>
      <c r="D279" t="str">
        <f ca="1">IFERROR(__xludf.DUMMYFUNCTION("""COMPUTED_VALUE"""),"Magelang")</f>
        <v>Magelang</v>
      </c>
      <c r="E279" s="12">
        <f ca="1">IFERROR(__xludf.DUMMYFUNCTION("""COMPUTED_VALUE"""),43147)</f>
        <v>43147</v>
      </c>
      <c r="F279" t="str">
        <f ca="1">IFERROR(__xludf.DUMMYFUNCTION("""COMPUTED_VALUE"""),"KP0750AJ")</f>
        <v>KP0750AJ</v>
      </c>
      <c r="G279" s="11">
        <f ca="1">IFERROR(__xludf.DUMMYFUNCTION("""COMPUTED_VALUE"""),36000000)</f>
        <v>36000000</v>
      </c>
      <c r="H279">
        <f ca="1">IFERROR(__xludf.DUMMYFUNCTION("""COMPUTED_VALUE"""),35768)</f>
        <v>35768</v>
      </c>
      <c r="I279">
        <f ca="1">IFERROR(__xludf.DUMMYFUNCTION("""COMPUTED_VALUE"""),2)</f>
        <v>2</v>
      </c>
      <c r="J279">
        <f ca="1">IFERROR(__xludf.DUMMYFUNCTION("""COMPUTED_VALUE"""),1)</f>
        <v>1</v>
      </c>
      <c r="K279" t="str">
        <f ca="1">IFERROR(__xludf.DUMMYFUNCTION("""COMPUTED_VALUE"""),"JENT")</f>
        <v>JENT</v>
      </c>
      <c r="L279" t="str">
        <f ca="1">IFERROR(__xludf.DUMMYFUNCTION("""COMPUTED_VALUE"""),"Y")</f>
        <v>Y</v>
      </c>
      <c r="M279" t="str">
        <f ca="1">IFERROR(__xludf.DUMMYFUNCTION("""COMPUTED_VALUE"""),"Vm-410")</f>
        <v>Vm-410</v>
      </c>
    </row>
    <row r="280" spans="1:13" ht="12.5" x14ac:dyDescent="0.25">
      <c r="A280" t="str">
        <f ca="1">IFERROR(__xludf.DUMMYFUNCTION("""COMPUTED_VALUE"""),"Arniaty")</f>
        <v>Arniaty</v>
      </c>
      <c r="B280" t="str">
        <f ca="1">IFERROR(__xludf.DUMMYFUNCTION("""COMPUTED_VALUE"""),"Surya")</f>
        <v>Surya</v>
      </c>
      <c r="C280" t="str">
        <f ca="1">IFERROR(__xludf.DUMMYFUNCTION("""COMPUTED_VALUE"""),"SURYA@livex.com")</f>
        <v>SURYA@livex.com</v>
      </c>
      <c r="D280" t="str">
        <f ca="1">IFERROR(__xludf.DUMMYFUNCTION("""COMPUTED_VALUE"""),"Tarakan")</f>
        <v>Tarakan</v>
      </c>
      <c r="E280" s="12">
        <f ca="1">IFERROR(__xludf.DUMMYFUNCTION("""COMPUTED_VALUE"""),43146)</f>
        <v>43146</v>
      </c>
      <c r="F280" t="str">
        <f ca="1">IFERROR(__xludf.DUMMYFUNCTION("""COMPUTED_VALUE"""),"KP0850FB")</f>
        <v>KP0850FB</v>
      </c>
      <c r="G280" s="11">
        <f ca="1">IFERROR(__xludf.DUMMYFUNCTION("""COMPUTED_VALUE"""),147000000)</f>
        <v>147000000</v>
      </c>
      <c r="H280">
        <f ca="1">IFERROR(__xludf.DUMMYFUNCTION("""COMPUTED_VALUE"""),36655)</f>
        <v>36655</v>
      </c>
      <c r="I280">
        <f ca="1">IFERROR(__xludf.DUMMYFUNCTION("""COMPUTED_VALUE"""),7)</f>
        <v>7</v>
      </c>
      <c r="J280">
        <f ca="1">IFERROR(__xludf.DUMMYFUNCTION("""COMPUTED_VALUE"""),2)</f>
        <v>2</v>
      </c>
      <c r="K280" t="str">
        <f ca="1">IFERROR(__xludf.DUMMYFUNCTION("""COMPUTED_VALUE"""),"Swift Delivery")</f>
        <v>Swift Delivery</v>
      </c>
      <c r="L280" t="str">
        <f ca="1">IFERROR(__xludf.DUMMYFUNCTION("""COMPUTED_VALUE"""),"Y")</f>
        <v>Y</v>
      </c>
      <c r="M280" t="str">
        <f ca="1">IFERROR(__xludf.DUMMYFUNCTION("""COMPUTED_VALUE"""),"Gw-994")</f>
        <v>Gw-994</v>
      </c>
    </row>
    <row r="281" spans="1:13" ht="12.5" x14ac:dyDescent="0.25">
      <c r="A281" t="str">
        <f ca="1">IFERROR(__xludf.DUMMYFUNCTION("""COMPUTED_VALUE"""),"Gareth")</f>
        <v>Gareth</v>
      </c>
      <c r="B281" t="str">
        <f ca="1">IFERROR(__xludf.DUMMYFUNCTION("""COMPUTED_VALUE"""),"Wijaya")</f>
        <v>Wijaya</v>
      </c>
      <c r="C281" t="str">
        <f ca="1">IFERROR(__xludf.DUMMYFUNCTION("""COMPUTED_VALUE"""),"Wijaya@icloudx.com")</f>
        <v>Wijaya@icloudx.com</v>
      </c>
      <c r="D281" t="str">
        <f ca="1">IFERROR(__xludf.DUMMYFUNCTION("""COMPUTED_VALUE"""),"Tangerang Selatan")</f>
        <v>Tangerang Selatan</v>
      </c>
      <c r="E281" s="12">
        <f ca="1">IFERROR(__xludf.DUMMYFUNCTION("""COMPUTED_VALUE"""),43144)</f>
        <v>43144</v>
      </c>
      <c r="F281" t="str">
        <f ca="1">IFERROR(__xludf.DUMMYFUNCTION("""COMPUTED_VALUE"""),"KP0925SG")</f>
        <v>KP0925SG</v>
      </c>
      <c r="G281" s="11">
        <f ca="1">IFERROR(__xludf.DUMMYFUNCTION("""COMPUTED_VALUE"""),135000000)</f>
        <v>135000000</v>
      </c>
      <c r="H281">
        <f ca="1">IFERROR(__xludf.DUMMYFUNCTION("""COMPUTED_VALUE"""),35813)</f>
        <v>35813</v>
      </c>
      <c r="I281">
        <f ca="1">IFERROR(__xludf.DUMMYFUNCTION("""COMPUTED_VALUE"""),9)</f>
        <v>9</v>
      </c>
      <c r="J281" t="str">
        <f ca="1">IFERROR(__xludf.DUMMYFUNCTION("""COMPUTED_VALUE"""),"N/A")</f>
        <v>N/A</v>
      </c>
      <c r="K281" t="str">
        <f ca="1">IFERROR(__xludf.DUMMYFUNCTION("""COMPUTED_VALUE"""),"Wakanda Express")</f>
        <v>Wakanda Express</v>
      </c>
      <c r="L281" t="str">
        <f ca="1">IFERROR(__xludf.DUMMYFUNCTION("""COMPUTED_VALUE"""),"Y")</f>
        <v>Y</v>
      </c>
      <c r="M281" t="str">
        <f ca="1">IFERROR(__xludf.DUMMYFUNCTION("""COMPUTED_VALUE"""),"Rj-500")</f>
        <v>Rj-500</v>
      </c>
    </row>
    <row r="282" spans="1:13" ht="12.5" x14ac:dyDescent="0.25">
      <c r="A282" t="str">
        <f ca="1">IFERROR(__xludf.DUMMYFUNCTION("""COMPUTED_VALUE"""),"Andang")</f>
        <v>Andang</v>
      </c>
      <c r="B282" t="str">
        <f ca="1">IFERROR(__xludf.DUMMYFUNCTION("""COMPUTED_VALUE"""),"Stratton")</f>
        <v>Stratton</v>
      </c>
      <c r="C282" t="str">
        <f ca="1">IFERROR(__xludf.DUMMYFUNCTION("""COMPUTED_VALUE"""),"Andang@livex.com")</f>
        <v>Andang@livex.com</v>
      </c>
      <c r="D282" t="str">
        <f ca="1">IFERROR(__xludf.DUMMYFUNCTION("""COMPUTED_VALUE"""),"Mojokerto")</f>
        <v>Mojokerto</v>
      </c>
      <c r="E282" s="12">
        <f ca="1">IFERROR(__xludf.DUMMYFUNCTION("""COMPUTED_VALUE"""),43144)</f>
        <v>43144</v>
      </c>
      <c r="F282" t="str">
        <f ca="1">IFERROR(__xludf.DUMMYFUNCTION("""COMPUTED_VALUE"""),"KP0750AJ")</f>
        <v>KP0750AJ</v>
      </c>
      <c r="G282" s="11">
        <f ca="1">IFERROR(__xludf.DUMMYFUNCTION("""COMPUTED_VALUE"""),36000000)</f>
        <v>36000000</v>
      </c>
      <c r="H282">
        <f ca="1">IFERROR(__xludf.DUMMYFUNCTION("""COMPUTED_VALUE"""),35096)</f>
        <v>35096</v>
      </c>
      <c r="I282">
        <f ca="1">IFERROR(__xludf.DUMMYFUNCTION("""COMPUTED_VALUE"""),2)</f>
        <v>2</v>
      </c>
      <c r="J282" t="str">
        <f ca="1">IFERROR(__xludf.DUMMYFUNCTION("""COMPUTED_VALUE"""),"N/A")</f>
        <v>N/A</v>
      </c>
      <c r="K282" t="str">
        <f ca="1">IFERROR(__xludf.DUMMYFUNCTION("""COMPUTED_VALUE"""),"Pru Logistic")</f>
        <v>Pru Logistic</v>
      </c>
      <c r="L282" t="str">
        <f ca="1">IFERROR(__xludf.DUMMYFUNCTION("""COMPUTED_VALUE"""),"Y")</f>
        <v>Y</v>
      </c>
      <c r="M282" t="str">
        <f ca="1">IFERROR(__xludf.DUMMYFUNCTION("""COMPUTED_VALUE"""),"Xs-123")</f>
        <v>Xs-123</v>
      </c>
    </row>
    <row r="283" spans="1:13" ht="12.5" x14ac:dyDescent="0.25">
      <c r="A283" t="str">
        <f ca="1">IFERROR(__xludf.DUMMYFUNCTION("""COMPUTED_VALUE"""),"Jose")</f>
        <v>Jose</v>
      </c>
      <c r="B283" t="str">
        <f ca="1">IFERROR(__xludf.DUMMYFUNCTION("""COMPUTED_VALUE"""),"And")</f>
        <v>And</v>
      </c>
      <c r="C283" t="str">
        <f ca="1">IFERROR(__xludf.DUMMYFUNCTION("""COMPUTED_VALUE"""),"and@ymailx.com")</f>
        <v>and@ymailx.com</v>
      </c>
      <c r="D283" t="str">
        <f ca="1">IFERROR(__xludf.DUMMYFUNCTION("""COMPUTED_VALUE"""),"Manado")</f>
        <v>Manado</v>
      </c>
      <c r="E283" s="12">
        <f ca="1">IFERROR(__xludf.DUMMYFUNCTION("""COMPUTED_VALUE"""),43436)</f>
        <v>43436</v>
      </c>
      <c r="F283" t="str">
        <f ca="1">IFERROR(__xludf.DUMMYFUNCTION("""COMPUTED_VALUE"""),"KP0750AJ")</f>
        <v>KP0750AJ</v>
      </c>
      <c r="G283" s="11">
        <f ca="1">IFERROR(__xludf.DUMMYFUNCTION("""COMPUTED_VALUE"""),90000000)</f>
        <v>90000000</v>
      </c>
      <c r="H283">
        <f ca="1">IFERROR(__xludf.DUMMYFUNCTION("""COMPUTED_VALUE"""),35950)</f>
        <v>35950</v>
      </c>
      <c r="I283">
        <f ca="1">IFERROR(__xludf.DUMMYFUNCTION("""COMPUTED_VALUE"""),5)</f>
        <v>5</v>
      </c>
      <c r="J283">
        <f ca="1">IFERROR(__xludf.DUMMYFUNCTION("""COMPUTED_VALUE"""),4)</f>
        <v>4</v>
      </c>
      <c r="K283" t="str">
        <f ca="1">IFERROR(__xludf.DUMMYFUNCTION("""COMPUTED_VALUE"""),"JENT")</f>
        <v>JENT</v>
      </c>
      <c r="L283" t="str">
        <f ca="1">IFERROR(__xludf.DUMMYFUNCTION("""COMPUTED_VALUE"""),"Y")</f>
        <v>Y</v>
      </c>
      <c r="M283" t="str">
        <f ca="1">IFERROR(__xludf.DUMMYFUNCTION("""COMPUTED_VALUE"""),"Mm-221")</f>
        <v>Mm-221</v>
      </c>
    </row>
    <row r="284" spans="1:13" ht="12.5" x14ac:dyDescent="0.25">
      <c r="A284" t="str">
        <f ca="1">IFERROR(__xludf.DUMMYFUNCTION("""COMPUTED_VALUE"""),"Ismail")</f>
        <v>Ismail</v>
      </c>
      <c r="B284" t="str">
        <f ca="1">IFERROR(__xludf.DUMMYFUNCTION("""COMPUTED_VALUE"""),"Mulio")</f>
        <v>Mulio</v>
      </c>
      <c r="C284" t="str">
        <f ca="1">IFERROR(__xludf.DUMMYFUNCTION("""COMPUTED_VALUE"""),"Ismail@ymailx.com")</f>
        <v>Ismail@ymailx.com</v>
      </c>
      <c r="D284" t="str">
        <f ca="1">IFERROR(__xludf.DUMMYFUNCTION("""COMPUTED_VALUE"""),"Bengkulu")</f>
        <v>Bengkulu</v>
      </c>
      <c r="E284" s="12">
        <f ca="1">IFERROR(__xludf.DUMMYFUNCTION("""COMPUTED_VALUE"""),43375)</f>
        <v>43375</v>
      </c>
      <c r="F284" t="str">
        <f ca="1">IFERROR(__xludf.DUMMYFUNCTION("""COMPUTED_VALUE"""),"KP0850FB")</f>
        <v>KP0850FB</v>
      </c>
      <c r="G284" s="11">
        <f ca="1">IFERROR(__xludf.DUMMYFUNCTION("""COMPUTED_VALUE"""),105000000)</f>
        <v>105000000</v>
      </c>
      <c r="H284">
        <f ca="1">IFERROR(__xludf.DUMMYFUNCTION("""COMPUTED_VALUE"""),36955)</f>
        <v>36955</v>
      </c>
      <c r="I284">
        <f ca="1">IFERROR(__xludf.DUMMYFUNCTION("""COMPUTED_VALUE"""),5)</f>
        <v>5</v>
      </c>
      <c r="J284">
        <f ca="1">IFERROR(__xludf.DUMMYFUNCTION("""COMPUTED_VALUE"""),4)</f>
        <v>4</v>
      </c>
      <c r="K284" t="str">
        <f ca="1">IFERROR(__xludf.DUMMYFUNCTION("""COMPUTED_VALUE"""),"Wakanda Express")</f>
        <v>Wakanda Express</v>
      </c>
      <c r="L284" t="str">
        <f ca="1">IFERROR(__xludf.DUMMYFUNCTION("""COMPUTED_VALUE"""),"Y")</f>
        <v>Y</v>
      </c>
      <c r="M284" t="str">
        <f ca="1">IFERROR(__xludf.DUMMYFUNCTION("""COMPUTED_VALUE"""),"Ek-300")</f>
        <v>Ek-300</v>
      </c>
    </row>
    <row r="285" spans="1:13" ht="12.5" x14ac:dyDescent="0.25">
      <c r="A285" t="str">
        <f ca="1">IFERROR(__xludf.DUMMYFUNCTION("""COMPUTED_VALUE"""),"Levi")</f>
        <v>Levi</v>
      </c>
      <c r="B285" t="str">
        <f ca="1">IFERROR(__xludf.DUMMYFUNCTION("""COMPUTED_VALUE"""),"Stephana")</f>
        <v>Stephana</v>
      </c>
      <c r="C285" t="str">
        <f ca="1">IFERROR(__xludf.DUMMYFUNCTION("""COMPUTED_VALUE"""),"Stephana@gmailx.com")</f>
        <v>Stephana@gmailx.com</v>
      </c>
      <c r="D285" t="str">
        <f ca="1">IFERROR(__xludf.DUMMYFUNCTION("""COMPUTED_VALUE"""),"Pontianak")</f>
        <v>Pontianak</v>
      </c>
      <c r="E285" s="12">
        <f ca="1">IFERROR(__xludf.DUMMYFUNCTION("""COMPUTED_VALUE"""),43314)</f>
        <v>43314</v>
      </c>
      <c r="F285" t="str">
        <f ca="1">IFERROR(__xludf.DUMMYFUNCTION("""COMPUTED_VALUE"""),"KP0750AJ")</f>
        <v>KP0750AJ</v>
      </c>
      <c r="G285" s="11">
        <f ca="1">IFERROR(__xludf.DUMMYFUNCTION("""COMPUTED_VALUE"""),108000000)</f>
        <v>108000000</v>
      </c>
      <c r="H285">
        <f ca="1">IFERROR(__xludf.DUMMYFUNCTION("""COMPUTED_VALUE"""),36216)</f>
        <v>36216</v>
      </c>
      <c r="I285">
        <f ca="1">IFERROR(__xludf.DUMMYFUNCTION("""COMPUTED_VALUE"""),6)</f>
        <v>6</v>
      </c>
      <c r="J285">
        <f ca="1">IFERROR(__xludf.DUMMYFUNCTION("""COMPUTED_VALUE"""),4)</f>
        <v>4</v>
      </c>
      <c r="K285" t="str">
        <f ca="1">IFERROR(__xludf.DUMMYFUNCTION("""COMPUTED_VALUE"""),"Wakanda Express")</f>
        <v>Wakanda Express</v>
      </c>
      <c r="L285" t="str">
        <f ca="1">IFERROR(__xludf.DUMMYFUNCTION("""COMPUTED_VALUE"""),"Y")</f>
        <v>Y</v>
      </c>
      <c r="M285" t="str">
        <f ca="1">IFERROR(__xludf.DUMMYFUNCTION("""COMPUTED_VALUE"""),"Ik-880")</f>
        <v>Ik-880</v>
      </c>
    </row>
    <row r="286" spans="1:13" ht="12.5" x14ac:dyDescent="0.25">
      <c r="A286" t="str">
        <f ca="1">IFERROR(__xludf.DUMMYFUNCTION("""COMPUTED_VALUE"""),"Bambang")</f>
        <v>Bambang</v>
      </c>
      <c r="B286" t="str">
        <f ca="1">IFERROR(__xludf.DUMMYFUNCTION("""COMPUTED_VALUE"""),"Magdangal")</f>
        <v>Magdangal</v>
      </c>
      <c r="C286" t="str">
        <f ca="1">IFERROR(__xludf.DUMMYFUNCTION("""COMPUTED_VALUE"""),"Magdangal@livex.com")</f>
        <v>Magdangal@livex.com</v>
      </c>
      <c r="D286" t="str">
        <f ca="1">IFERROR(__xludf.DUMMYFUNCTION("""COMPUTED_VALUE"""),"Padang")</f>
        <v>Padang</v>
      </c>
      <c r="E286" s="12">
        <f ca="1">IFERROR(__xludf.DUMMYFUNCTION("""COMPUTED_VALUE"""),43314)</f>
        <v>43314</v>
      </c>
      <c r="F286" t="str">
        <f ca="1">IFERROR(__xludf.DUMMYFUNCTION("""COMPUTED_VALUE"""),"KP0150BH")</f>
        <v>KP0150BH</v>
      </c>
      <c r="G286" s="11">
        <f ca="1">IFERROR(__xludf.DUMMYFUNCTION("""COMPUTED_VALUE"""),162000000)</f>
        <v>162000000</v>
      </c>
      <c r="H286">
        <f ca="1">IFERROR(__xludf.DUMMYFUNCTION("""COMPUTED_VALUE"""),35516)</f>
        <v>35516</v>
      </c>
      <c r="I286">
        <f ca="1">IFERROR(__xludf.DUMMYFUNCTION("""COMPUTED_VALUE"""),6)</f>
        <v>6</v>
      </c>
      <c r="J286" t="str">
        <f ca="1">IFERROR(__xludf.DUMMYFUNCTION("""COMPUTED_VALUE"""),"N/A")</f>
        <v>N/A</v>
      </c>
      <c r="K286" t="str">
        <f ca="1">IFERROR(__xludf.DUMMYFUNCTION("""COMPUTED_VALUE"""),"Wakanda Express")</f>
        <v>Wakanda Express</v>
      </c>
      <c r="L286" t="str">
        <f ca="1">IFERROR(__xludf.DUMMYFUNCTION("""COMPUTED_VALUE"""),"Y")</f>
        <v>Y</v>
      </c>
      <c r="M286" t="str">
        <f ca="1">IFERROR(__xludf.DUMMYFUNCTION("""COMPUTED_VALUE"""),"Jj-559")</f>
        <v>Jj-559</v>
      </c>
    </row>
    <row r="287" spans="1:13" ht="12.5" x14ac:dyDescent="0.25">
      <c r="A287" t="str">
        <f ca="1">IFERROR(__xludf.DUMMYFUNCTION("""COMPUTED_VALUE"""),"Iroshita")</f>
        <v>Iroshita</v>
      </c>
      <c r="B287" t="str">
        <f ca="1">IFERROR(__xludf.DUMMYFUNCTION("""COMPUTED_VALUE"""),"Moeliana")</f>
        <v>Moeliana</v>
      </c>
      <c r="C287" t="str">
        <f ca="1">IFERROR(__xludf.DUMMYFUNCTION("""COMPUTED_VALUE"""),"Moeliana@gmailx.com")</f>
        <v>Moeliana@gmailx.com</v>
      </c>
      <c r="D287" t="str">
        <f ca="1">IFERROR(__xludf.DUMMYFUNCTION("""COMPUTED_VALUE"""),"Parepare")</f>
        <v>Parepare</v>
      </c>
      <c r="E287" s="12">
        <f ca="1">IFERROR(__xludf.DUMMYFUNCTION("""COMPUTED_VALUE"""),43253)</f>
        <v>43253</v>
      </c>
      <c r="F287" t="str">
        <f ca="1">IFERROR(__xludf.DUMMYFUNCTION("""COMPUTED_VALUE"""),"KP0150BH")</f>
        <v>KP0150BH</v>
      </c>
      <c r="G287" s="11">
        <f ca="1">IFERROR(__xludf.DUMMYFUNCTION("""COMPUTED_VALUE"""),243000000)</f>
        <v>243000000</v>
      </c>
      <c r="H287">
        <f ca="1">IFERROR(__xludf.DUMMYFUNCTION("""COMPUTED_VALUE"""),35157)</f>
        <v>35157</v>
      </c>
      <c r="I287">
        <f ca="1">IFERROR(__xludf.DUMMYFUNCTION("""COMPUTED_VALUE"""),9)</f>
        <v>9</v>
      </c>
      <c r="J287" t="str">
        <f ca="1">IFERROR(__xludf.DUMMYFUNCTION("""COMPUTED_VALUE"""),"N/A")</f>
        <v>N/A</v>
      </c>
      <c r="K287" t="str">
        <f ca="1">IFERROR(__xludf.DUMMYFUNCTION("""COMPUTED_VALUE"""),"Pru Logistic")</f>
        <v>Pru Logistic</v>
      </c>
      <c r="L287" t="str">
        <f ca="1">IFERROR(__xludf.DUMMYFUNCTION("""COMPUTED_VALUE"""),"Y")</f>
        <v>Y</v>
      </c>
      <c r="M287" t="str">
        <f ca="1">IFERROR(__xludf.DUMMYFUNCTION("""COMPUTED_VALUE"""),"Fi-290")</f>
        <v>Fi-290</v>
      </c>
    </row>
    <row r="288" spans="1:13" ht="12.5" x14ac:dyDescent="0.25">
      <c r="A288" t="str">
        <f ca="1">IFERROR(__xludf.DUMMYFUNCTION("""COMPUTED_VALUE"""),"Anton")</f>
        <v>Anton</v>
      </c>
      <c r="B288" t="str">
        <f ca="1">IFERROR(__xludf.DUMMYFUNCTION("""COMPUTED_VALUE"""),"Lal")</f>
        <v>Lal</v>
      </c>
      <c r="C288" t="str">
        <f ca="1">IFERROR(__xludf.DUMMYFUNCTION("""COMPUTED_VALUE"""),"Anton@gmailx.com")</f>
        <v>Anton@gmailx.com</v>
      </c>
      <c r="D288" t="str">
        <f ca="1">IFERROR(__xludf.DUMMYFUNCTION("""COMPUTED_VALUE"""),"Padang")</f>
        <v>Padang</v>
      </c>
      <c r="E288" s="12">
        <f ca="1">IFERROR(__xludf.DUMMYFUNCTION("""COMPUTED_VALUE"""),43253)</f>
        <v>43253</v>
      </c>
      <c r="F288" t="str">
        <f ca="1">IFERROR(__xludf.DUMMYFUNCTION("""COMPUTED_VALUE"""),"KP0150BH")</f>
        <v>KP0150BH</v>
      </c>
      <c r="G288" s="11">
        <f ca="1">IFERROR(__xludf.DUMMYFUNCTION("""COMPUTED_VALUE"""),108000000)</f>
        <v>108000000</v>
      </c>
      <c r="H288">
        <f ca="1">IFERROR(__xludf.DUMMYFUNCTION("""COMPUTED_VALUE"""),36409)</f>
        <v>36409</v>
      </c>
      <c r="I288">
        <f ca="1">IFERROR(__xludf.DUMMYFUNCTION("""COMPUTED_VALUE"""),4)</f>
        <v>4</v>
      </c>
      <c r="J288" t="str">
        <f ca="1">IFERROR(__xludf.DUMMYFUNCTION("""COMPUTED_VALUE"""),"N/A")</f>
        <v>N/A</v>
      </c>
      <c r="K288" t="str">
        <f ca="1">IFERROR(__xludf.DUMMYFUNCTION("""COMPUTED_VALUE"""),"JENT")</f>
        <v>JENT</v>
      </c>
      <c r="L288" t="str">
        <f ca="1">IFERROR(__xludf.DUMMYFUNCTION("""COMPUTED_VALUE"""),"Y")</f>
        <v>Y</v>
      </c>
      <c r="M288" t="str">
        <f ca="1">IFERROR(__xludf.DUMMYFUNCTION("""COMPUTED_VALUE"""),"Qo-559")</f>
        <v>Qo-559</v>
      </c>
    </row>
    <row r="289" spans="1:13" ht="12.5" x14ac:dyDescent="0.25">
      <c r="A289" t="str">
        <f ca="1">IFERROR(__xludf.DUMMYFUNCTION("""COMPUTED_VALUE"""),"Eka")</f>
        <v>Eka</v>
      </c>
      <c r="B289" t="str">
        <f ca="1">IFERROR(__xludf.DUMMYFUNCTION("""COMPUTED_VALUE"""),"Goenawan")</f>
        <v>Goenawan</v>
      </c>
      <c r="C289" t="str">
        <f ca="1">IFERROR(__xludf.DUMMYFUNCTION("""COMPUTED_VALUE"""),"Eka@ymailx.com")</f>
        <v>Eka@ymailx.com</v>
      </c>
      <c r="D289" t="str">
        <f ca="1">IFERROR(__xludf.DUMMYFUNCTION("""COMPUTED_VALUE"""),"Pekanbaru")</f>
        <v>Pekanbaru</v>
      </c>
      <c r="E289" s="12">
        <f ca="1">IFERROR(__xludf.DUMMYFUNCTION("""COMPUTED_VALUE"""),43222)</f>
        <v>43222</v>
      </c>
      <c r="F289" t="str">
        <f ca="1">IFERROR(__xludf.DUMMYFUNCTION("""COMPUTED_VALUE"""),"KP0850FB")</f>
        <v>KP0850FB</v>
      </c>
      <c r="G289" s="11">
        <f ca="1">IFERROR(__xludf.DUMMYFUNCTION("""COMPUTED_VALUE"""),42000000)</f>
        <v>42000000</v>
      </c>
      <c r="H289">
        <f ca="1">IFERROR(__xludf.DUMMYFUNCTION("""COMPUTED_VALUE"""),36997)</f>
        <v>36997</v>
      </c>
      <c r="I289">
        <f ca="1">IFERROR(__xludf.DUMMYFUNCTION("""COMPUTED_VALUE"""),2)</f>
        <v>2</v>
      </c>
      <c r="J289">
        <f ca="1">IFERROR(__xludf.DUMMYFUNCTION("""COMPUTED_VALUE"""),5)</f>
        <v>5</v>
      </c>
      <c r="K289" t="str">
        <f ca="1">IFERROR(__xludf.DUMMYFUNCTION("""COMPUTED_VALUE"""),"Pru Logistic")</f>
        <v>Pru Logistic</v>
      </c>
      <c r="L289" t="str">
        <f ca="1">IFERROR(__xludf.DUMMYFUNCTION("""COMPUTED_VALUE"""),"Y")</f>
        <v>Y</v>
      </c>
      <c r="M289" t="str">
        <f ca="1">IFERROR(__xludf.DUMMYFUNCTION("""COMPUTED_VALUE"""),"Zw-222")</f>
        <v>Zw-222</v>
      </c>
    </row>
    <row r="290" spans="1:13" ht="12.5" x14ac:dyDescent="0.25">
      <c r="A290" t="str">
        <f ca="1">IFERROR(__xludf.DUMMYFUNCTION("""COMPUTED_VALUE"""),"Adi")</f>
        <v>Adi</v>
      </c>
      <c r="B290" t="str">
        <f ca="1">IFERROR(__xludf.DUMMYFUNCTION("""COMPUTED_VALUE"""),"Tedjo")</f>
        <v>Tedjo</v>
      </c>
      <c r="C290" t="str">
        <f ca="1">IFERROR(__xludf.DUMMYFUNCTION("""COMPUTED_VALUE"""),"Adi@livex.com")</f>
        <v>Adi@livex.com</v>
      </c>
      <c r="D290" t="str">
        <f ca="1">IFERROR(__xludf.DUMMYFUNCTION("""COMPUTED_VALUE"""),"Tebingtinggi")</f>
        <v>Tebingtinggi</v>
      </c>
      <c r="E290" s="12">
        <f ca="1">IFERROR(__xludf.DUMMYFUNCTION("""COMPUTED_VALUE"""),43222)</f>
        <v>43222</v>
      </c>
      <c r="F290" t="str">
        <f ca="1">IFERROR(__xludf.DUMMYFUNCTION("""COMPUTED_VALUE"""),"KP0750AJ")</f>
        <v>KP0750AJ</v>
      </c>
      <c r="G290" s="11">
        <f ca="1">IFERROR(__xludf.DUMMYFUNCTION("""COMPUTED_VALUE"""),90000000)</f>
        <v>90000000</v>
      </c>
      <c r="H290">
        <f ca="1">IFERROR(__xludf.DUMMYFUNCTION("""COMPUTED_VALUE"""),36158)</f>
        <v>36158</v>
      </c>
      <c r="I290">
        <f ca="1">IFERROR(__xludf.DUMMYFUNCTION("""COMPUTED_VALUE"""),5)</f>
        <v>5</v>
      </c>
      <c r="J290" t="str">
        <f ca="1">IFERROR(__xludf.DUMMYFUNCTION("""COMPUTED_VALUE"""),"N/A")</f>
        <v>N/A</v>
      </c>
      <c r="K290" t="str">
        <f ca="1">IFERROR(__xludf.DUMMYFUNCTION("""COMPUTED_VALUE"""),"Wakanda Express")</f>
        <v>Wakanda Express</v>
      </c>
      <c r="L290" t="str">
        <f ca="1">IFERROR(__xludf.DUMMYFUNCTION("""COMPUTED_VALUE"""),"Y")</f>
        <v>Y</v>
      </c>
      <c r="M290" t="str">
        <f ca="1">IFERROR(__xludf.DUMMYFUNCTION("""COMPUTED_VALUE"""),"Sz-662")</f>
        <v>Sz-662</v>
      </c>
    </row>
    <row r="291" spans="1:13" ht="12.5" x14ac:dyDescent="0.25">
      <c r="A291" t="str">
        <f ca="1">IFERROR(__xludf.DUMMYFUNCTION("""COMPUTED_VALUE"""),"Evi")</f>
        <v>Evi</v>
      </c>
      <c r="B291" t="str">
        <f ca="1">IFERROR(__xludf.DUMMYFUNCTION("""COMPUTED_VALUE"""),"Capital")</f>
        <v>Capital</v>
      </c>
      <c r="C291" t="str">
        <f ca="1">IFERROR(__xludf.DUMMYFUNCTION("""COMPUTED_VALUE"""),"Capital@livex.com")</f>
        <v>Capital@livex.com</v>
      </c>
      <c r="D291" t="str">
        <f ca="1">IFERROR(__xludf.DUMMYFUNCTION("""COMPUTED_VALUE"""),"Tual")</f>
        <v>Tual</v>
      </c>
      <c r="E291" s="12">
        <f ca="1">IFERROR(__xludf.DUMMYFUNCTION("""COMPUTED_VALUE"""),43192)</f>
        <v>43192</v>
      </c>
      <c r="F291" t="str">
        <f ca="1">IFERROR(__xludf.DUMMYFUNCTION("""COMPUTED_VALUE"""),"KP0350CF")</f>
        <v>KP0350CF</v>
      </c>
      <c r="G291" s="11">
        <f ca="1">IFERROR(__xludf.DUMMYFUNCTION("""COMPUTED_VALUE"""),70000000)</f>
        <v>70000000</v>
      </c>
      <c r="H291">
        <f ca="1">IFERROR(__xludf.DUMMYFUNCTION("""COMPUTED_VALUE"""),36795)</f>
        <v>36795</v>
      </c>
      <c r="I291">
        <f ca="1">IFERROR(__xludf.DUMMYFUNCTION("""COMPUTED_VALUE"""),2)</f>
        <v>2</v>
      </c>
      <c r="J291">
        <f ca="1">IFERROR(__xludf.DUMMYFUNCTION("""COMPUTED_VALUE"""),4)</f>
        <v>4</v>
      </c>
      <c r="K291" t="str">
        <f ca="1">IFERROR(__xludf.DUMMYFUNCTION("""COMPUTED_VALUE"""),"JENT")</f>
        <v>JENT</v>
      </c>
      <c r="L291" t="str">
        <f ca="1">IFERROR(__xludf.DUMMYFUNCTION("""COMPUTED_VALUE"""),"Y")</f>
        <v>Y</v>
      </c>
      <c r="M291" t="str">
        <f ca="1">IFERROR(__xludf.DUMMYFUNCTION("""COMPUTED_VALUE"""),"Vt-171")</f>
        <v>Vt-171</v>
      </c>
    </row>
    <row r="292" spans="1:13" ht="12.5" x14ac:dyDescent="0.25">
      <c r="A292" t="str">
        <f ca="1">IFERROR(__xludf.DUMMYFUNCTION("""COMPUTED_VALUE"""),"Heru")</f>
        <v>Heru</v>
      </c>
      <c r="B292" t="str">
        <f ca="1">IFERROR(__xludf.DUMMYFUNCTION("""COMPUTED_VALUE"""),"Kiemas")</f>
        <v>Kiemas</v>
      </c>
      <c r="C292" t="str">
        <f ca="1">IFERROR(__xludf.DUMMYFUNCTION("""COMPUTED_VALUE"""),"Heru@ymailx.com")</f>
        <v>Heru@ymailx.com</v>
      </c>
      <c r="D292" t="str">
        <f ca="1">IFERROR(__xludf.DUMMYFUNCTION("""COMPUTED_VALUE"""),"Palangkaraya")</f>
        <v>Palangkaraya</v>
      </c>
      <c r="E292" s="12">
        <f ca="1">IFERROR(__xludf.DUMMYFUNCTION("""COMPUTED_VALUE"""),43102)</f>
        <v>43102</v>
      </c>
      <c r="F292" t="str">
        <f ca="1">IFERROR(__xludf.DUMMYFUNCTION("""COMPUTED_VALUE"""),"KP0150BH")</f>
        <v>KP0150BH</v>
      </c>
      <c r="G292" s="11">
        <f ca="1">IFERROR(__xludf.DUMMYFUNCTION("""COMPUTED_VALUE"""),189000000)</f>
        <v>189000000</v>
      </c>
      <c r="H292">
        <f ca="1">IFERROR(__xludf.DUMMYFUNCTION("""COMPUTED_VALUE"""),36812)</f>
        <v>36812</v>
      </c>
      <c r="I292">
        <f ca="1">IFERROR(__xludf.DUMMYFUNCTION("""COMPUTED_VALUE"""),7)</f>
        <v>7</v>
      </c>
      <c r="J292">
        <f ca="1">IFERROR(__xludf.DUMMYFUNCTION("""COMPUTED_VALUE"""),4)</f>
        <v>4</v>
      </c>
      <c r="K292" t="str">
        <f ca="1">IFERROR(__xludf.DUMMYFUNCTION("""COMPUTED_VALUE"""),"JENT")</f>
        <v>JENT</v>
      </c>
      <c r="L292" t="str">
        <f ca="1">IFERROR(__xludf.DUMMYFUNCTION("""COMPUTED_VALUE"""),"Y")</f>
        <v>Y</v>
      </c>
      <c r="M292" t="str">
        <f ca="1">IFERROR(__xludf.DUMMYFUNCTION("""COMPUTED_VALUE"""),"Ze-992")</f>
        <v>Ze-992</v>
      </c>
    </row>
    <row r="293" spans="1:13" ht="12.5" x14ac:dyDescent="0.25">
      <c r="A293" t="str">
        <f ca="1">IFERROR(__xludf.DUMMYFUNCTION("""COMPUTED_VALUE"""),"Sohet")</f>
        <v>Sohet</v>
      </c>
      <c r="B293" t="str">
        <f ca="1">IFERROR(__xludf.DUMMYFUNCTION("""COMPUTED_VALUE"""),"Dorpi")</f>
        <v>Dorpi</v>
      </c>
      <c r="C293" t="str">
        <f ca="1">IFERROR(__xludf.DUMMYFUNCTION("""COMPUTED_VALUE"""),"Sohet@outlookx.com")</f>
        <v>Sohet@outlookx.com</v>
      </c>
      <c r="D293" t="str">
        <f ca="1">IFERROR(__xludf.DUMMYFUNCTION("""COMPUTED_VALUE"""),"Bontang")</f>
        <v>Bontang</v>
      </c>
      <c r="E293" s="12">
        <f ca="1">IFERROR(__xludf.DUMMYFUNCTION("""COMPUTED_VALUE"""),43102)</f>
        <v>43102</v>
      </c>
      <c r="F293" t="str">
        <f ca="1">IFERROR(__xludf.DUMMYFUNCTION("""COMPUTED_VALUE"""),"KP0850FB")</f>
        <v>KP0850FB</v>
      </c>
      <c r="G293" s="11">
        <f ca="1">IFERROR(__xludf.DUMMYFUNCTION("""COMPUTED_VALUE"""),84000000)</f>
        <v>84000000</v>
      </c>
      <c r="H293">
        <f ca="1">IFERROR(__xludf.DUMMYFUNCTION("""COMPUTED_VALUE"""),35537)</f>
        <v>35537</v>
      </c>
      <c r="I293">
        <f ca="1">IFERROR(__xludf.DUMMYFUNCTION("""COMPUTED_VALUE"""),4)</f>
        <v>4</v>
      </c>
      <c r="J293">
        <f ca="1">IFERROR(__xludf.DUMMYFUNCTION("""COMPUTED_VALUE"""),3)</f>
        <v>3</v>
      </c>
      <c r="K293" t="str">
        <f ca="1">IFERROR(__xludf.DUMMYFUNCTION("""COMPUTED_VALUE"""),"Swift Delivery")</f>
        <v>Swift Delivery</v>
      </c>
      <c r="L293" t="str">
        <f ca="1">IFERROR(__xludf.DUMMYFUNCTION("""COMPUTED_VALUE"""),"N")</f>
        <v>N</v>
      </c>
      <c r="M293" t="str">
        <f ca="1">IFERROR(__xludf.DUMMYFUNCTION("""COMPUTED_VALUE"""),"Bv-993")</f>
        <v>Bv-993</v>
      </c>
    </row>
    <row r="294" spans="1:13" ht="12.5" x14ac:dyDescent="0.25">
      <c r="A294" t="str">
        <f ca="1">IFERROR(__xludf.DUMMYFUNCTION("""COMPUTED_VALUE"""),"Ongko")</f>
        <v>Ongko</v>
      </c>
      <c r="B294" t="str">
        <f ca="1">IFERROR(__xludf.DUMMYFUNCTION("""COMPUTED_VALUE"""),"Faried")</f>
        <v>Faried</v>
      </c>
      <c r="C294" t="str">
        <f ca="1">IFERROR(__xludf.DUMMYFUNCTION("""COMPUTED_VALUE"""),"Faried@outlookx.com")</f>
        <v>Faried@outlookx.com</v>
      </c>
      <c r="D294" t="str">
        <f ca="1">IFERROR(__xludf.DUMMYFUNCTION("""COMPUTED_VALUE"""),"Palangkaraya")</f>
        <v>Palangkaraya</v>
      </c>
      <c r="E294" s="12">
        <f ca="1">IFERROR(__xludf.DUMMYFUNCTION("""COMPUTED_VALUE"""),43102)</f>
        <v>43102</v>
      </c>
      <c r="F294" t="str">
        <f ca="1">IFERROR(__xludf.DUMMYFUNCTION("""COMPUTED_VALUE"""),"KP0425CB")</f>
        <v>KP0425CB</v>
      </c>
      <c r="G294" s="11">
        <f ca="1">IFERROR(__xludf.DUMMYFUNCTION("""COMPUTED_VALUE"""),272500000)</f>
        <v>272500000</v>
      </c>
      <c r="H294">
        <f ca="1">IFERROR(__xludf.DUMMYFUNCTION("""COMPUTED_VALUE"""),36413)</f>
        <v>36413</v>
      </c>
      <c r="I294">
        <f ca="1">IFERROR(__xludf.DUMMYFUNCTION("""COMPUTED_VALUE"""),10)</f>
        <v>10</v>
      </c>
      <c r="J294" t="str">
        <f ca="1">IFERROR(__xludf.DUMMYFUNCTION("""COMPUTED_VALUE"""),"N/A")</f>
        <v>N/A</v>
      </c>
      <c r="K294" t="str">
        <f ca="1">IFERROR(__xludf.DUMMYFUNCTION("""COMPUTED_VALUE"""),"JENT")</f>
        <v>JENT</v>
      </c>
      <c r="L294" t="str">
        <f ca="1">IFERROR(__xludf.DUMMYFUNCTION("""COMPUTED_VALUE"""),"N")</f>
        <v>N</v>
      </c>
      <c r="M294" t="str">
        <f ca="1">IFERROR(__xludf.DUMMYFUNCTION("""COMPUTED_VALUE"""),"Ms-992")</f>
        <v>Ms-992</v>
      </c>
    </row>
    <row r="295" spans="1:13" ht="12.5" x14ac:dyDescent="0.25">
      <c r="A295" t="str">
        <f ca="1">IFERROR(__xludf.DUMMYFUNCTION("""COMPUTED_VALUE"""),"Donny")</f>
        <v>Donny</v>
      </c>
      <c r="B295" t="str">
        <f ca="1">IFERROR(__xludf.DUMMYFUNCTION("""COMPUTED_VALUE"""),"Barki")</f>
        <v>Barki</v>
      </c>
      <c r="C295" t="str">
        <f ca="1">IFERROR(__xludf.DUMMYFUNCTION("""COMPUTED_VALUE"""),"Barki@ymailx.com")</f>
        <v>Barki@ymailx.com</v>
      </c>
      <c r="D295" t="str">
        <f ca="1">IFERROR(__xludf.DUMMYFUNCTION("""COMPUTED_VALUE"""),"Purwokerto")</f>
        <v>Purwokerto</v>
      </c>
      <c r="E295" s="12">
        <f ca="1">IFERROR(__xludf.DUMMYFUNCTION("""COMPUTED_VALUE"""),43127)</f>
        <v>43127</v>
      </c>
      <c r="F295" t="str">
        <f ca="1">IFERROR(__xludf.DUMMYFUNCTION("""COMPUTED_VALUE"""),"KP0850FB")</f>
        <v>KP0850FB</v>
      </c>
      <c r="G295" s="11">
        <f ca="1">IFERROR(__xludf.DUMMYFUNCTION("""COMPUTED_VALUE"""),42000000)</f>
        <v>42000000</v>
      </c>
      <c r="H295">
        <f ca="1">IFERROR(__xludf.DUMMYFUNCTION("""COMPUTED_VALUE"""),35363)</f>
        <v>35363</v>
      </c>
      <c r="I295">
        <f ca="1">IFERROR(__xludf.DUMMYFUNCTION("""COMPUTED_VALUE"""),2)</f>
        <v>2</v>
      </c>
      <c r="J295" t="str">
        <f ca="1">IFERROR(__xludf.DUMMYFUNCTION("""COMPUTED_VALUE"""),"N/A")</f>
        <v>N/A</v>
      </c>
      <c r="K295" t="str">
        <f ca="1">IFERROR(__xludf.DUMMYFUNCTION("""COMPUTED_VALUE"""),"Pru Logistic")</f>
        <v>Pru Logistic</v>
      </c>
      <c r="L295" t="str">
        <f ca="1">IFERROR(__xludf.DUMMYFUNCTION("""COMPUTED_VALUE"""),"Y")</f>
        <v>Y</v>
      </c>
      <c r="M295" t="str">
        <f ca="1">IFERROR(__xludf.DUMMYFUNCTION("""COMPUTED_VALUE"""),"Bs-410")</f>
        <v>Bs-410</v>
      </c>
    </row>
    <row r="296" spans="1:13" ht="12.5" x14ac:dyDescent="0.25">
      <c r="A296" t="str">
        <f ca="1">IFERROR(__xludf.DUMMYFUNCTION("""COMPUTED_VALUE"""),"Doni")</f>
        <v>Doni</v>
      </c>
      <c r="B296" t="str">
        <f ca="1">IFERROR(__xludf.DUMMYFUNCTION("""COMPUTED_VALUE"""),"Tjokrosaputro")</f>
        <v>Tjokrosaputro</v>
      </c>
      <c r="C296" t="str">
        <f ca="1">IFERROR(__xludf.DUMMYFUNCTION("""COMPUTED_VALUE"""),"Doni@gmailx.com")</f>
        <v>Doni@gmailx.com</v>
      </c>
      <c r="D296" t="str">
        <f ca="1">IFERROR(__xludf.DUMMYFUNCTION("""COMPUTED_VALUE"""),"Metro")</f>
        <v>Metro</v>
      </c>
      <c r="E296" s="12">
        <f ca="1">IFERROR(__xludf.DUMMYFUNCTION("""COMPUTED_VALUE"""),43126)</f>
        <v>43126</v>
      </c>
      <c r="F296" t="str">
        <f ca="1">IFERROR(__xludf.DUMMYFUNCTION("""COMPUTED_VALUE"""),"KP0750AJ")</f>
        <v>KP0750AJ</v>
      </c>
      <c r="G296" s="11">
        <f ca="1">IFERROR(__xludf.DUMMYFUNCTION("""COMPUTED_VALUE"""),108000000)</f>
        <v>108000000</v>
      </c>
      <c r="H296">
        <f ca="1">IFERROR(__xludf.DUMMYFUNCTION("""COMPUTED_VALUE"""),36356)</f>
        <v>36356</v>
      </c>
      <c r="I296">
        <f ca="1">IFERROR(__xludf.DUMMYFUNCTION("""COMPUTED_VALUE"""),6)</f>
        <v>6</v>
      </c>
      <c r="J296" t="str">
        <f ca="1">IFERROR(__xludf.DUMMYFUNCTION("""COMPUTED_VALUE"""),"N/A")</f>
        <v>N/A</v>
      </c>
      <c r="K296" t="str">
        <f ca="1">IFERROR(__xludf.DUMMYFUNCTION("""COMPUTED_VALUE"""),"Pru Logistic")</f>
        <v>Pru Logistic</v>
      </c>
      <c r="L296" t="str">
        <f ca="1">IFERROR(__xludf.DUMMYFUNCTION("""COMPUTED_VALUE"""),"Y")</f>
        <v>Y</v>
      </c>
      <c r="M296" t="str">
        <f ca="1">IFERROR(__xludf.DUMMYFUNCTION("""COMPUTED_VALUE"""),"Sd-150")</f>
        <v>Sd-150</v>
      </c>
    </row>
    <row r="297" spans="1:13" ht="12.5" x14ac:dyDescent="0.25">
      <c r="A297" t="str">
        <f ca="1">IFERROR(__xludf.DUMMYFUNCTION("""COMPUTED_VALUE"""),"Ricky")</f>
        <v>Ricky</v>
      </c>
      <c r="B297" t="str">
        <f ca="1">IFERROR(__xludf.DUMMYFUNCTION("""COMPUTED_VALUE"""),"Nuryono")</f>
        <v>Nuryono</v>
      </c>
      <c r="C297" t="str">
        <f ca="1">IFERROR(__xludf.DUMMYFUNCTION("""COMPUTED_VALUE"""),"Nuryono@outlookx.com")</f>
        <v>Nuryono@outlookx.com</v>
      </c>
      <c r="D297" t="str">
        <f ca="1">IFERROR(__xludf.DUMMYFUNCTION("""COMPUTED_VALUE"""),"Jakarta Pusat")</f>
        <v>Jakarta Pusat</v>
      </c>
      <c r="E297" s="12">
        <f ca="1">IFERROR(__xludf.DUMMYFUNCTION("""COMPUTED_VALUE"""),43125)</f>
        <v>43125</v>
      </c>
      <c r="F297" t="str">
        <f ca="1">IFERROR(__xludf.DUMMYFUNCTION("""COMPUTED_VALUE"""),"KP0150BH")</f>
        <v>KP0150BH</v>
      </c>
      <c r="G297" s="11">
        <f ca="1">IFERROR(__xludf.DUMMYFUNCTION("""COMPUTED_VALUE"""),216000000)</f>
        <v>216000000</v>
      </c>
      <c r="H297">
        <f ca="1">IFERROR(__xludf.DUMMYFUNCTION("""COMPUTED_VALUE"""),35208)</f>
        <v>35208</v>
      </c>
      <c r="I297">
        <f ca="1">IFERROR(__xludf.DUMMYFUNCTION("""COMPUTED_VALUE"""),8)</f>
        <v>8</v>
      </c>
      <c r="J297" t="str">
        <f ca="1">IFERROR(__xludf.DUMMYFUNCTION("""COMPUTED_VALUE"""),"N/A")</f>
        <v>N/A</v>
      </c>
      <c r="K297" t="str">
        <f ca="1">IFERROR(__xludf.DUMMYFUNCTION("""COMPUTED_VALUE"""),"Pru Logistic")</f>
        <v>Pru Logistic</v>
      </c>
      <c r="L297" t="str">
        <f ca="1">IFERROR(__xludf.DUMMYFUNCTION("""COMPUTED_VALUE"""),"N")</f>
        <v>N</v>
      </c>
      <c r="M297" t="str">
        <f ca="1">IFERROR(__xludf.DUMMYFUNCTION("""COMPUTED_VALUE"""),"Np-333")</f>
        <v>Np-333</v>
      </c>
    </row>
    <row r="298" spans="1:13" ht="12.5" x14ac:dyDescent="0.25">
      <c r="A298" t="str">
        <f ca="1">IFERROR(__xludf.DUMMYFUNCTION("""COMPUTED_VALUE"""),"Ravi")</f>
        <v>Ravi</v>
      </c>
      <c r="B298" t="str">
        <f ca="1">IFERROR(__xludf.DUMMYFUNCTION("""COMPUTED_VALUE"""),"Ta")</f>
        <v>Ta</v>
      </c>
      <c r="C298" t="str">
        <f ca="1">IFERROR(__xludf.DUMMYFUNCTION("""COMPUTED_VALUE"""),"Ta@livex.com")</f>
        <v>Ta@livex.com</v>
      </c>
      <c r="D298" t="str">
        <f ca="1">IFERROR(__xludf.DUMMYFUNCTION("""COMPUTED_VALUE"""),"Balikpapan")</f>
        <v>Balikpapan</v>
      </c>
      <c r="E298" s="12">
        <f ca="1">IFERROR(__xludf.DUMMYFUNCTION("""COMPUTED_VALUE"""),43125)</f>
        <v>43125</v>
      </c>
      <c r="F298" t="str">
        <f ca="1">IFERROR(__xludf.DUMMYFUNCTION("""COMPUTED_VALUE"""),"KP0750AJ")</f>
        <v>KP0750AJ</v>
      </c>
      <c r="G298" s="11">
        <f ca="1">IFERROR(__xludf.DUMMYFUNCTION("""COMPUTED_VALUE"""),36000000)</f>
        <v>36000000</v>
      </c>
      <c r="H298">
        <f ca="1">IFERROR(__xludf.DUMMYFUNCTION("""COMPUTED_VALUE"""),36123)</f>
        <v>36123</v>
      </c>
      <c r="I298">
        <f ca="1">IFERROR(__xludf.DUMMYFUNCTION("""COMPUTED_VALUE"""),2)</f>
        <v>2</v>
      </c>
      <c r="J298">
        <f ca="1">IFERROR(__xludf.DUMMYFUNCTION("""COMPUTED_VALUE"""),3)</f>
        <v>3</v>
      </c>
      <c r="K298" t="str">
        <f ca="1">IFERROR(__xludf.DUMMYFUNCTION("""COMPUTED_VALUE"""),"Pru Logistic")</f>
        <v>Pru Logistic</v>
      </c>
      <c r="L298" t="str">
        <f ca="1">IFERROR(__xludf.DUMMYFUNCTION("""COMPUTED_VALUE"""),"N")</f>
        <v>N</v>
      </c>
      <c r="M298" t="str">
        <f ca="1">IFERROR(__xludf.DUMMYFUNCTION("""COMPUTED_VALUE"""),"Ml-993")</f>
        <v>Ml-993</v>
      </c>
    </row>
    <row r="299" spans="1:13" ht="12.5" x14ac:dyDescent="0.25">
      <c r="A299" t="str">
        <f ca="1">IFERROR(__xludf.DUMMYFUNCTION("""COMPUTED_VALUE"""),"Hioe")</f>
        <v>Hioe</v>
      </c>
      <c r="B299" t="str">
        <f ca="1">IFERROR(__xludf.DUMMYFUNCTION("""COMPUTED_VALUE"""),"Unjoto")</f>
        <v>Unjoto</v>
      </c>
      <c r="C299" t="str">
        <f ca="1">IFERROR(__xludf.DUMMYFUNCTION("""COMPUTED_VALUE"""),"Unjoto@ymailx.com")</f>
        <v>Unjoto@ymailx.com</v>
      </c>
      <c r="D299" t="str">
        <f ca="1">IFERROR(__xludf.DUMMYFUNCTION("""COMPUTED_VALUE"""),"Bandar Lampung")</f>
        <v>Bandar Lampung</v>
      </c>
      <c r="E299" s="12">
        <f ca="1">IFERROR(__xludf.DUMMYFUNCTION("""COMPUTED_VALUE"""),43124)</f>
        <v>43124</v>
      </c>
      <c r="F299" t="str">
        <f ca="1">IFERROR(__xludf.DUMMYFUNCTION("""COMPUTED_VALUE"""),"KP0750AJ")</f>
        <v>KP0750AJ</v>
      </c>
      <c r="G299" s="11">
        <f ca="1">IFERROR(__xludf.DUMMYFUNCTION("""COMPUTED_VALUE"""),108000000)</f>
        <v>108000000</v>
      </c>
      <c r="H299">
        <f ca="1">IFERROR(__xludf.DUMMYFUNCTION("""COMPUTED_VALUE"""),36624)</f>
        <v>36624</v>
      </c>
      <c r="I299">
        <f ca="1">IFERROR(__xludf.DUMMYFUNCTION("""COMPUTED_VALUE"""),6)</f>
        <v>6</v>
      </c>
      <c r="J299">
        <f ca="1">IFERROR(__xludf.DUMMYFUNCTION("""COMPUTED_VALUE"""),1)</f>
        <v>1</v>
      </c>
      <c r="K299" t="str">
        <f ca="1">IFERROR(__xludf.DUMMYFUNCTION("""COMPUTED_VALUE"""),"Cepat Kirim")</f>
        <v>Cepat Kirim</v>
      </c>
      <c r="L299" t="str">
        <f ca="1">IFERROR(__xludf.DUMMYFUNCTION("""COMPUTED_VALUE"""),"Y")</f>
        <v>Y</v>
      </c>
      <c r="M299" t="str">
        <f ca="1">IFERROR(__xludf.DUMMYFUNCTION("""COMPUTED_VALUE"""),"Rl-150")</f>
        <v>Rl-150</v>
      </c>
    </row>
    <row r="300" spans="1:13" ht="12.5" x14ac:dyDescent="0.25">
      <c r="A300" t="str">
        <f ca="1">IFERROR(__xludf.DUMMYFUNCTION("""COMPUTED_VALUE"""),"Murdaya")</f>
        <v>Murdaya</v>
      </c>
      <c r="B300" t="str">
        <f ca="1">IFERROR(__xludf.DUMMYFUNCTION("""COMPUTED_VALUE"""),"Leo")</f>
        <v>Leo</v>
      </c>
      <c r="C300" t="str">
        <f ca="1">IFERROR(__xludf.DUMMYFUNCTION("""COMPUTED_VALUE"""),"Leo@icloudx.com")</f>
        <v>Leo@icloudx.com</v>
      </c>
      <c r="D300" t="str">
        <f ca="1">IFERROR(__xludf.DUMMYFUNCTION("""COMPUTED_VALUE"""),"Bau-Bau")</f>
        <v>Bau-Bau</v>
      </c>
      <c r="E300" s="12">
        <f ca="1">IFERROR(__xludf.DUMMYFUNCTION("""COMPUTED_VALUE"""),43124)</f>
        <v>43124</v>
      </c>
      <c r="F300" t="str">
        <f ca="1">IFERROR(__xludf.DUMMYFUNCTION("""COMPUTED_VALUE"""),"KP0925SG")</f>
        <v>KP0925SG</v>
      </c>
      <c r="G300" s="11">
        <f ca="1">IFERROR(__xludf.DUMMYFUNCTION("""COMPUTED_VALUE"""),60000000)</f>
        <v>60000000</v>
      </c>
      <c r="H300">
        <f ca="1">IFERROR(__xludf.DUMMYFUNCTION("""COMPUTED_VALUE"""),35505)</f>
        <v>35505</v>
      </c>
      <c r="I300">
        <f ca="1">IFERROR(__xludf.DUMMYFUNCTION("""COMPUTED_VALUE"""),4)</f>
        <v>4</v>
      </c>
      <c r="J300" t="str">
        <f ca="1">IFERROR(__xludf.DUMMYFUNCTION("""COMPUTED_VALUE"""),"N/A")</f>
        <v>N/A</v>
      </c>
      <c r="K300" t="str">
        <f ca="1">IFERROR(__xludf.DUMMYFUNCTION("""COMPUTED_VALUE"""),"Swift Delivery")</f>
        <v>Swift Delivery</v>
      </c>
      <c r="L300" t="str">
        <f ca="1">IFERROR(__xludf.DUMMYFUNCTION("""COMPUTED_VALUE"""),"N")</f>
        <v>N</v>
      </c>
      <c r="M300" t="str">
        <f ca="1">IFERROR(__xludf.DUMMYFUNCTION("""COMPUTED_VALUE"""),"Ez-250")</f>
        <v>Ez-250</v>
      </c>
    </row>
    <row r="301" spans="1:13" ht="12.5" x14ac:dyDescent="0.25">
      <c r="A301" t="str">
        <f ca="1">IFERROR(__xludf.DUMMYFUNCTION("""COMPUTED_VALUE"""),"Hadidarma")</f>
        <v>Hadidarma</v>
      </c>
      <c r="B301" t="str">
        <f ca="1">IFERROR(__xludf.DUMMYFUNCTION("""COMPUTED_VALUE"""),"Toi")</f>
        <v>Toi</v>
      </c>
      <c r="C301" t="str">
        <f ca="1">IFERROR(__xludf.DUMMYFUNCTION("""COMPUTED_VALUE"""),"Toi@ymailx.com")</f>
        <v>Toi@ymailx.com</v>
      </c>
      <c r="D301" t="str">
        <f ca="1">IFERROR(__xludf.DUMMYFUNCTION("""COMPUTED_VALUE"""),"Solok")</f>
        <v>Solok</v>
      </c>
      <c r="E301" s="12">
        <f ca="1">IFERROR(__xludf.DUMMYFUNCTION("""COMPUTED_VALUE"""),43123)</f>
        <v>43123</v>
      </c>
      <c r="F301" t="str">
        <f ca="1">IFERROR(__xludf.DUMMYFUNCTION("""COMPUTED_VALUE"""),"KP0225BB")</f>
        <v>KP0225BB</v>
      </c>
      <c r="G301" s="11">
        <f ca="1">IFERROR(__xludf.DUMMYFUNCTION("""COMPUTED_VALUE"""),70000000)</f>
        <v>70000000</v>
      </c>
      <c r="H301">
        <f ca="1">IFERROR(__xludf.DUMMYFUNCTION("""COMPUTED_VALUE"""),35931)</f>
        <v>35931</v>
      </c>
      <c r="I301">
        <f ca="1">IFERROR(__xludf.DUMMYFUNCTION("""COMPUTED_VALUE"""),7)</f>
        <v>7</v>
      </c>
      <c r="J301" t="str">
        <f ca="1">IFERROR(__xludf.DUMMYFUNCTION("""COMPUTED_VALUE"""),"N/A")</f>
        <v>N/A</v>
      </c>
      <c r="K301" t="str">
        <f ca="1">IFERROR(__xludf.DUMMYFUNCTION("""COMPUTED_VALUE"""),"JENT")</f>
        <v>JENT</v>
      </c>
      <c r="L301" t="str">
        <f ca="1">IFERROR(__xludf.DUMMYFUNCTION("""COMPUTED_VALUE"""),"Y")</f>
        <v>Y</v>
      </c>
      <c r="M301" t="str">
        <f ca="1">IFERROR(__xludf.DUMMYFUNCTION("""COMPUTED_VALUE"""),"Yq-559")</f>
        <v>Yq-559</v>
      </c>
    </row>
    <row r="302" spans="1:13" ht="12.5" x14ac:dyDescent="0.25">
      <c r="A302" t="str">
        <f ca="1">IFERROR(__xludf.DUMMYFUNCTION("""COMPUTED_VALUE"""),"Henry")</f>
        <v>Henry</v>
      </c>
      <c r="B302" t="str">
        <f ca="1">IFERROR(__xludf.DUMMYFUNCTION("""COMPUTED_VALUE"""),"Koesnadi")</f>
        <v>Koesnadi</v>
      </c>
      <c r="C302" t="str">
        <f ca="1">IFERROR(__xludf.DUMMYFUNCTION("""COMPUTED_VALUE"""),"KOESNADI@gmailx.com")</f>
        <v>KOESNADI@gmailx.com</v>
      </c>
      <c r="D302" t="str">
        <f ca="1">IFERROR(__xludf.DUMMYFUNCTION("""COMPUTED_VALUE"""),"Bandar Lampung")</f>
        <v>Bandar Lampung</v>
      </c>
      <c r="E302" s="12">
        <f ca="1">IFERROR(__xludf.DUMMYFUNCTION("""COMPUTED_VALUE"""),43120)</f>
        <v>43120</v>
      </c>
      <c r="F302" t="str">
        <f ca="1">IFERROR(__xludf.DUMMYFUNCTION("""COMPUTED_VALUE"""),"KP0150BH")</f>
        <v>KP0150BH</v>
      </c>
      <c r="G302" s="11">
        <f ca="1">IFERROR(__xludf.DUMMYFUNCTION("""COMPUTED_VALUE"""),270000000)</f>
        <v>270000000</v>
      </c>
      <c r="H302">
        <f ca="1">IFERROR(__xludf.DUMMYFUNCTION("""COMPUTED_VALUE"""),35673)</f>
        <v>35673</v>
      </c>
      <c r="I302">
        <f ca="1">IFERROR(__xludf.DUMMYFUNCTION("""COMPUTED_VALUE"""),10)</f>
        <v>10</v>
      </c>
      <c r="J302">
        <f ca="1">IFERROR(__xludf.DUMMYFUNCTION("""COMPUTED_VALUE"""),4)</f>
        <v>4</v>
      </c>
      <c r="K302" t="str">
        <f ca="1">IFERROR(__xludf.DUMMYFUNCTION("""COMPUTED_VALUE"""),"Swift Delivery")</f>
        <v>Swift Delivery</v>
      </c>
      <c r="L302" t="str">
        <f ca="1">IFERROR(__xludf.DUMMYFUNCTION("""COMPUTED_VALUE"""),"Y")</f>
        <v>Y</v>
      </c>
      <c r="M302" t="str">
        <f ca="1">IFERROR(__xludf.DUMMYFUNCTION("""COMPUTED_VALUE"""),"Xf-150")</f>
        <v>Xf-150</v>
      </c>
    </row>
    <row r="303" spans="1:13" ht="12.5" x14ac:dyDescent="0.25">
      <c r="A303" t="str">
        <f ca="1">IFERROR(__xludf.DUMMYFUNCTION("""COMPUTED_VALUE"""),"Florden")</f>
        <v>Florden</v>
      </c>
      <c r="B303" t="str">
        <f ca="1">IFERROR(__xludf.DUMMYFUNCTION("""COMPUTED_VALUE"""),"Moenzir")</f>
        <v>Moenzir</v>
      </c>
      <c r="C303" t="str">
        <f ca="1">IFERROR(__xludf.DUMMYFUNCTION("""COMPUTED_VALUE"""),"Moenzir@ymailx.com")</f>
        <v>Moenzir@ymailx.com</v>
      </c>
      <c r="D303" t="str">
        <f ca="1">IFERROR(__xludf.DUMMYFUNCTION("""COMPUTED_VALUE"""),"Samarinda")</f>
        <v>Samarinda</v>
      </c>
      <c r="E303" s="12">
        <f ca="1">IFERROR(__xludf.DUMMYFUNCTION("""COMPUTED_VALUE"""),43119)</f>
        <v>43119</v>
      </c>
      <c r="F303" t="str">
        <f ca="1">IFERROR(__xludf.DUMMYFUNCTION("""COMPUTED_VALUE"""),"KP0850FB")</f>
        <v>KP0850FB</v>
      </c>
      <c r="G303" s="11">
        <f ca="1">IFERROR(__xludf.DUMMYFUNCTION("""COMPUTED_VALUE"""),126000000)</f>
        <v>126000000</v>
      </c>
      <c r="H303">
        <f ca="1">IFERROR(__xludf.DUMMYFUNCTION("""COMPUTED_VALUE"""),35671)</f>
        <v>35671</v>
      </c>
      <c r="I303">
        <f ca="1">IFERROR(__xludf.DUMMYFUNCTION("""COMPUTED_VALUE"""),6)</f>
        <v>6</v>
      </c>
      <c r="J303" t="str">
        <f ca="1">IFERROR(__xludf.DUMMYFUNCTION("""COMPUTED_VALUE"""),"N/A")</f>
        <v>N/A</v>
      </c>
      <c r="K303" t="str">
        <f ca="1">IFERROR(__xludf.DUMMYFUNCTION("""COMPUTED_VALUE"""),"JENT")</f>
        <v>JENT</v>
      </c>
      <c r="L303" t="str">
        <f ca="1">IFERROR(__xludf.DUMMYFUNCTION("""COMPUTED_VALUE"""),"Y")</f>
        <v>Y</v>
      </c>
      <c r="M303" t="str">
        <f ca="1">IFERROR(__xludf.DUMMYFUNCTION("""COMPUTED_VALUE"""),"Iw-993")</f>
        <v>Iw-993</v>
      </c>
    </row>
    <row r="304" spans="1:13" ht="12.5" x14ac:dyDescent="0.25">
      <c r="A304" t="str">
        <f ca="1">IFERROR(__xludf.DUMMYFUNCTION("""COMPUTED_VALUE"""),"Harry")</f>
        <v>Harry</v>
      </c>
      <c r="B304" t="str">
        <f ca="1">IFERROR(__xludf.DUMMYFUNCTION("""COMPUTED_VALUE"""),"Sastrajaya")</f>
        <v>Sastrajaya</v>
      </c>
      <c r="C304" t="str">
        <f ca="1">IFERROR(__xludf.DUMMYFUNCTION("""COMPUTED_VALUE"""),"Harry@gmailx.com")</f>
        <v>Harry@gmailx.com</v>
      </c>
      <c r="D304" t="str">
        <f ca="1">IFERROR(__xludf.DUMMYFUNCTION("""COMPUTED_VALUE"""),"Serang")</f>
        <v>Serang</v>
      </c>
      <c r="E304" s="12">
        <f ca="1">IFERROR(__xludf.DUMMYFUNCTION("""COMPUTED_VALUE"""),43117)</f>
        <v>43117</v>
      </c>
      <c r="F304" t="str">
        <f ca="1">IFERROR(__xludf.DUMMYFUNCTION("""COMPUTED_VALUE"""),"KP0750AJ")</f>
        <v>KP0750AJ</v>
      </c>
      <c r="G304" s="11">
        <f ca="1">IFERROR(__xludf.DUMMYFUNCTION("""COMPUTED_VALUE"""),54000000)</f>
        <v>54000000</v>
      </c>
      <c r="H304">
        <f ca="1">IFERROR(__xludf.DUMMYFUNCTION("""COMPUTED_VALUE"""),35346)</f>
        <v>35346</v>
      </c>
      <c r="I304">
        <f ca="1">IFERROR(__xludf.DUMMYFUNCTION("""COMPUTED_VALUE"""),3)</f>
        <v>3</v>
      </c>
      <c r="J304" t="str">
        <f ca="1">IFERROR(__xludf.DUMMYFUNCTION("""COMPUTED_VALUE"""),"N/A")</f>
        <v>N/A</v>
      </c>
      <c r="K304" t="str">
        <f ca="1">IFERROR(__xludf.DUMMYFUNCTION("""COMPUTED_VALUE"""),"Swift Delivery")</f>
        <v>Swift Delivery</v>
      </c>
      <c r="L304" t="str">
        <f ca="1">IFERROR(__xludf.DUMMYFUNCTION("""COMPUTED_VALUE"""),"Y")</f>
        <v>Y</v>
      </c>
      <c r="M304" t="str">
        <f ca="1">IFERROR(__xludf.DUMMYFUNCTION("""COMPUTED_VALUE"""),"Ph-500")</f>
        <v>Ph-500</v>
      </c>
    </row>
    <row r="305" spans="1:13" ht="12.5" x14ac:dyDescent="0.25">
      <c r="A305" t="str">
        <f ca="1">IFERROR(__xludf.DUMMYFUNCTION("""COMPUTED_VALUE"""),"Hendra")</f>
        <v>Hendra</v>
      </c>
      <c r="B305" t="str">
        <f ca="1">IFERROR(__xludf.DUMMYFUNCTION("""COMPUTED_VALUE"""),"Valiant")</f>
        <v>Valiant</v>
      </c>
      <c r="C305" t="str">
        <f ca="1">IFERROR(__xludf.DUMMYFUNCTION("""COMPUTED_VALUE"""),"Hendra@gmailx.com")</f>
        <v>Hendra@gmailx.com</v>
      </c>
      <c r="D305" t="str">
        <f ca="1">IFERROR(__xludf.DUMMYFUNCTION("""COMPUTED_VALUE"""),"Tarakan")</f>
        <v>Tarakan</v>
      </c>
      <c r="E305" s="12">
        <f ca="1">IFERROR(__xludf.DUMMYFUNCTION("""COMPUTED_VALUE"""),43117)</f>
        <v>43117</v>
      </c>
      <c r="F305" t="str">
        <f ca="1">IFERROR(__xludf.DUMMYFUNCTION("""COMPUTED_VALUE"""),"KP0750AJ")</f>
        <v>KP0750AJ</v>
      </c>
      <c r="G305" s="11">
        <f ca="1">IFERROR(__xludf.DUMMYFUNCTION("""COMPUTED_VALUE"""),54000000)</f>
        <v>54000000</v>
      </c>
      <c r="H305">
        <f ca="1">IFERROR(__xludf.DUMMYFUNCTION("""COMPUTED_VALUE"""),36583)</f>
        <v>36583</v>
      </c>
      <c r="I305">
        <f ca="1">IFERROR(__xludf.DUMMYFUNCTION("""COMPUTED_VALUE"""),3)</f>
        <v>3</v>
      </c>
      <c r="J305" t="str">
        <f ca="1">IFERROR(__xludf.DUMMYFUNCTION("""COMPUTED_VALUE"""),"N/A")</f>
        <v>N/A</v>
      </c>
      <c r="K305" t="str">
        <f ca="1">IFERROR(__xludf.DUMMYFUNCTION("""COMPUTED_VALUE"""),"Wakanda Express")</f>
        <v>Wakanda Express</v>
      </c>
      <c r="L305" t="str">
        <f ca="1">IFERROR(__xludf.DUMMYFUNCTION("""COMPUTED_VALUE"""),"Y")</f>
        <v>Y</v>
      </c>
      <c r="M305" t="str">
        <f ca="1">IFERROR(__xludf.DUMMYFUNCTION("""COMPUTED_VALUE"""),"Mg-994")</f>
        <v>Mg-994</v>
      </c>
    </row>
    <row r="306" spans="1:13" ht="12.5" x14ac:dyDescent="0.25">
      <c r="A306" t="str">
        <f ca="1">IFERROR(__xludf.DUMMYFUNCTION("""COMPUTED_VALUE"""),"Dicky")</f>
        <v>Dicky</v>
      </c>
      <c r="B306" t="str">
        <f ca="1">IFERROR(__xludf.DUMMYFUNCTION("""COMPUTED_VALUE"""),"Raviana")</f>
        <v>Raviana</v>
      </c>
      <c r="C306" t="str">
        <f ca="1">IFERROR(__xludf.DUMMYFUNCTION("""COMPUTED_VALUE"""),"Raviana@ymailx.com")</f>
        <v>Raviana@ymailx.com</v>
      </c>
      <c r="D306" t="str">
        <f ca="1">IFERROR(__xludf.DUMMYFUNCTION("""COMPUTED_VALUE"""),"Sukabumi")</f>
        <v>Sukabumi</v>
      </c>
      <c r="E306" s="12">
        <f ca="1">IFERROR(__xludf.DUMMYFUNCTION("""COMPUTED_VALUE"""),43116)</f>
        <v>43116</v>
      </c>
      <c r="F306" t="str">
        <f ca="1">IFERROR(__xludf.DUMMYFUNCTION("""COMPUTED_VALUE"""),"KP0850FB")</f>
        <v>KP0850FB</v>
      </c>
      <c r="G306" s="11">
        <f ca="1">IFERROR(__xludf.DUMMYFUNCTION("""COMPUTED_VALUE"""),168000000)</f>
        <v>168000000</v>
      </c>
      <c r="H306">
        <f ca="1">IFERROR(__xludf.DUMMYFUNCTION("""COMPUTED_VALUE"""),36594)</f>
        <v>36594</v>
      </c>
      <c r="I306">
        <f ca="1">IFERROR(__xludf.DUMMYFUNCTION("""COMPUTED_VALUE"""),8)</f>
        <v>8</v>
      </c>
      <c r="J306" t="str">
        <f ca="1">IFERROR(__xludf.DUMMYFUNCTION("""COMPUTED_VALUE"""),"N/A")</f>
        <v>N/A</v>
      </c>
      <c r="K306" t="str">
        <f ca="1">IFERROR(__xludf.DUMMYFUNCTION("""COMPUTED_VALUE"""),"Wakanda Express")</f>
        <v>Wakanda Express</v>
      </c>
      <c r="L306" t="str">
        <f ca="1">IFERROR(__xludf.DUMMYFUNCTION("""COMPUTED_VALUE"""),"Y")</f>
        <v>Y</v>
      </c>
      <c r="M306" t="str">
        <f ca="1">IFERROR(__xludf.DUMMYFUNCTION("""COMPUTED_VALUE"""),"Aa-409")</f>
        <v>Aa-409</v>
      </c>
    </row>
    <row r="307" spans="1:13" ht="12.5" x14ac:dyDescent="0.25">
      <c r="A307" t="str">
        <f ca="1">IFERROR(__xludf.DUMMYFUNCTION("""COMPUTED_VALUE"""),"Budi")</f>
        <v>Budi</v>
      </c>
      <c r="B307" t="str">
        <f ca="1">IFERROR(__xludf.DUMMYFUNCTION("""COMPUTED_VALUE"""),"Sie")</f>
        <v>Sie</v>
      </c>
      <c r="C307" t="str">
        <f ca="1">IFERROR(__xludf.DUMMYFUNCTION("""COMPUTED_VALUE"""),"Budi@outlookx.com")</f>
        <v>Budi@outlookx.com</v>
      </c>
      <c r="D307" t="str">
        <f ca="1">IFERROR(__xludf.DUMMYFUNCTION("""COMPUTED_VALUE"""),"Blitar")</f>
        <v>Blitar</v>
      </c>
      <c r="E307" s="12">
        <f ca="1">IFERROR(__xludf.DUMMYFUNCTION("""COMPUTED_VALUE"""),43115)</f>
        <v>43115</v>
      </c>
      <c r="F307" t="str">
        <f ca="1">IFERROR(__xludf.DUMMYFUNCTION("""COMPUTED_VALUE"""),"KP0925SG")</f>
        <v>KP0925SG</v>
      </c>
      <c r="G307" s="11">
        <f ca="1">IFERROR(__xludf.DUMMYFUNCTION("""COMPUTED_VALUE"""),90000000)</f>
        <v>90000000</v>
      </c>
      <c r="H307">
        <f ca="1">IFERROR(__xludf.DUMMYFUNCTION("""COMPUTED_VALUE"""),36495)</f>
        <v>36495</v>
      </c>
      <c r="I307">
        <f ca="1">IFERROR(__xludf.DUMMYFUNCTION("""COMPUTED_VALUE"""),6)</f>
        <v>6</v>
      </c>
      <c r="J307">
        <f ca="1">IFERROR(__xludf.DUMMYFUNCTION("""COMPUTED_VALUE"""),3)</f>
        <v>3</v>
      </c>
      <c r="K307" t="str">
        <f ca="1">IFERROR(__xludf.DUMMYFUNCTION("""COMPUTED_VALUE"""),"JENT")</f>
        <v>JENT</v>
      </c>
      <c r="L307" t="str">
        <f ca="1">IFERROR(__xludf.DUMMYFUNCTION("""COMPUTED_VALUE"""),"Y")</f>
        <v>Y</v>
      </c>
      <c r="M307" t="str">
        <f ca="1">IFERROR(__xludf.DUMMYFUNCTION("""COMPUTED_VALUE"""),"Qp-123")</f>
        <v>Qp-123</v>
      </c>
    </row>
    <row r="308" spans="1:13" ht="12.5" x14ac:dyDescent="0.25">
      <c r="A308" t="str">
        <f ca="1">IFERROR(__xludf.DUMMYFUNCTION("""COMPUTED_VALUE"""),"Achmad")</f>
        <v>Achmad</v>
      </c>
      <c r="B308" t="str">
        <f ca="1">IFERROR(__xludf.DUMMYFUNCTION("""COMPUTED_VALUE"""),"C.")</f>
        <v>C.</v>
      </c>
      <c r="C308" t="str">
        <f ca="1">IFERROR(__xludf.DUMMYFUNCTION("""COMPUTED_VALUE"""),"C.@ymailx.com")</f>
        <v>C.@ymailx.com</v>
      </c>
      <c r="D308" t="str">
        <f ca="1">IFERROR(__xludf.DUMMYFUNCTION("""COMPUTED_VALUE"""),"Pekanbaru")</f>
        <v>Pekanbaru</v>
      </c>
      <c r="E308" s="12">
        <f ca="1">IFERROR(__xludf.DUMMYFUNCTION("""COMPUTED_VALUE"""),43115)</f>
        <v>43115</v>
      </c>
      <c r="F308" t="str">
        <f ca="1">IFERROR(__xludf.DUMMYFUNCTION("""COMPUTED_VALUE"""),"KP0225BB")</f>
        <v>KP0225BB</v>
      </c>
      <c r="G308" s="11">
        <f ca="1">IFERROR(__xludf.DUMMYFUNCTION("""COMPUTED_VALUE"""),50000000)</f>
        <v>50000000</v>
      </c>
      <c r="H308">
        <f ca="1">IFERROR(__xludf.DUMMYFUNCTION("""COMPUTED_VALUE"""),35935)</f>
        <v>35935</v>
      </c>
      <c r="I308">
        <f ca="1">IFERROR(__xludf.DUMMYFUNCTION("""COMPUTED_VALUE"""),5)</f>
        <v>5</v>
      </c>
      <c r="J308" t="str">
        <f ca="1">IFERROR(__xludf.DUMMYFUNCTION("""COMPUTED_VALUE"""),"N/A")</f>
        <v>N/A</v>
      </c>
      <c r="K308" t="str">
        <f ca="1">IFERROR(__xludf.DUMMYFUNCTION("""COMPUTED_VALUE"""),"JENT")</f>
        <v>JENT</v>
      </c>
      <c r="L308" t="str">
        <f ca="1">IFERROR(__xludf.DUMMYFUNCTION("""COMPUTED_VALUE"""),"Y")</f>
        <v>Y</v>
      </c>
      <c r="M308" t="str">
        <f ca="1">IFERROR(__xludf.DUMMYFUNCTION("""COMPUTED_VALUE"""),"Qs-222")</f>
        <v>Qs-222</v>
      </c>
    </row>
    <row r="309" spans="1:13" ht="12.5" x14ac:dyDescent="0.25">
      <c r="A309" t="str">
        <f ca="1">IFERROR(__xludf.DUMMYFUNCTION("""COMPUTED_VALUE"""),"Pernardi")</f>
        <v>Pernardi</v>
      </c>
      <c r="B309" t="str">
        <f ca="1">IFERROR(__xludf.DUMMYFUNCTION("""COMPUTED_VALUE"""),"Waty")</f>
        <v>Waty</v>
      </c>
      <c r="C309" t="str">
        <f ca="1">IFERROR(__xludf.DUMMYFUNCTION("""COMPUTED_VALUE"""),"Pernardi@outlookx.com")</f>
        <v>Pernardi@outlookx.com</v>
      </c>
      <c r="D309" t="str">
        <f ca="1">IFERROR(__xludf.DUMMYFUNCTION("""COMPUTED_VALUE"""),"Sukabumi")</f>
        <v>Sukabumi</v>
      </c>
      <c r="E309" s="12">
        <f ca="1">IFERROR(__xludf.DUMMYFUNCTION("""COMPUTED_VALUE"""),43114)</f>
        <v>43114</v>
      </c>
      <c r="F309" t="str">
        <f ca="1">IFERROR(__xludf.DUMMYFUNCTION("""COMPUTED_VALUE"""),"KP0150BH")</f>
        <v>KP0150BH</v>
      </c>
      <c r="G309" s="11">
        <f ca="1">IFERROR(__xludf.DUMMYFUNCTION("""COMPUTED_VALUE"""),54000000)</f>
        <v>54000000</v>
      </c>
      <c r="H309">
        <f ca="1">IFERROR(__xludf.DUMMYFUNCTION("""COMPUTED_VALUE"""),35880)</f>
        <v>35880</v>
      </c>
      <c r="I309">
        <f ca="1">IFERROR(__xludf.DUMMYFUNCTION("""COMPUTED_VALUE"""),2)</f>
        <v>2</v>
      </c>
      <c r="J309" t="str">
        <f ca="1">IFERROR(__xludf.DUMMYFUNCTION("""COMPUTED_VALUE"""),"N/A")</f>
        <v>N/A</v>
      </c>
      <c r="K309" t="str">
        <f ca="1">IFERROR(__xludf.DUMMYFUNCTION("""COMPUTED_VALUE"""),"Cepat Kirim")</f>
        <v>Cepat Kirim</v>
      </c>
      <c r="L309" t="str">
        <f ca="1">IFERROR(__xludf.DUMMYFUNCTION("""COMPUTED_VALUE"""),"N")</f>
        <v>N</v>
      </c>
      <c r="M309" t="str">
        <f ca="1">IFERROR(__xludf.DUMMYFUNCTION("""COMPUTED_VALUE"""),"Bt-409")</f>
        <v>Bt-409</v>
      </c>
    </row>
    <row r="310" spans="1:13" ht="12.5" x14ac:dyDescent="0.25">
      <c r="A310" t="str">
        <f ca="1">IFERROR(__xludf.DUMMYFUNCTION("""COMPUTED_VALUE"""),"Hilary")</f>
        <v>Hilary</v>
      </c>
      <c r="B310" t="str">
        <f ca="1">IFERROR(__xludf.DUMMYFUNCTION("""COMPUTED_VALUE"""),"Siddik")</f>
        <v>Siddik</v>
      </c>
      <c r="C310" t="str">
        <f ca="1">IFERROR(__xludf.DUMMYFUNCTION("""COMPUTED_VALUE"""),"Hilary@gmailx.com")</f>
        <v>Hilary@gmailx.com</v>
      </c>
      <c r="D310" t="str">
        <f ca="1">IFERROR(__xludf.DUMMYFUNCTION("""COMPUTED_VALUE"""),"Tebingtinggi")</f>
        <v>Tebingtinggi</v>
      </c>
      <c r="E310" s="12">
        <f ca="1">IFERROR(__xludf.DUMMYFUNCTION("""COMPUTED_VALUE"""),43113)</f>
        <v>43113</v>
      </c>
      <c r="F310" t="str">
        <f ca="1">IFERROR(__xludf.DUMMYFUNCTION("""COMPUTED_VALUE"""),"KP0425CB")</f>
        <v>KP0425CB</v>
      </c>
      <c r="G310" s="11">
        <f ca="1">IFERROR(__xludf.DUMMYFUNCTION("""COMPUTED_VALUE"""),218000000)</f>
        <v>218000000</v>
      </c>
      <c r="H310">
        <f ca="1">IFERROR(__xludf.DUMMYFUNCTION("""COMPUTED_VALUE"""),35769)</f>
        <v>35769</v>
      </c>
      <c r="I310">
        <f ca="1">IFERROR(__xludf.DUMMYFUNCTION("""COMPUTED_VALUE"""),8)</f>
        <v>8</v>
      </c>
      <c r="J310" t="str">
        <f ca="1">IFERROR(__xludf.DUMMYFUNCTION("""COMPUTED_VALUE"""),"N/A")</f>
        <v>N/A</v>
      </c>
      <c r="K310" t="str">
        <f ca="1">IFERROR(__xludf.DUMMYFUNCTION("""COMPUTED_VALUE"""),"JENT")</f>
        <v>JENT</v>
      </c>
      <c r="L310" t="str">
        <f ca="1">IFERROR(__xludf.DUMMYFUNCTION("""COMPUTED_VALUE"""),"Y")</f>
        <v>Y</v>
      </c>
      <c r="M310" t="str">
        <f ca="1">IFERROR(__xludf.DUMMYFUNCTION("""COMPUTED_VALUE"""),"Zf-662")</f>
        <v>Zf-662</v>
      </c>
    </row>
    <row r="311" spans="1:13" ht="12.5" x14ac:dyDescent="0.25">
      <c r="A311" t="str">
        <f ca="1">IFERROR(__xludf.DUMMYFUNCTION("""COMPUTED_VALUE"""),"Dewi")</f>
        <v>Dewi</v>
      </c>
      <c r="B311" t="str">
        <f ca="1">IFERROR(__xludf.DUMMYFUNCTION("""COMPUTED_VALUE"""),"Maria")</f>
        <v>Maria</v>
      </c>
      <c r="C311" t="str">
        <f ca="1">IFERROR(__xludf.DUMMYFUNCTION("""COMPUTED_VALUE"""),"Dewi@gmailx.com")</f>
        <v>Dewi@gmailx.com</v>
      </c>
      <c r="D311" t="str">
        <f ca="1">IFERROR(__xludf.DUMMYFUNCTION("""COMPUTED_VALUE"""),"Palangkaraya")</f>
        <v>Palangkaraya</v>
      </c>
      <c r="E311" s="12">
        <f ca="1">IFERROR(__xludf.DUMMYFUNCTION("""COMPUTED_VALUE"""),43113)</f>
        <v>43113</v>
      </c>
      <c r="F311" t="str">
        <f ca="1">IFERROR(__xludf.DUMMYFUNCTION("""COMPUTED_VALUE"""),"KP0850FB")</f>
        <v>KP0850FB</v>
      </c>
      <c r="G311" s="11">
        <f ca="1">IFERROR(__xludf.DUMMYFUNCTION("""COMPUTED_VALUE"""),105000000)</f>
        <v>105000000</v>
      </c>
      <c r="H311">
        <f ca="1">IFERROR(__xludf.DUMMYFUNCTION("""COMPUTED_VALUE"""),36383)</f>
        <v>36383</v>
      </c>
      <c r="I311">
        <f ca="1">IFERROR(__xludf.DUMMYFUNCTION("""COMPUTED_VALUE"""),5)</f>
        <v>5</v>
      </c>
      <c r="J311" t="str">
        <f ca="1">IFERROR(__xludf.DUMMYFUNCTION("""COMPUTED_VALUE"""),"N/A")</f>
        <v>N/A</v>
      </c>
      <c r="K311" t="str">
        <f ca="1">IFERROR(__xludf.DUMMYFUNCTION("""COMPUTED_VALUE"""),"JENT")</f>
        <v>JENT</v>
      </c>
      <c r="L311" t="str">
        <f ca="1">IFERROR(__xludf.DUMMYFUNCTION("""COMPUTED_VALUE"""),"Y")</f>
        <v>Y</v>
      </c>
      <c r="M311" t="str">
        <f ca="1">IFERROR(__xludf.DUMMYFUNCTION("""COMPUTED_VALUE"""),"Il-992")</f>
        <v>Il-992</v>
      </c>
    </row>
    <row r="312" spans="1:13" ht="12.5" x14ac:dyDescent="0.25">
      <c r="A312" t="str">
        <f ca="1">IFERROR(__xludf.DUMMYFUNCTION("""COMPUTED_VALUE"""),"Miranda")</f>
        <v>Miranda</v>
      </c>
      <c r="B312" t="str">
        <f ca="1">IFERROR(__xludf.DUMMYFUNCTION("""COMPUTED_VALUE"""),"Kardono")</f>
        <v>Kardono</v>
      </c>
      <c r="C312" t="str">
        <f ca="1">IFERROR(__xludf.DUMMYFUNCTION("""COMPUTED_VALUE"""),"Miranda@icloudx.com")</f>
        <v>Miranda@icloudx.com</v>
      </c>
      <c r="D312" t="str">
        <f ca="1">IFERROR(__xludf.DUMMYFUNCTION("""COMPUTED_VALUE"""),"Pematangsiantar")</f>
        <v>Pematangsiantar</v>
      </c>
      <c r="E312" s="12">
        <f ca="1">IFERROR(__xludf.DUMMYFUNCTION("""COMPUTED_VALUE"""),43113)</f>
        <v>43113</v>
      </c>
      <c r="F312" t="str">
        <f ca="1">IFERROR(__xludf.DUMMYFUNCTION("""COMPUTED_VALUE"""),"KP0550EH")</f>
        <v>KP0550EH</v>
      </c>
      <c r="G312" s="11">
        <f ca="1">IFERROR(__xludf.DUMMYFUNCTION("""COMPUTED_VALUE"""),405000000)</f>
        <v>405000000</v>
      </c>
      <c r="H312">
        <f ca="1">IFERROR(__xludf.DUMMYFUNCTION("""COMPUTED_VALUE"""),35852)</f>
        <v>35852</v>
      </c>
      <c r="I312">
        <f ca="1">IFERROR(__xludf.DUMMYFUNCTION("""COMPUTED_VALUE"""),9)</f>
        <v>9</v>
      </c>
      <c r="J312" t="str">
        <f ca="1">IFERROR(__xludf.DUMMYFUNCTION("""COMPUTED_VALUE"""),"N/A")</f>
        <v>N/A</v>
      </c>
      <c r="K312" t="str">
        <f ca="1">IFERROR(__xludf.DUMMYFUNCTION("""COMPUTED_VALUE"""),"Wakanda Express")</f>
        <v>Wakanda Express</v>
      </c>
      <c r="L312" t="str">
        <f ca="1">IFERROR(__xludf.DUMMYFUNCTION("""COMPUTED_VALUE"""),"Y")</f>
        <v>Y</v>
      </c>
      <c r="M312" t="str">
        <f ca="1">IFERROR(__xludf.DUMMYFUNCTION("""COMPUTED_VALUE"""),"Ba-662")</f>
        <v>Ba-662</v>
      </c>
    </row>
    <row r="313" spans="1:13" ht="12.5" x14ac:dyDescent="0.25">
      <c r="A313" t="str">
        <f ca="1">IFERROR(__xludf.DUMMYFUNCTION("""COMPUTED_VALUE"""),"Solihin")</f>
        <v>Solihin</v>
      </c>
      <c r="B313" t="str">
        <f ca="1">IFERROR(__xludf.DUMMYFUNCTION("""COMPUTED_VALUE"""),"Johnny")</f>
        <v>Johnny</v>
      </c>
      <c r="C313" t="str">
        <f ca="1">IFERROR(__xludf.DUMMYFUNCTION("""COMPUTED_VALUE"""),"Solihin@outlookx.com")</f>
        <v>Solihin@outlookx.com</v>
      </c>
      <c r="D313" t="str">
        <f ca="1">IFERROR(__xludf.DUMMYFUNCTION("""COMPUTED_VALUE"""),"Tidore Kepulauan")</f>
        <v>Tidore Kepulauan</v>
      </c>
      <c r="E313" s="12">
        <f ca="1">IFERROR(__xludf.DUMMYFUNCTION("""COMPUTED_VALUE"""),43435)</f>
        <v>43435</v>
      </c>
      <c r="F313" t="str">
        <f ca="1">IFERROR(__xludf.DUMMYFUNCTION("""COMPUTED_VALUE"""),"KP0425CB")</f>
        <v>KP0425CB</v>
      </c>
      <c r="G313" s="11">
        <f ca="1">IFERROR(__xludf.DUMMYFUNCTION("""COMPUTED_VALUE"""),81750000)</f>
        <v>81750000</v>
      </c>
      <c r="H313">
        <f ca="1">IFERROR(__xludf.DUMMYFUNCTION("""COMPUTED_VALUE"""),35970)</f>
        <v>35970</v>
      </c>
      <c r="I313">
        <f ca="1">IFERROR(__xludf.DUMMYFUNCTION("""COMPUTED_VALUE"""),3)</f>
        <v>3</v>
      </c>
      <c r="J313">
        <f ca="1">IFERROR(__xludf.DUMMYFUNCTION("""COMPUTED_VALUE"""),2)</f>
        <v>2</v>
      </c>
      <c r="K313" t="str">
        <f ca="1">IFERROR(__xludf.DUMMYFUNCTION("""COMPUTED_VALUE"""),"Swift Delivery")</f>
        <v>Swift Delivery</v>
      </c>
      <c r="L313" t="str">
        <f ca="1">IFERROR(__xludf.DUMMYFUNCTION("""COMPUTED_VALUE"""),"N")</f>
        <v>N</v>
      </c>
      <c r="M313" t="str">
        <f ca="1">IFERROR(__xludf.DUMMYFUNCTION("""COMPUTED_VALUE"""),"Yc-160")</f>
        <v>Yc-160</v>
      </c>
    </row>
    <row r="314" spans="1:13" ht="12.5" x14ac:dyDescent="0.25">
      <c r="A314" t="str">
        <f ca="1">IFERROR(__xludf.DUMMYFUNCTION("""COMPUTED_VALUE"""),"Bachrumsyah")</f>
        <v>Bachrumsyah</v>
      </c>
      <c r="B314" t="str">
        <f ca="1">IFERROR(__xludf.DUMMYFUNCTION("""COMPUTED_VALUE"""),"Rion")</f>
        <v>Rion</v>
      </c>
      <c r="C314" t="str">
        <f ca="1">IFERROR(__xludf.DUMMYFUNCTION("""COMPUTED_VALUE"""),"Bachrumsyah@icloudx.com")</f>
        <v>Bachrumsyah@icloudx.com</v>
      </c>
      <c r="D314" t="str">
        <f ca="1">IFERROR(__xludf.DUMMYFUNCTION("""COMPUTED_VALUE"""),"Tual")</f>
        <v>Tual</v>
      </c>
      <c r="E314" s="12">
        <f ca="1">IFERROR(__xludf.DUMMYFUNCTION("""COMPUTED_VALUE"""),43374)</f>
        <v>43374</v>
      </c>
      <c r="F314" t="str">
        <f ca="1">IFERROR(__xludf.DUMMYFUNCTION("""COMPUTED_VALUE"""),"KP0350CF")</f>
        <v>KP0350CF</v>
      </c>
      <c r="G314" s="11">
        <f ca="1">IFERROR(__xludf.DUMMYFUNCTION("""COMPUTED_VALUE"""),140000000)</f>
        <v>140000000</v>
      </c>
      <c r="H314">
        <f ca="1">IFERROR(__xludf.DUMMYFUNCTION("""COMPUTED_VALUE"""),36314)</f>
        <v>36314</v>
      </c>
      <c r="I314">
        <f ca="1">IFERROR(__xludf.DUMMYFUNCTION("""COMPUTED_VALUE"""),4)</f>
        <v>4</v>
      </c>
      <c r="J314">
        <f ca="1">IFERROR(__xludf.DUMMYFUNCTION("""COMPUTED_VALUE"""),4)</f>
        <v>4</v>
      </c>
      <c r="K314" t="str">
        <f ca="1">IFERROR(__xludf.DUMMYFUNCTION("""COMPUTED_VALUE"""),"Wakanda Express")</f>
        <v>Wakanda Express</v>
      </c>
      <c r="L314" t="str">
        <f ca="1">IFERROR(__xludf.DUMMYFUNCTION("""COMPUTED_VALUE"""),"Y")</f>
        <v>Y</v>
      </c>
      <c r="M314" t="str">
        <f ca="1">IFERROR(__xludf.DUMMYFUNCTION("""COMPUTED_VALUE"""),"Zz-171")</f>
        <v>Zz-171</v>
      </c>
    </row>
    <row r="315" spans="1:13" ht="12.5" x14ac:dyDescent="0.25">
      <c r="A315" t="str">
        <f ca="1">IFERROR(__xludf.DUMMYFUNCTION("""COMPUTED_VALUE"""),"Ronald")</f>
        <v>Ronald</v>
      </c>
      <c r="B315" t="str">
        <f ca="1">IFERROR(__xludf.DUMMYFUNCTION("""COMPUTED_VALUE"""),"Miksar")</f>
        <v>Miksar</v>
      </c>
      <c r="C315" t="str">
        <f ca="1">IFERROR(__xludf.DUMMYFUNCTION("""COMPUTED_VALUE"""),"Ronald@icloudx.com")</f>
        <v>Ronald@icloudx.com</v>
      </c>
      <c r="D315" t="str">
        <f ca="1">IFERROR(__xludf.DUMMYFUNCTION("""COMPUTED_VALUE"""),"Sawahlunto")</f>
        <v>Sawahlunto</v>
      </c>
      <c r="E315" s="12">
        <f ca="1">IFERROR(__xludf.DUMMYFUNCTION("""COMPUTED_VALUE"""),43344)</f>
        <v>43344</v>
      </c>
      <c r="F315" t="str">
        <f ca="1">IFERROR(__xludf.DUMMYFUNCTION("""COMPUTED_VALUE"""),"KP0850FB")</f>
        <v>KP0850FB</v>
      </c>
      <c r="G315" s="11">
        <f ca="1">IFERROR(__xludf.DUMMYFUNCTION("""COMPUTED_VALUE"""),210000000)</f>
        <v>210000000</v>
      </c>
      <c r="H315">
        <f ca="1">IFERROR(__xludf.DUMMYFUNCTION("""COMPUTED_VALUE"""),35903)</f>
        <v>35903</v>
      </c>
      <c r="I315">
        <f ca="1">IFERROR(__xludf.DUMMYFUNCTION("""COMPUTED_VALUE"""),10)</f>
        <v>10</v>
      </c>
      <c r="J315" t="str">
        <f ca="1">IFERROR(__xludf.DUMMYFUNCTION("""COMPUTED_VALUE"""),"N/A")</f>
        <v>N/A</v>
      </c>
      <c r="K315" t="str">
        <f ca="1">IFERROR(__xludf.DUMMYFUNCTION("""COMPUTED_VALUE"""),"Wakanda Express")</f>
        <v>Wakanda Express</v>
      </c>
      <c r="L315" t="str">
        <f ca="1">IFERROR(__xludf.DUMMYFUNCTION("""COMPUTED_VALUE"""),"N")</f>
        <v>N</v>
      </c>
      <c r="M315" t="str">
        <f ca="1">IFERROR(__xludf.DUMMYFUNCTION("""COMPUTED_VALUE"""),"Of-559")</f>
        <v>Of-559</v>
      </c>
    </row>
    <row r="316" spans="1:13" ht="12.5" x14ac:dyDescent="0.25">
      <c r="A316" t="str">
        <f ca="1">IFERROR(__xludf.DUMMYFUNCTION("""COMPUTED_VALUE"""),"Suhangkat")</f>
        <v>Suhangkat</v>
      </c>
      <c r="B316" t="str">
        <f ca="1">IFERROR(__xludf.DUMMYFUNCTION("""COMPUTED_VALUE"""),"Santoso")</f>
        <v>Santoso</v>
      </c>
      <c r="C316" t="str">
        <f ca="1">IFERROR(__xludf.DUMMYFUNCTION("""COMPUTED_VALUE"""),"Suhangkat@mex.com")</f>
        <v>Suhangkat@mex.com</v>
      </c>
      <c r="D316" t="str">
        <f ca="1">IFERROR(__xludf.DUMMYFUNCTION("""COMPUTED_VALUE"""),"Tangerang")</f>
        <v>Tangerang</v>
      </c>
      <c r="E316" s="12">
        <f ca="1">IFERROR(__xludf.DUMMYFUNCTION("""COMPUTED_VALUE"""),43344)</f>
        <v>43344</v>
      </c>
      <c r="F316" t="str">
        <f ca="1">IFERROR(__xludf.DUMMYFUNCTION("""COMPUTED_VALUE"""),"KP0925SG")</f>
        <v>KP0925SG</v>
      </c>
      <c r="G316" s="11">
        <f ca="1">IFERROR(__xludf.DUMMYFUNCTION("""COMPUTED_VALUE"""),90000000)</f>
        <v>90000000</v>
      </c>
      <c r="H316">
        <f ca="1">IFERROR(__xludf.DUMMYFUNCTION("""COMPUTED_VALUE"""),36948)</f>
        <v>36948</v>
      </c>
      <c r="I316">
        <f ca="1">IFERROR(__xludf.DUMMYFUNCTION("""COMPUTED_VALUE"""),6)</f>
        <v>6</v>
      </c>
      <c r="J316">
        <f ca="1">IFERROR(__xludf.DUMMYFUNCTION("""COMPUTED_VALUE"""),4)</f>
        <v>4</v>
      </c>
      <c r="K316" t="str">
        <f ca="1">IFERROR(__xludf.DUMMYFUNCTION("""COMPUTED_VALUE"""),"JENT")</f>
        <v>JENT</v>
      </c>
      <c r="L316" t="str">
        <f ca="1">IFERROR(__xludf.DUMMYFUNCTION("""COMPUTED_VALUE"""),"N")</f>
        <v>N</v>
      </c>
      <c r="M316" t="str">
        <f ca="1">IFERROR(__xludf.DUMMYFUNCTION("""COMPUTED_VALUE"""),"Za-500")</f>
        <v>Za-500</v>
      </c>
    </row>
    <row r="317" spans="1:13" ht="12.5" x14ac:dyDescent="0.25">
      <c r="A317" t="str">
        <f ca="1">IFERROR(__xludf.DUMMYFUNCTION("""COMPUTED_VALUE"""),"Bong")</f>
        <v>Bong</v>
      </c>
      <c r="B317" t="str">
        <f ca="1">IFERROR(__xludf.DUMMYFUNCTION("""COMPUTED_VALUE"""),"Ruwiyadi")</f>
        <v>Ruwiyadi</v>
      </c>
      <c r="C317" t="str">
        <f ca="1">IFERROR(__xludf.DUMMYFUNCTION("""COMPUTED_VALUE"""),"Bong@gmailx.com")</f>
        <v>Bong@gmailx.com</v>
      </c>
      <c r="D317" t="str">
        <f ca="1">IFERROR(__xludf.DUMMYFUNCTION("""COMPUTED_VALUE"""),"Banjar")</f>
        <v>Banjar</v>
      </c>
      <c r="E317" s="12">
        <f ca="1">IFERROR(__xludf.DUMMYFUNCTION("""COMPUTED_VALUE"""),43344)</f>
        <v>43344</v>
      </c>
      <c r="F317" t="str">
        <f ca="1">IFERROR(__xludf.DUMMYFUNCTION("""COMPUTED_VALUE"""),"KP0150BH")</f>
        <v>KP0150BH</v>
      </c>
      <c r="G317" s="11">
        <f ca="1">IFERROR(__xludf.DUMMYFUNCTION("""COMPUTED_VALUE"""),189000000)</f>
        <v>189000000</v>
      </c>
      <c r="H317">
        <f ca="1">IFERROR(__xludf.DUMMYFUNCTION("""COMPUTED_VALUE"""),35137)</f>
        <v>35137</v>
      </c>
      <c r="I317">
        <f ca="1">IFERROR(__xludf.DUMMYFUNCTION("""COMPUTED_VALUE"""),7)</f>
        <v>7</v>
      </c>
      <c r="J317" t="str">
        <f ca="1">IFERROR(__xludf.DUMMYFUNCTION("""COMPUTED_VALUE"""),"N/A")</f>
        <v>N/A</v>
      </c>
      <c r="K317" t="str">
        <f ca="1">IFERROR(__xludf.DUMMYFUNCTION("""COMPUTED_VALUE"""),"Cepat Kirim")</f>
        <v>Cepat Kirim</v>
      </c>
      <c r="L317" t="str">
        <f ca="1">IFERROR(__xludf.DUMMYFUNCTION("""COMPUTED_VALUE"""),"Y")</f>
        <v>Y</v>
      </c>
      <c r="M317" t="str">
        <f ca="1">IFERROR(__xludf.DUMMYFUNCTION("""COMPUTED_VALUE"""),"Gz-409")</f>
        <v>Gz-409</v>
      </c>
    </row>
    <row r="318" spans="1:13" ht="12.5" x14ac:dyDescent="0.25">
      <c r="A318" t="str">
        <f ca="1">IFERROR(__xludf.DUMMYFUNCTION("""COMPUTED_VALUE"""),"Khou")</f>
        <v>Khou</v>
      </c>
      <c r="B318" t="str">
        <f ca="1">IFERROR(__xludf.DUMMYFUNCTION("""COMPUTED_VALUE"""),"Surono")</f>
        <v>Surono</v>
      </c>
      <c r="C318" t="str">
        <f ca="1">IFERROR(__xludf.DUMMYFUNCTION("""COMPUTED_VALUE"""),"Khou@gmailx.com")</f>
        <v>Khou@gmailx.com</v>
      </c>
      <c r="D318" t="str">
        <f ca="1">IFERROR(__xludf.DUMMYFUNCTION("""COMPUTED_VALUE"""),"Banjar")</f>
        <v>Banjar</v>
      </c>
      <c r="E318" s="12">
        <f ca="1">IFERROR(__xludf.DUMMYFUNCTION("""COMPUTED_VALUE"""),43313)</f>
        <v>43313</v>
      </c>
      <c r="F318" t="str">
        <f ca="1">IFERROR(__xludf.DUMMYFUNCTION("""COMPUTED_VALUE"""),"KP0425CB")</f>
        <v>KP0425CB</v>
      </c>
      <c r="G318" s="11">
        <f ca="1">IFERROR(__xludf.DUMMYFUNCTION("""COMPUTED_VALUE"""),272500000)</f>
        <v>272500000</v>
      </c>
      <c r="H318">
        <f ca="1">IFERROR(__xludf.DUMMYFUNCTION("""COMPUTED_VALUE"""),35712)</f>
        <v>35712</v>
      </c>
      <c r="I318">
        <f ca="1">IFERROR(__xludf.DUMMYFUNCTION("""COMPUTED_VALUE"""),10)</f>
        <v>10</v>
      </c>
      <c r="J318">
        <f ca="1">IFERROR(__xludf.DUMMYFUNCTION("""COMPUTED_VALUE"""),2)</f>
        <v>2</v>
      </c>
      <c r="K318" t="str">
        <f ca="1">IFERROR(__xludf.DUMMYFUNCTION("""COMPUTED_VALUE"""),"Swift Delivery")</f>
        <v>Swift Delivery</v>
      </c>
      <c r="L318" t="str">
        <f ca="1">IFERROR(__xludf.DUMMYFUNCTION("""COMPUTED_VALUE"""),"Y")</f>
        <v>Y</v>
      </c>
      <c r="M318" t="str">
        <f ca="1">IFERROR(__xludf.DUMMYFUNCTION("""COMPUTED_VALUE"""),"Sn-409")</f>
        <v>Sn-409</v>
      </c>
    </row>
    <row r="319" spans="1:13" ht="12.5" x14ac:dyDescent="0.25">
      <c r="A319" t="str">
        <f ca="1">IFERROR(__xludf.DUMMYFUNCTION("""COMPUTED_VALUE"""),"Hotman")</f>
        <v>Hotman</v>
      </c>
      <c r="B319" t="str">
        <f ca="1">IFERROR(__xludf.DUMMYFUNCTION("""COMPUTED_VALUE"""),"Derice")</f>
        <v>Derice</v>
      </c>
      <c r="C319" t="str">
        <f ca="1">IFERROR(__xludf.DUMMYFUNCTION("""COMPUTED_VALUE"""),"Hotman@ymailx.com")</f>
        <v>Hotman@ymailx.com</v>
      </c>
      <c r="D319" t="str">
        <f ca="1">IFERROR(__xludf.DUMMYFUNCTION("""COMPUTED_VALUE"""),"Metro")</f>
        <v>Metro</v>
      </c>
      <c r="E319" s="12">
        <f ca="1">IFERROR(__xludf.DUMMYFUNCTION("""COMPUTED_VALUE"""),43313)</f>
        <v>43313</v>
      </c>
      <c r="F319" t="str">
        <f ca="1">IFERROR(__xludf.DUMMYFUNCTION("""COMPUTED_VALUE"""),"KP0425CB")</f>
        <v>KP0425CB</v>
      </c>
      <c r="G319" s="11">
        <f ca="1">IFERROR(__xludf.DUMMYFUNCTION("""COMPUTED_VALUE"""),272500000)</f>
        <v>272500000</v>
      </c>
      <c r="H319">
        <f ca="1">IFERROR(__xludf.DUMMYFUNCTION("""COMPUTED_VALUE"""),36690)</f>
        <v>36690</v>
      </c>
      <c r="I319">
        <f ca="1">IFERROR(__xludf.DUMMYFUNCTION("""COMPUTED_VALUE"""),10)</f>
        <v>10</v>
      </c>
      <c r="J319" t="str">
        <f ca="1">IFERROR(__xludf.DUMMYFUNCTION("""COMPUTED_VALUE"""),"N/A")</f>
        <v>N/A</v>
      </c>
      <c r="K319" t="str">
        <f ca="1">IFERROR(__xludf.DUMMYFUNCTION("""COMPUTED_VALUE"""),"Wakanda Express")</f>
        <v>Wakanda Express</v>
      </c>
      <c r="L319" t="str">
        <f ca="1">IFERROR(__xludf.DUMMYFUNCTION("""COMPUTED_VALUE"""),"Y")</f>
        <v>Y</v>
      </c>
      <c r="M319" t="str">
        <f ca="1">IFERROR(__xludf.DUMMYFUNCTION("""COMPUTED_VALUE"""),"Zw-150")</f>
        <v>Zw-150</v>
      </c>
    </row>
    <row r="320" spans="1:13" ht="12.5" x14ac:dyDescent="0.25">
      <c r="A320" t="str">
        <f ca="1">IFERROR(__xludf.DUMMYFUNCTION("""COMPUTED_VALUE"""),"Gt")</f>
        <v>Gt</v>
      </c>
      <c r="B320" t="str">
        <f ca="1">IFERROR(__xludf.DUMMYFUNCTION("""COMPUTED_VALUE"""),"Niaga")</f>
        <v>Niaga</v>
      </c>
      <c r="C320" t="str">
        <f ca="1">IFERROR(__xludf.DUMMYFUNCTION("""COMPUTED_VALUE"""),"GT@gmailx.com")</f>
        <v>GT@gmailx.com</v>
      </c>
      <c r="D320" t="str">
        <f ca="1">IFERROR(__xludf.DUMMYFUNCTION("""COMPUTED_VALUE"""),"Lhokseumawe")</f>
        <v>Lhokseumawe</v>
      </c>
      <c r="E320" s="12">
        <f ca="1">IFERROR(__xludf.DUMMYFUNCTION("""COMPUTED_VALUE"""),43282)</f>
        <v>43282</v>
      </c>
      <c r="F320" t="str">
        <f ca="1">IFERROR(__xludf.DUMMYFUNCTION("""COMPUTED_VALUE"""),"KP0350CF")</f>
        <v>KP0350CF</v>
      </c>
      <c r="G320" s="11">
        <f ca="1">IFERROR(__xludf.DUMMYFUNCTION("""COMPUTED_VALUE"""),315000000)</f>
        <v>315000000</v>
      </c>
      <c r="H320">
        <f ca="1">IFERROR(__xludf.DUMMYFUNCTION("""COMPUTED_VALUE"""),36361)</f>
        <v>36361</v>
      </c>
      <c r="I320">
        <f ca="1">IFERROR(__xludf.DUMMYFUNCTION("""COMPUTED_VALUE"""),9)</f>
        <v>9</v>
      </c>
      <c r="J320">
        <f ca="1">IFERROR(__xludf.DUMMYFUNCTION("""COMPUTED_VALUE"""),4)</f>
        <v>4</v>
      </c>
      <c r="K320" t="str">
        <f ca="1">IFERROR(__xludf.DUMMYFUNCTION("""COMPUTED_VALUE"""),"Wakanda Express")</f>
        <v>Wakanda Express</v>
      </c>
      <c r="L320" t="str">
        <f ca="1">IFERROR(__xludf.DUMMYFUNCTION("""COMPUTED_VALUE"""),"Y")</f>
        <v>Y</v>
      </c>
      <c r="M320" t="str">
        <f ca="1">IFERROR(__xludf.DUMMYFUNCTION("""COMPUTED_VALUE"""),"Us-101")</f>
        <v>Us-101</v>
      </c>
    </row>
    <row r="321" spans="1:13" ht="12.5" x14ac:dyDescent="0.25">
      <c r="A321" t="str">
        <f ca="1">IFERROR(__xludf.DUMMYFUNCTION("""COMPUTED_VALUE"""),"Sari")</f>
        <v>Sari</v>
      </c>
      <c r="B321" t="str">
        <f ca="1">IFERROR(__xludf.DUMMYFUNCTION("""COMPUTED_VALUE"""),"Richard")</f>
        <v>Richard</v>
      </c>
      <c r="C321" t="str">
        <f ca="1">IFERROR(__xludf.DUMMYFUNCTION("""COMPUTED_VALUE"""),"Sari@icloudx.com")</f>
        <v>Sari@icloudx.com</v>
      </c>
      <c r="D321" t="str">
        <f ca="1">IFERROR(__xludf.DUMMYFUNCTION("""COMPUTED_VALUE"""),"Banjarbaru")</f>
        <v>Banjarbaru</v>
      </c>
      <c r="E321" s="12">
        <f ca="1">IFERROR(__xludf.DUMMYFUNCTION("""COMPUTED_VALUE"""),43252)</f>
        <v>43252</v>
      </c>
      <c r="F321" t="str">
        <f ca="1">IFERROR(__xludf.DUMMYFUNCTION("""COMPUTED_VALUE"""),"KP0625AF")</f>
        <v>KP0625AF</v>
      </c>
      <c r="G321" s="11">
        <f ca="1">IFERROR(__xludf.DUMMYFUNCTION("""COMPUTED_VALUE"""),108000000)</f>
        <v>108000000</v>
      </c>
      <c r="H321">
        <f ca="1">IFERROR(__xludf.DUMMYFUNCTION("""COMPUTED_VALUE"""),36142)</f>
        <v>36142</v>
      </c>
      <c r="I321">
        <f ca="1">IFERROR(__xludf.DUMMYFUNCTION("""COMPUTED_VALUE"""),9)</f>
        <v>9</v>
      </c>
      <c r="J321" t="str">
        <f ca="1">IFERROR(__xludf.DUMMYFUNCTION("""COMPUTED_VALUE"""),"N/A")</f>
        <v>N/A</v>
      </c>
      <c r="K321" t="str">
        <f ca="1">IFERROR(__xludf.DUMMYFUNCTION("""COMPUTED_VALUE"""),"Swift Delivery")</f>
        <v>Swift Delivery</v>
      </c>
      <c r="L321" t="str">
        <f ca="1">IFERROR(__xludf.DUMMYFUNCTION("""COMPUTED_VALUE"""),"N")</f>
        <v>N</v>
      </c>
      <c r="M321" t="str">
        <f ca="1">IFERROR(__xludf.DUMMYFUNCTION("""COMPUTED_VALUE"""),"Zk-991")</f>
        <v>Zk-991</v>
      </c>
    </row>
    <row r="322" spans="1:13" ht="12.5" x14ac:dyDescent="0.25">
      <c r="A322" t="str">
        <f ca="1">IFERROR(__xludf.DUMMYFUNCTION("""COMPUTED_VALUE"""),"Choo")</f>
        <v>Choo</v>
      </c>
      <c r="B322" t="str">
        <f ca="1">IFERROR(__xludf.DUMMYFUNCTION("""COMPUTED_VALUE"""),"Karamchandani")</f>
        <v>Karamchandani</v>
      </c>
      <c r="C322" t="str">
        <f ca="1">IFERROR(__xludf.DUMMYFUNCTION("""COMPUTED_VALUE"""),"Choo@outlookx.com")</f>
        <v>Choo@outlookx.com</v>
      </c>
      <c r="D322" t="str">
        <f ca="1">IFERROR(__xludf.DUMMYFUNCTION("""COMPUTED_VALUE"""),"Tasikmalaya")</f>
        <v>Tasikmalaya</v>
      </c>
      <c r="E322" s="12">
        <f ca="1">IFERROR(__xludf.DUMMYFUNCTION("""COMPUTED_VALUE"""),43101)</f>
        <v>43101</v>
      </c>
      <c r="F322" t="str">
        <f ca="1">IFERROR(__xludf.DUMMYFUNCTION("""COMPUTED_VALUE"""),"KP0225BB")</f>
        <v>KP0225BB</v>
      </c>
      <c r="G322" s="11">
        <f ca="1">IFERROR(__xludf.DUMMYFUNCTION("""COMPUTED_VALUE"""),40000000)</f>
        <v>40000000</v>
      </c>
      <c r="H322">
        <f ca="1">IFERROR(__xludf.DUMMYFUNCTION("""COMPUTED_VALUE"""),35092)</f>
        <v>35092</v>
      </c>
      <c r="I322">
        <f ca="1">IFERROR(__xludf.DUMMYFUNCTION("""COMPUTED_VALUE"""),4)</f>
        <v>4</v>
      </c>
      <c r="J322" t="str">
        <f ca="1">IFERROR(__xludf.DUMMYFUNCTION("""COMPUTED_VALUE"""),"N/A")</f>
        <v>N/A</v>
      </c>
      <c r="K322" t="str">
        <f ca="1">IFERROR(__xludf.DUMMYFUNCTION("""COMPUTED_VALUE"""),"Pru Logistic")</f>
        <v>Pru Logistic</v>
      </c>
      <c r="L322" t="str">
        <f ca="1">IFERROR(__xludf.DUMMYFUNCTION("""COMPUTED_VALUE"""),"Y")</f>
        <v>Y</v>
      </c>
      <c r="M322" t="str">
        <f ca="1">IFERROR(__xludf.DUMMYFUNCTION("""COMPUTED_VALUE"""),"Gh-409")</f>
        <v>Gh-409</v>
      </c>
    </row>
    <row r="323" spans="1:13" ht="12.5" x14ac:dyDescent="0.25">
      <c r="A323" t="str">
        <f ca="1">IFERROR(__xludf.DUMMYFUNCTION("""COMPUTED_VALUE"""),"Hermansjah")</f>
        <v>Hermansjah</v>
      </c>
      <c r="B323" t="str">
        <f ca="1">IFERROR(__xludf.DUMMYFUNCTION("""COMPUTED_VALUE"""),"Putra")</f>
        <v>Putra</v>
      </c>
      <c r="C323" t="str">
        <f ca="1">IFERROR(__xludf.DUMMYFUNCTION("""COMPUTED_VALUE"""),"Hermansjah@ymailx.com")</f>
        <v>Hermansjah@ymailx.com</v>
      </c>
      <c r="D323" t="str">
        <f ca="1">IFERROR(__xludf.DUMMYFUNCTION("""COMPUTED_VALUE"""),"Banda Aceh")</f>
        <v>Banda Aceh</v>
      </c>
      <c r="E323" s="12">
        <f ca="1">IFERROR(__xludf.DUMMYFUNCTION("""COMPUTED_VALUE"""),43101)</f>
        <v>43101</v>
      </c>
      <c r="F323" t="str">
        <f ca="1">IFERROR(__xludf.DUMMYFUNCTION("""COMPUTED_VALUE"""),"KP0850FB")</f>
        <v>KP0850FB</v>
      </c>
      <c r="G323" s="11">
        <f ca="1">IFERROR(__xludf.DUMMYFUNCTION("""COMPUTED_VALUE"""),126000000)</f>
        <v>126000000</v>
      </c>
      <c r="H323">
        <f ca="1">IFERROR(__xludf.DUMMYFUNCTION("""COMPUTED_VALUE"""),36134)</f>
        <v>36134</v>
      </c>
      <c r="I323">
        <f ca="1">IFERROR(__xludf.DUMMYFUNCTION("""COMPUTED_VALUE"""),6)</f>
        <v>6</v>
      </c>
      <c r="J323" t="str">
        <f ca="1">IFERROR(__xludf.DUMMYFUNCTION("""COMPUTED_VALUE"""),"N/A")</f>
        <v>N/A</v>
      </c>
      <c r="K323" t="str">
        <f ca="1">IFERROR(__xludf.DUMMYFUNCTION("""COMPUTED_VALUE"""),"Cepat Kirim")</f>
        <v>Cepat Kirim</v>
      </c>
      <c r="L323" t="str">
        <f ca="1">IFERROR(__xludf.DUMMYFUNCTION("""COMPUTED_VALUE"""),"Y")</f>
        <v>Y</v>
      </c>
      <c r="M323" t="str">
        <f ca="1">IFERROR(__xludf.DUMMYFUNCTION("""COMPUTED_VALUE"""),"Rh-101")</f>
        <v>Rh-101</v>
      </c>
    </row>
    <row r="324" spans="1:13" ht="12.5" x14ac:dyDescent="0.25">
      <c r="A324" t="str">
        <f ca="1">IFERROR(__xludf.DUMMYFUNCTION("""COMPUTED_VALUE"""),"Septo")</f>
        <v>Septo</v>
      </c>
      <c r="B324" t="str">
        <f ca="1">IFERROR(__xludf.DUMMYFUNCTION("""COMPUTED_VALUE"""),"Ong")</f>
        <v>Ong</v>
      </c>
      <c r="C324" t="str">
        <f ca="1">IFERROR(__xludf.DUMMYFUNCTION("""COMPUTED_VALUE"""),"Septo@ymailx.com")</f>
        <v>Septo@ymailx.com</v>
      </c>
      <c r="D324" t="str">
        <f ca="1">IFERROR(__xludf.DUMMYFUNCTION("""COMPUTED_VALUE"""),"Banda Aceh")</f>
        <v>Banda Aceh</v>
      </c>
      <c r="E324" s="12">
        <f ca="1">IFERROR(__xludf.DUMMYFUNCTION("""COMPUTED_VALUE"""),43097)</f>
        <v>43097</v>
      </c>
      <c r="F324" t="str">
        <f ca="1">IFERROR(__xludf.DUMMYFUNCTION("""COMPUTED_VALUE"""),"KP0850FB")</f>
        <v>KP0850FB</v>
      </c>
      <c r="G324" s="11">
        <f ca="1">IFERROR(__xludf.DUMMYFUNCTION("""COMPUTED_VALUE"""),63000000)</f>
        <v>63000000</v>
      </c>
      <c r="H324">
        <f ca="1">IFERROR(__xludf.DUMMYFUNCTION("""COMPUTED_VALUE"""),36838)</f>
        <v>36838</v>
      </c>
      <c r="I324">
        <f ca="1">IFERROR(__xludf.DUMMYFUNCTION("""COMPUTED_VALUE"""),3)</f>
        <v>3</v>
      </c>
      <c r="J324" t="str">
        <f ca="1">IFERROR(__xludf.DUMMYFUNCTION("""COMPUTED_VALUE"""),"N/A")</f>
        <v>N/A</v>
      </c>
      <c r="K324" t="str">
        <f ca="1">IFERROR(__xludf.DUMMYFUNCTION("""COMPUTED_VALUE"""),"Cepat Kirim")</f>
        <v>Cepat Kirim</v>
      </c>
      <c r="L324" t="str">
        <f ca="1">IFERROR(__xludf.DUMMYFUNCTION("""COMPUTED_VALUE"""),"N")</f>
        <v>N</v>
      </c>
      <c r="M324" t="str">
        <f ca="1">IFERROR(__xludf.DUMMYFUNCTION("""COMPUTED_VALUE"""),"Tr-101")</f>
        <v>Tr-101</v>
      </c>
    </row>
    <row r="325" spans="1:13" ht="12.5" x14ac:dyDescent="0.25">
      <c r="A325" t="str">
        <f ca="1">IFERROR(__xludf.DUMMYFUNCTION("""COMPUTED_VALUE"""),"Metta")</f>
        <v>Metta</v>
      </c>
      <c r="B325" t="str">
        <f ca="1">IFERROR(__xludf.DUMMYFUNCTION("""COMPUTED_VALUE"""),"Basyir")</f>
        <v>Basyir</v>
      </c>
      <c r="C325" t="str">
        <f ca="1">IFERROR(__xludf.DUMMYFUNCTION("""COMPUTED_VALUE"""),"Metta@ymailx.com")</f>
        <v>Metta@ymailx.com</v>
      </c>
      <c r="D325" t="str">
        <f ca="1">IFERROR(__xludf.DUMMYFUNCTION("""COMPUTED_VALUE"""),"Medan")</f>
        <v>Medan</v>
      </c>
      <c r="E325" s="12">
        <f ca="1">IFERROR(__xludf.DUMMYFUNCTION("""COMPUTED_VALUE"""),43097)</f>
        <v>43097</v>
      </c>
      <c r="F325" t="str">
        <f ca="1">IFERROR(__xludf.DUMMYFUNCTION("""COMPUTED_VALUE"""),"KP0850FB")</f>
        <v>KP0850FB</v>
      </c>
      <c r="G325" s="11">
        <f ca="1">IFERROR(__xludf.DUMMYFUNCTION("""COMPUTED_VALUE"""),84000000)</f>
        <v>84000000</v>
      </c>
      <c r="H325">
        <f ca="1">IFERROR(__xludf.DUMMYFUNCTION("""COMPUTED_VALUE"""),35628)</f>
        <v>35628</v>
      </c>
      <c r="I325">
        <f ca="1">IFERROR(__xludf.DUMMYFUNCTION("""COMPUTED_VALUE"""),4)</f>
        <v>4</v>
      </c>
      <c r="J325" t="str">
        <f ca="1">IFERROR(__xludf.DUMMYFUNCTION("""COMPUTED_VALUE"""),"N/A")</f>
        <v>N/A</v>
      </c>
      <c r="K325" t="str">
        <f ca="1">IFERROR(__xludf.DUMMYFUNCTION("""COMPUTED_VALUE"""),"Swift Delivery")</f>
        <v>Swift Delivery</v>
      </c>
      <c r="L325" t="str">
        <f ca="1">IFERROR(__xludf.DUMMYFUNCTION("""COMPUTED_VALUE"""),"Y")</f>
        <v>Y</v>
      </c>
      <c r="M325" t="str">
        <f ca="1">IFERROR(__xludf.DUMMYFUNCTION("""COMPUTED_VALUE"""),"Rn-662")</f>
        <v>Rn-662</v>
      </c>
    </row>
    <row r="326" spans="1:13" ht="12.5" x14ac:dyDescent="0.25">
      <c r="A326" t="str">
        <f ca="1">IFERROR(__xludf.DUMMYFUNCTION("""COMPUTED_VALUE"""),"Andrew")</f>
        <v>Andrew</v>
      </c>
      <c r="B326" t="str">
        <f ca="1">IFERROR(__xludf.DUMMYFUNCTION("""COMPUTED_VALUE"""),"Eddy")</f>
        <v>Eddy</v>
      </c>
      <c r="C326" t="str">
        <f ca="1">IFERROR(__xludf.DUMMYFUNCTION("""COMPUTED_VALUE"""),"Andrew@ymailx.com")</f>
        <v>Andrew@ymailx.com</v>
      </c>
      <c r="D326" t="str">
        <f ca="1">IFERROR(__xludf.DUMMYFUNCTION("""COMPUTED_VALUE"""),"Manado")</f>
        <v>Manado</v>
      </c>
      <c r="E326" s="12">
        <f ca="1">IFERROR(__xludf.DUMMYFUNCTION("""COMPUTED_VALUE"""),43096)</f>
        <v>43096</v>
      </c>
      <c r="F326" t="str">
        <f ca="1">IFERROR(__xludf.DUMMYFUNCTION("""COMPUTED_VALUE"""),"KP0350CF")</f>
        <v>KP0350CF</v>
      </c>
      <c r="G326" s="11">
        <f ca="1">IFERROR(__xludf.DUMMYFUNCTION("""COMPUTED_VALUE"""),210000000)</f>
        <v>210000000</v>
      </c>
      <c r="H326">
        <f ca="1">IFERROR(__xludf.DUMMYFUNCTION("""COMPUTED_VALUE"""),36598)</f>
        <v>36598</v>
      </c>
      <c r="I326">
        <f ca="1">IFERROR(__xludf.DUMMYFUNCTION("""COMPUTED_VALUE"""),6)</f>
        <v>6</v>
      </c>
      <c r="J326">
        <f ca="1">IFERROR(__xludf.DUMMYFUNCTION("""COMPUTED_VALUE"""),4)</f>
        <v>4</v>
      </c>
      <c r="K326" t="str">
        <f ca="1">IFERROR(__xludf.DUMMYFUNCTION("""COMPUTED_VALUE"""),"Swift Delivery")</f>
        <v>Swift Delivery</v>
      </c>
      <c r="L326" t="str">
        <f ca="1">IFERROR(__xludf.DUMMYFUNCTION("""COMPUTED_VALUE"""),"Y")</f>
        <v>Y</v>
      </c>
      <c r="M326" t="str">
        <f ca="1">IFERROR(__xludf.DUMMYFUNCTION("""COMPUTED_VALUE"""),"Qo-221")</f>
        <v>Qo-221</v>
      </c>
    </row>
    <row r="327" spans="1:13" ht="12.5" x14ac:dyDescent="0.25">
      <c r="A327" t="str">
        <f ca="1">IFERROR(__xludf.DUMMYFUNCTION("""COMPUTED_VALUE"""),"Rori")</f>
        <v>Rori</v>
      </c>
      <c r="B327" t="str">
        <f ca="1">IFERROR(__xludf.DUMMYFUNCTION("""COMPUTED_VALUE"""),"Group")</f>
        <v>Group</v>
      </c>
      <c r="C327" t="str">
        <f ca="1">IFERROR(__xludf.DUMMYFUNCTION("""COMPUTED_VALUE"""),"Group@ymailx.com")</f>
        <v>Group@ymailx.com</v>
      </c>
      <c r="D327" t="str">
        <f ca="1">IFERROR(__xludf.DUMMYFUNCTION("""COMPUTED_VALUE"""),"Pariaman")</f>
        <v>Pariaman</v>
      </c>
      <c r="E327" s="12">
        <f ca="1">IFERROR(__xludf.DUMMYFUNCTION("""COMPUTED_VALUE"""),43096)</f>
        <v>43096</v>
      </c>
      <c r="F327" t="str">
        <f ca="1">IFERROR(__xludf.DUMMYFUNCTION("""COMPUTED_VALUE"""),"KP0750AJ")</f>
        <v>KP0750AJ</v>
      </c>
      <c r="G327" s="11">
        <f ca="1">IFERROR(__xludf.DUMMYFUNCTION("""COMPUTED_VALUE"""),144000000)</f>
        <v>144000000</v>
      </c>
      <c r="H327">
        <f ca="1">IFERROR(__xludf.DUMMYFUNCTION("""COMPUTED_VALUE"""),35311)</f>
        <v>35311</v>
      </c>
      <c r="I327">
        <f ca="1">IFERROR(__xludf.DUMMYFUNCTION("""COMPUTED_VALUE"""),8)</f>
        <v>8</v>
      </c>
      <c r="J327" t="str">
        <f ca="1">IFERROR(__xludf.DUMMYFUNCTION("""COMPUTED_VALUE"""),"N/A")</f>
        <v>N/A</v>
      </c>
      <c r="K327" t="str">
        <f ca="1">IFERROR(__xludf.DUMMYFUNCTION("""COMPUTED_VALUE"""),"JENT")</f>
        <v>JENT</v>
      </c>
      <c r="L327" t="str">
        <f ca="1">IFERROR(__xludf.DUMMYFUNCTION("""COMPUTED_VALUE"""),"N")</f>
        <v>N</v>
      </c>
      <c r="M327" t="str">
        <f ca="1">IFERROR(__xludf.DUMMYFUNCTION("""COMPUTED_VALUE"""),"Rh-559")</f>
        <v>Rh-559</v>
      </c>
    </row>
    <row r="328" spans="1:13" ht="12.5" x14ac:dyDescent="0.25">
      <c r="A328" t="str">
        <f ca="1">IFERROR(__xludf.DUMMYFUNCTION("""COMPUTED_VALUE"""),"Baldeo")</f>
        <v>Baldeo</v>
      </c>
      <c r="B328" t="str">
        <f ca="1">IFERROR(__xludf.DUMMYFUNCTION("""COMPUTED_VALUE"""),"Agil")</f>
        <v>Agil</v>
      </c>
      <c r="C328" t="str">
        <f ca="1">IFERROR(__xludf.DUMMYFUNCTION("""COMPUTED_VALUE"""),"Baldeo@ymailx.com")</f>
        <v>Baldeo@ymailx.com</v>
      </c>
      <c r="D328" t="str">
        <f ca="1">IFERROR(__xludf.DUMMYFUNCTION("""COMPUTED_VALUE"""),"Tomohon")</f>
        <v>Tomohon</v>
      </c>
      <c r="E328" s="12">
        <f ca="1">IFERROR(__xludf.DUMMYFUNCTION("""COMPUTED_VALUE"""),43095)</f>
        <v>43095</v>
      </c>
      <c r="F328" t="str">
        <f ca="1">IFERROR(__xludf.DUMMYFUNCTION("""COMPUTED_VALUE"""),"KP0050AG")</f>
        <v>KP0050AG</v>
      </c>
      <c r="G328" s="11">
        <f ca="1">IFERROR(__xludf.DUMMYFUNCTION("""COMPUTED_VALUE"""),113750000)</f>
        <v>113750000</v>
      </c>
      <c r="H328">
        <f ca="1">IFERROR(__xludf.DUMMYFUNCTION("""COMPUTED_VALUE"""),35959)</f>
        <v>35959</v>
      </c>
      <c r="I328">
        <f ca="1">IFERROR(__xludf.DUMMYFUNCTION("""COMPUTED_VALUE"""),7)</f>
        <v>7</v>
      </c>
      <c r="J328" t="str">
        <f ca="1">IFERROR(__xludf.DUMMYFUNCTION("""COMPUTED_VALUE"""),"N/A")</f>
        <v>N/A</v>
      </c>
      <c r="K328" t="str">
        <f ca="1">IFERROR(__xludf.DUMMYFUNCTION("""COMPUTED_VALUE"""),"JENT")</f>
        <v>JENT</v>
      </c>
      <c r="L328" t="str">
        <f ca="1">IFERROR(__xludf.DUMMYFUNCTION("""COMPUTED_VALUE"""),"Y")</f>
        <v>Y</v>
      </c>
      <c r="M328" t="str">
        <f ca="1">IFERROR(__xludf.DUMMYFUNCTION("""COMPUTED_VALUE"""),"Uj-221")</f>
        <v>Uj-221</v>
      </c>
    </row>
    <row r="329" spans="1:13" ht="12.5" x14ac:dyDescent="0.25">
      <c r="A329" t="str">
        <f ca="1">IFERROR(__xludf.DUMMYFUNCTION("""COMPUTED_VALUE"""),"Adji")</f>
        <v>Adji</v>
      </c>
      <c r="B329" t="str">
        <f ca="1">IFERROR(__xludf.DUMMYFUNCTION("""COMPUTED_VALUE"""),"Widjojo")</f>
        <v>Widjojo</v>
      </c>
      <c r="C329" t="str">
        <f ca="1">IFERROR(__xludf.DUMMYFUNCTION("""COMPUTED_VALUE"""),"Adji@livex.com")</f>
        <v>Adji@livex.com</v>
      </c>
      <c r="D329" t="str">
        <f ca="1">IFERROR(__xludf.DUMMYFUNCTION("""COMPUTED_VALUE"""),"Tarakan")</f>
        <v>Tarakan</v>
      </c>
      <c r="E329" s="12">
        <f ca="1">IFERROR(__xludf.DUMMYFUNCTION("""COMPUTED_VALUE"""),43095)</f>
        <v>43095</v>
      </c>
      <c r="F329" t="str">
        <f ca="1">IFERROR(__xludf.DUMMYFUNCTION("""COMPUTED_VALUE"""),"KP0850FB")</f>
        <v>KP0850FB</v>
      </c>
      <c r="G329" s="11">
        <f ca="1">IFERROR(__xludf.DUMMYFUNCTION("""COMPUTED_VALUE"""),126000000)</f>
        <v>126000000</v>
      </c>
      <c r="H329">
        <f ca="1">IFERROR(__xludf.DUMMYFUNCTION("""COMPUTED_VALUE"""),36748)</f>
        <v>36748</v>
      </c>
      <c r="I329">
        <f ca="1">IFERROR(__xludf.DUMMYFUNCTION("""COMPUTED_VALUE"""),6)</f>
        <v>6</v>
      </c>
      <c r="J329" t="str">
        <f ca="1">IFERROR(__xludf.DUMMYFUNCTION("""COMPUTED_VALUE"""),"N/A")</f>
        <v>N/A</v>
      </c>
      <c r="K329" t="str">
        <f ca="1">IFERROR(__xludf.DUMMYFUNCTION("""COMPUTED_VALUE"""),"Cepat Kirim")</f>
        <v>Cepat Kirim</v>
      </c>
      <c r="L329" t="str">
        <f ca="1">IFERROR(__xludf.DUMMYFUNCTION("""COMPUTED_VALUE"""),"Y")</f>
        <v>Y</v>
      </c>
      <c r="M329" t="str">
        <f ca="1">IFERROR(__xludf.DUMMYFUNCTION("""COMPUTED_VALUE"""),"Ak-994")</f>
        <v>Ak-994</v>
      </c>
    </row>
    <row r="330" spans="1:13" ht="12.5" x14ac:dyDescent="0.25">
      <c r="A330" t="str">
        <f ca="1">IFERROR(__xludf.DUMMYFUNCTION("""COMPUTED_VALUE"""),"Iwan")</f>
        <v>Iwan</v>
      </c>
      <c r="B330" t="str">
        <f ca="1">IFERROR(__xludf.DUMMYFUNCTION("""COMPUTED_VALUE"""),"Hardjanto")</f>
        <v>Hardjanto</v>
      </c>
      <c r="C330" t="str">
        <f ca="1">IFERROR(__xludf.DUMMYFUNCTION("""COMPUTED_VALUE"""),"Iwan@ymailx.com")</f>
        <v>Iwan@ymailx.com</v>
      </c>
      <c r="D330" t="str">
        <f ca="1">IFERROR(__xludf.DUMMYFUNCTION("""COMPUTED_VALUE"""),"Singkawang")</f>
        <v>Singkawang</v>
      </c>
      <c r="E330" s="12">
        <f ca="1">IFERROR(__xludf.DUMMYFUNCTION("""COMPUTED_VALUE"""),43093)</f>
        <v>43093</v>
      </c>
      <c r="F330" t="str">
        <f ca="1">IFERROR(__xludf.DUMMYFUNCTION("""COMPUTED_VALUE"""),"KP0050AG")</f>
        <v>KP0050AG</v>
      </c>
      <c r="G330" s="11">
        <f ca="1">IFERROR(__xludf.DUMMYFUNCTION("""COMPUTED_VALUE"""),81250000)</f>
        <v>81250000</v>
      </c>
      <c r="H330">
        <f ca="1">IFERROR(__xludf.DUMMYFUNCTION("""COMPUTED_VALUE"""),36548)</f>
        <v>36548</v>
      </c>
      <c r="I330">
        <f ca="1">IFERROR(__xludf.DUMMYFUNCTION("""COMPUTED_VALUE"""),5)</f>
        <v>5</v>
      </c>
      <c r="J330" t="str">
        <f ca="1">IFERROR(__xludf.DUMMYFUNCTION("""COMPUTED_VALUE"""),"N/A")</f>
        <v>N/A</v>
      </c>
      <c r="K330" t="str">
        <f ca="1">IFERROR(__xludf.DUMMYFUNCTION("""COMPUTED_VALUE"""),"Swift Delivery")</f>
        <v>Swift Delivery</v>
      </c>
      <c r="L330" t="str">
        <f ca="1">IFERROR(__xludf.DUMMYFUNCTION("""COMPUTED_VALUE"""),"Y")</f>
        <v>Y</v>
      </c>
      <c r="M330" t="str">
        <f ca="1">IFERROR(__xludf.DUMMYFUNCTION("""COMPUTED_VALUE"""),"Fb-880")</f>
        <v>Fb-880</v>
      </c>
    </row>
    <row r="331" spans="1:13" ht="12.5" x14ac:dyDescent="0.25">
      <c r="A331" t="str">
        <f ca="1">IFERROR(__xludf.DUMMYFUNCTION("""COMPUTED_VALUE"""),"Roni")</f>
        <v>Roni</v>
      </c>
      <c r="B331" t="str">
        <f ca="1">IFERROR(__xludf.DUMMYFUNCTION("""COMPUTED_VALUE"""),"Landajani")</f>
        <v>Landajani</v>
      </c>
      <c r="C331" t="str">
        <f ca="1">IFERROR(__xludf.DUMMYFUNCTION("""COMPUTED_VALUE"""),"Landajani@gmailx.com")</f>
        <v>Landajani@gmailx.com</v>
      </c>
      <c r="D331" t="str">
        <f ca="1">IFERROR(__xludf.DUMMYFUNCTION("""COMPUTED_VALUE"""),"Sorong")</f>
        <v>Sorong</v>
      </c>
      <c r="E331" s="12">
        <f ca="1">IFERROR(__xludf.DUMMYFUNCTION("""COMPUTED_VALUE"""),43092)</f>
        <v>43092</v>
      </c>
      <c r="F331" t="str">
        <f ca="1">IFERROR(__xludf.DUMMYFUNCTION("""COMPUTED_VALUE"""),"KP0750AJ")</f>
        <v>KP0750AJ</v>
      </c>
      <c r="G331" s="11">
        <f ca="1">IFERROR(__xludf.DUMMYFUNCTION("""COMPUTED_VALUE"""),72000000)</f>
        <v>72000000</v>
      </c>
      <c r="H331">
        <f ca="1">IFERROR(__xludf.DUMMYFUNCTION("""COMPUTED_VALUE"""),35384)</f>
        <v>35384</v>
      </c>
      <c r="I331">
        <f ca="1">IFERROR(__xludf.DUMMYFUNCTION("""COMPUTED_VALUE"""),4)</f>
        <v>4</v>
      </c>
      <c r="J331" t="str">
        <f ca="1">IFERROR(__xludf.DUMMYFUNCTION("""COMPUTED_VALUE"""),"N/A")</f>
        <v>N/A</v>
      </c>
      <c r="K331" t="str">
        <f ca="1">IFERROR(__xludf.DUMMYFUNCTION("""COMPUTED_VALUE"""),"Wakanda Express")</f>
        <v>Wakanda Express</v>
      </c>
      <c r="L331" t="str">
        <f ca="1">IFERROR(__xludf.DUMMYFUNCTION("""COMPUTED_VALUE"""),"N")</f>
        <v>N</v>
      </c>
      <c r="M331" t="str">
        <f ca="1">IFERROR(__xludf.DUMMYFUNCTION("""COMPUTED_VALUE"""),"Be-999")</f>
        <v>Be-999</v>
      </c>
    </row>
    <row r="332" spans="1:13" ht="12.5" x14ac:dyDescent="0.25">
      <c r="A332" t="str">
        <f ca="1">IFERROR(__xludf.DUMMYFUNCTION("""COMPUTED_VALUE"""),"Multi-Holdings")</f>
        <v>Multi-Holdings</v>
      </c>
      <c r="B332" t="str">
        <f ca="1">IFERROR(__xludf.DUMMYFUNCTION("""COMPUTED_VALUE"""),"Asia")</f>
        <v>Asia</v>
      </c>
      <c r="C332" t="str">
        <f ca="1">IFERROR(__xludf.DUMMYFUNCTION("""COMPUTED_VALUE"""),"Multi-Holdings@rocketmailx.com")</f>
        <v>Multi-Holdings@rocketmailx.com</v>
      </c>
      <c r="D332" t="str">
        <f ca="1">IFERROR(__xludf.DUMMYFUNCTION("""COMPUTED_VALUE"""),"Bima")</f>
        <v>Bima</v>
      </c>
      <c r="E332" s="12">
        <f ca="1">IFERROR(__xludf.DUMMYFUNCTION("""COMPUTED_VALUE"""),43092)</f>
        <v>43092</v>
      </c>
      <c r="F332" t="str">
        <f ca="1">IFERROR(__xludf.DUMMYFUNCTION("""COMPUTED_VALUE"""),"KP0050AG")</f>
        <v>KP0050AG</v>
      </c>
      <c r="G332" s="11">
        <f ca="1">IFERROR(__xludf.DUMMYFUNCTION("""COMPUTED_VALUE"""),130000000)</f>
        <v>130000000</v>
      </c>
      <c r="H332">
        <f ca="1">IFERROR(__xludf.DUMMYFUNCTION("""COMPUTED_VALUE"""),36174)</f>
        <v>36174</v>
      </c>
      <c r="I332">
        <f ca="1">IFERROR(__xludf.DUMMYFUNCTION("""COMPUTED_VALUE"""),8)</f>
        <v>8</v>
      </c>
      <c r="J332" t="str">
        <f ca="1">IFERROR(__xludf.DUMMYFUNCTION("""COMPUTED_VALUE"""),"N/A")</f>
        <v>N/A</v>
      </c>
      <c r="K332" t="str">
        <f ca="1">IFERROR(__xludf.DUMMYFUNCTION("""COMPUTED_VALUE"""),"JENT")</f>
        <v>JENT</v>
      </c>
      <c r="L332" t="str">
        <f ca="1">IFERROR(__xludf.DUMMYFUNCTION("""COMPUTED_VALUE"""),"N")</f>
        <v>N</v>
      </c>
      <c r="M332" t="str">
        <f ca="1">IFERROR(__xludf.DUMMYFUNCTION("""COMPUTED_VALUE"""),"Bl-183")</f>
        <v>Bl-183</v>
      </c>
    </row>
    <row r="333" spans="1:13" ht="12.5" x14ac:dyDescent="0.25">
      <c r="A333" t="str">
        <f ca="1">IFERROR(__xludf.DUMMYFUNCTION("""COMPUTED_VALUE"""),"Hardy")</f>
        <v>Hardy</v>
      </c>
      <c r="B333" t="str">
        <f ca="1">IFERROR(__xludf.DUMMYFUNCTION("""COMPUTED_VALUE"""),"Noer")</f>
        <v>Noer</v>
      </c>
      <c r="C333" t="str">
        <f ca="1">IFERROR(__xludf.DUMMYFUNCTION("""COMPUTED_VALUE"""),"Hardy@ymailx.com")</f>
        <v>Hardy@ymailx.com</v>
      </c>
      <c r="D333" t="str">
        <f ca="1">IFERROR(__xludf.DUMMYFUNCTION("""COMPUTED_VALUE"""),"Langsa")</f>
        <v>Langsa</v>
      </c>
      <c r="E333" s="12">
        <f ca="1">IFERROR(__xludf.DUMMYFUNCTION("""COMPUTED_VALUE"""),43092)</f>
        <v>43092</v>
      </c>
      <c r="F333" t="str">
        <f ca="1">IFERROR(__xludf.DUMMYFUNCTION("""COMPUTED_VALUE"""),"KP0625AF")</f>
        <v>KP0625AF</v>
      </c>
      <c r="G333" s="11">
        <f ca="1">IFERROR(__xludf.DUMMYFUNCTION("""COMPUTED_VALUE"""),36000000)</f>
        <v>36000000</v>
      </c>
      <c r="H333">
        <f ca="1">IFERROR(__xludf.DUMMYFUNCTION("""COMPUTED_VALUE"""),35876)</f>
        <v>35876</v>
      </c>
      <c r="I333">
        <f ca="1">IFERROR(__xludf.DUMMYFUNCTION("""COMPUTED_VALUE"""),3)</f>
        <v>3</v>
      </c>
      <c r="J333">
        <f ca="1">IFERROR(__xludf.DUMMYFUNCTION("""COMPUTED_VALUE"""),4)</f>
        <v>4</v>
      </c>
      <c r="K333" t="str">
        <f ca="1">IFERROR(__xludf.DUMMYFUNCTION("""COMPUTED_VALUE"""),"Swift Delivery")</f>
        <v>Swift Delivery</v>
      </c>
      <c r="L333" t="str">
        <f ca="1">IFERROR(__xludf.DUMMYFUNCTION("""COMPUTED_VALUE"""),"Y")</f>
        <v>Y</v>
      </c>
      <c r="M333" t="str">
        <f ca="1">IFERROR(__xludf.DUMMYFUNCTION("""COMPUTED_VALUE"""),"Ev-101")</f>
        <v>Ev-101</v>
      </c>
    </row>
    <row r="334" spans="1:13" ht="12.5" x14ac:dyDescent="0.25">
      <c r="A334" t="str">
        <f ca="1">IFERROR(__xludf.DUMMYFUNCTION("""COMPUTED_VALUE"""),"Handy")</f>
        <v>Handy</v>
      </c>
      <c r="B334" t="str">
        <f ca="1">IFERROR(__xludf.DUMMYFUNCTION("""COMPUTED_VALUE"""),"Budiman")</f>
        <v>Budiman</v>
      </c>
      <c r="C334" t="str">
        <f ca="1">IFERROR(__xludf.DUMMYFUNCTION("""COMPUTED_VALUE"""),"Handy@ymailx.com")</f>
        <v>Handy@ymailx.com</v>
      </c>
      <c r="D334" t="str">
        <f ca="1">IFERROR(__xludf.DUMMYFUNCTION("""COMPUTED_VALUE"""),"Jakarta Timur")</f>
        <v>Jakarta Timur</v>
      </c>
      <c r="E334" s="12">
        <f ca="1">IFERROR(__xludf.DUMMYFUNCTION("""COMPUTED_VALUE"""),43092)</f>
        <v>43092</v>
      </c>
      <c r="F334" t="str">
        <f ca="1">IFERROR(__xludf.DUMMYFUNCTION("""COMPUTED_VALUE"""),"KP0350CF")</f>
        <v>KP0350CF</v>
      </c>
      <c r="G334" s="11">
        <f ca="1">IFERROR(__xludf.DUMMYFUNCTION("""COMPUTED_VALUE"""),245000000)</f>
        <v>245000000</v>
      </c>
      <c r="H334">
        <f ca="1">IFERROR(__xludf.DUMMYFUNCTION("""COMPUTED_VALUE"""),36437)</f>
        <v>36437</v>
      </c>
      <c r="I334">
        <f ca="1">IFERROR(__xludf.DUMMYFUNCTION("""COMPUTED_VALUE"""),7)</f>
        <v>7</v>
      </c>
      <c r="J334">
        <f ca="1">IFERROR(__xludf.DUMMYFUNCTION("""COMPUTED_VALUE"""),4)</f>
        <v>4</v>
      </c>
      <c r="K334" t="str">
        <f ca="1">IFERROR(__xludf.DUMMYFUNCTION("""COMPUTED_VALUE"""),"Cepat Kirim")</f>
        <v>Cepat Kirim</v>
      </c>
      <c r="L334" t="str">
        <f ca="1">IFERROR(__xludf.DUMMYFUNCTION("""COMPUTED_VALUE"""),"Y")</f>
        <v>Y</v>
      </c>
      <c r="M334" t="str">
        <f ca="1">IFERROR(__xludf.DUMMYFUNCTION("""COMPUTED_VALUE"""),"In-333")</f>
        <v>In-333</v>
      </c>
    </row>
    <row r="335" spans="1:13" ht="12.5" x14ac:dyDescent="0.25">
      <c r="A335" t="str">
        <f ca="1">IFERROR(__xludf.DUMMYFUNCTION("""COMPUTED_VALUE"""),"Pat")</f>
        <v>Pat</v>
      </c>
      <c r="B335" t="str">
        <f ca="1">IFERROR(__xludf.DUMMYFUNCTION("""COMPUTED_VALUE"""),"Mulyono")</f>
        <v>Mulyono</v>
      </c>
      <c r="C335" t="str">
        <f ca="1">IFERROR(__xludf.DUMMYFUNCTION("""COMPUTED_VALUE"""),"Pat@livex.com")</f>
        <v>Pat@livex.com</v>
      </c>
      <c r="D335" t="str">
        <f ca="1">IFERROR(__xludf.DUMMYFUNCTION("""COMPUTED_VALUE"""),"Tanjungpinang")</f>
        <v>Tanjungpinang</v>
      </c>
      <c r="E335" s="12">
        <f ca="1">IFERROR(__xludf.DUMMYFUNCTION("""COMPUTED_VALUE"""),43087)</f>
        <v>43087</v>
      </c>
      <c r="F335" t="str">
        <f ca="1">IFERROR(__xludf.DUMMYFUNCTION("""COMPUTED_VALUE"""),"KP0625AF")</f>
        <v>KP0625AF</v>
      </c>
      <c r="G335" s="11">
        <f ca="1">IFERROR(__xludf.DUMMYFUNCTION("""COMPUTED_VALUE"""),36000000)</f>
        <v>36000000</v>
      </c>
      <c r="H335">
        <f ca="1">IFERROR(__xludf.DUMMYFUNCTION("""COMPUTED_VALUE"""),36460)</f>
        <v>36460</v>
      </c>
      <c r="I335">
        <f ca="1">IFERROR(__xludf.DUMMYFUNCTION("""COMPUTED_VALUE"""),3)</f>
        <v>3</v>
      </c>
      <c r="J335" t="str">
        <f ca="1">IFERROR(__xludf.DUMMYFUNCTION("""COMPUTED_VALUE"""),"N/A")</f>
        <v>N/A</v>
      </c>
      <c r="K335" t="str">
        <f ca="1">IFERROR(__xludf.DUMMYFUNCTION("""COMPUTED_VALUE"""),"JENT")</f>
        <v>JENT</v>
      </c>
      <c r="L335" t="str">
        <f ca="1">IFERROR(__xludf.DUMMYFUNCTION("""COMPUTED_VALUE"""),"N")</f>
        <v>N</v>
      </c>
      <c r="M335" t="str">
        <f ca="1">IFERROR(__xludf.DUMMYFUNCTION("""COMPUTED_VALUE"""),"Ez-809")</f>
        <v>Ez-809</v>
      </c>
    </row>
    <row r="336" spans="1:13" ht="12.5" x14ac:dyDescent="0.25">
      <c r="A336" t="str">
        <f ca="1">IFERROR(__xludf.DUMMYFUNCTION("""COMPUTED_VALUE"""),"Gary")</f>
        <v>Gary</v>
      </c>
      <c r="B336" t="str">
        <f ca="1">IFERROR(__xludf.DUMMYFUNCTION("""COMPUTED_VALUE"""),"Yohan")</f>
        <v>Yohan</v>
      </c>
      <c r="C336" t="str">
        <f ca="1">IFERROR(__xludf.DUMMYFUNCTION("""COMPUTED_VALUE"""),"Gary@ymailx.com")</f>
        <v>Gary@ymailx.com</v>
      </c>
      <c r="D336" t="str">
        <f ca="1">IFERROR(__xludf.DUMMYFUNCTION("""COMPUTED_VALUE"""),"Tanjungpinang")</f>
        <v>Tanjungpinang</v>
      </c>
      <c r="E336" s="12">
        <f ca="1">IFERROR(__xludf.DUMMYFUNCTION("""COMPUTED_VALUE"""),43085)</f>
        <v>43085</v>
      </c>
      <c r="F336" t="str">
        <f ca="1">IFERROR(__xludf.DUMMYFUNCTION("""COMPUTED_VALUE"""),"KP0350CF")</f>
        <v>KP0350CF</v>
      </c>
      <c r="G336" s="11">
        <f ca="1">IFERROR(__xludf.DUMMYFUNCTION("""COMPUTED_VALUE"""),315000000)</f>
        <v>315000000</v>
      </c>
      <c r="H336">
        <f ca="1">IFERROR(__xludf.DUMMYFUNCTION("""COMPUTED_VALUE"""),35724)</f>
        <v>35724</v>
      </c>
      <c r="I336">
        <f ca="1">IFERROR(__xludf.DUMMYFUNCTION("""COMPUTED_VALUE"""),9)</f>
        <v>9</v>
      </c>
      <c r="J336" t="str">
        <f ca="1">IFERROR(__xludf.DUMMYFUNCTION("""COMPUTED_VALUE"""),"N/A")</f>
        <v>N/A</v>
      </c>
      <c r="K336" t="str">
        <f ca="1">IFERROR(__xludf.DUMMYFUNCTION("""COMPUTED_VALUE"""),"Cepat Kirim")</f>
        <v>Cepat Kirim</v>
      </c>
      <c r="L336" t="str">
        <f ca="1">IFERROR(__xludf.DUMMYFUNCTION("""COMPUTED_VALUE"""),"Y")</f>
        <v>Y</v>
      </c>
      <c r="M336" t="str">
        <f ca="1">IFERROR(__xludf.DUMMYFUNCTION("""COMPUTED_VALUE"""),"Ij-809")</f>
        <v>Ij-809</v>
      </c>
    </row>
    <row r="337" spans="1:13" ht="12.5" x14ac:dyDescent="0.25">
      <c r="A337" t="str">
        <f ca="1">IFERROR(__xludf.DUMMYFUNCTION("""COMPUTED_VALUE"""),"Asian")</f>
        <v>Asian</v>
      </c>
      <c r="B337" t="str">
        <f ca="1">IFERROR(__xludf.DUMMYFUNCTION("""COMPUTED_VALUE"""),"Femi")</f>
        <v>Femi</v>
      </c>
      <c r="C337" t="str">
        <f ca="1">IFERROR(__xludf.DUMMYFUNCTION("""COMPUTED_VALUE"""),"Femi@ymailx.com")</f>
        <v>Femi@ymailx.com</v>
      </c>
      <c r="D337" t="str">
        <f ca="1">IFERROR(__xludf.DUMMYFUNCTION("""COMPUTED_VALUE"""),"Payakumbuh")</f>
        <v>Payakumbuh</v>
      </c>
      <c r="E337" s="12">
        <f ca="1">IFERROR(__xludf.DUMMYFUNCTION("""COMPUTED_VALUE"""),43083)</f>
        <v>43083</v>
      </c>
      <c r="F337" t="str">
        <f ca="1">IFERROR(__xludf.DUMMYFUNCTION("""COMPUTED_VALUE"""),"KP0750AJ")</f>
        <v>KP0750AJ</v>
      </c>
      <c r="G337" s="11">
        <f ca="1">IFERROR(__xludf.DUMMYFUNCTION("""COMPUTED_VALUE"""),90000000)</f>
        <v>90000000</v>
      </c>
      <c r="H337">
        <f ca="1">IFERROR(__xludf.DUMMYFUNCTION("""COMPUTED_VALUE"""),36209)</f>
        <v>36209</v>
      </c>
      <c r="I337">
        <f ca="1">IFERROR(__xludf.DUMMYFUNCTION("""COMPUTED_VALUE"""),5)</f>
        <v>5</v>
      </c>
      <c r="J337" t="str">
        <f ca="1">IFERROR(__xludf.DUMMYFUNCTION("""COMPUTED_VALUE"""),"N/A")</f>
        <v>N/A</v>
      </c>
      <c r="K337" t="str">
        <f ca="1">IFERROR(__xludf.DUMMYFUNCTION("""COMPUTED_VALUE"""),"Wakanda Express")</f>
        <v>Wakanda Express</v>
      </c>
      <c r="L337" t="str">
        <f ca="1">IFERROR(__xludf.DUMMYFUNCTION("""COMPUTED_VALUE"""),"Y")</f>
        <v>Y</v>
      </c>
      <c r="M337" t="str">
        <f ca="1">IFERROR(__xludf.DUMMYFUNCTION("""COMPUTED_VALUE"""),"Zu-559")</f>
        <v>Zu-559</v>
      </c>
    </row>
    <row r="338" spans="1:13" ht="12.5" x14ac:dyDescent="0.25">
      <c r="A338" t="str">
        <f ca="1">IFERROR(__xludf.DUMMYFUNCTION("""COMPUTED_VALUE"""),"Basir")</f>
        <v>Basir</v>
      </c>
      <c r="B338" t="str">
        <f ca="1">IFERROR(__xludf.DUMMYFUNCTION("""COMPUTED_VALUE"""),"Moeis")</f>
        <v>Moeis</v>
      </c>
      <c r="C338" t="str">
        <f ca="1">IFERROR(__xludf.DUMMYFUNCTION("""COMPUTED_VALUE"""),"Moeis@livex.com")</f>
        <v>Moeis@livex.com</v>
      </c>
      <c r="D338" t="str">
        <f ca="1">IFERROR(__xludf.DUMMYFUNCTION("""COMPUTED_VALUE"""),"Tarakan")</f>
        <v>Tarakan</v>
      </c>
      <c r="E338" s="12">
        <f ca="1">IFERROR(__xludf.DUMMYFUNCTION("""COMPUTED_VALUE"""),43082)</f>
        <v>43082</v>
      </c>
      <c r="F338" t="str">
        <f ca="1">IFERROR(__xludf.DUMMYFUNCTION("""COMPUTED_VALUE"""),"KP0850FB")</f>
        <v>KP0850FB</v>
      </c>
      <c r="G338" s="11">
        <f ca="1">IFERROR(__xludf.DUMMYFUNCTION("""COMPUTED_VALUE"""),42000000)</f>
        <v>42000000</v>
      </c>
      <c r="H338">
        <f ca="1">IFERROR(__xludf.DUMMYFUNCTION("""COMPUTED_VALUE"""),36378)</f>
        <v>36378</v>
      </c>
      <c r="I338">
        <f ca="1">IFERROR(__xludf.DUMMYFUNCTION("""COMPUTED_VALUE"""),2)</f>
        <v>2</v>
      </c>
      <c r="J338" t="str">
        <f ca="1">IFERROR(__xludf.DUMMYFUNCTION("""COMPUTED_VALUE"""),"N/A")</f>
        <v>N/A</v>
      </c>
      <c r="K338" t="str">
        <f ca="1">IFERROR(__xludf.DUMMYFUNCTION("""COMPUTED_VALUE"""),"Wakanda Express")</f>
        <v>Wakanda Express</v>
      </c>
      <c r="L338" t="str">
        <f ca="1">IFERROR(__xludf.DUMMYFUNCTION("""COMPUTED_VALUE"""),"Y")</f>
        <v>Y</v>
      </c>
      <c r="M338" t="str">
        <f ca="1">IFERROR(__xludf.DUMMYFUNCTION("""COMPUTED_VALUE"""),"Xm-994")</f>
        <v>Xm-994</v>
      </c>
    </row>
    <row r="339" spans="1:13" ht="12.5" x14ac:dyDescent="0.25">
      <c r="A339" t="str">
        <f ca="1">IFERROR(__xludf.DUMMYFUNCTION("""COMPUTED_VALUE"""),"Douglas")</f>
        <v>Douglas</v>
      </c>
      <c r="B339" t="str">
        <f ca="1">IFERROR(__xludf.DUMMYFUNCTION("""COMPUTED_VALUE"""),"Lucas")</f>
        <v>Lucas</v>
      </c>
      <c r="C339" t="str">
        <f ca="1">IFERROR(__xludf.DUMMYFUNCTION("""COMPUTED_VALUE"""),"Lucas@livex.com")</f>
        <v>Lucas@livex.com</v>
      </c>
      <c r="D339" t="str">
        <f ca="1">IFERROR(__xludf.DUMMYFUNCTION("""COMPUTED_VALUE"""),"Binjai")</f>
        <v>Binjai</v>
      </c>
      <c r="E339" s="12">
        <f ca="1">IFERROR(__xludf.DUMMYFUNCTION("""COMPUTED_VALUE"""),43081)</f>
        <v>43081</v>
      </c>
      <c r="F339" t="str">
        <f ca="1">IFERROR(__xludf.DUMMYFUNCTION("""COMPUTED_VALUE"""),"KP0050AG")</f>
        <v>KP0050AG</v>
      </c>
      <c r="G339" s="11">
        <f ca="1">IFERROR(__xludf.DUMMYFUNCTION("""COMPUTED_VALUE"""),32500000)</f>
        <v>32500000</v>
      </c>
      <c r="H339">
        <f ca="1">IFERROR(__xludf.DUMMYFUNCTION("""COMPUTED_VALUE"""),36150)</f>
        <v>36150</v>
      </c>
      <c r="I339">
        <f ca="1">IFERROR(__xludf.DUMMYFUNCTION("""COMPUTED_VALUE"""),2)</f>
        <v>2</v>
      </c>
      <c r="J339" t="str">
        <f ca="1">IFERROR(__xludf.DUMMYFUNCTION("""COMPUTED_VALUE"""),"N/A")</f>
        <v>N/A</v>
      </c>
      <c r="K339" t="str">
        <f ca="1">IFERROR(__xludf.DUMMYFUNCTION("""COMPUTED_VALUE"""),"JENT")</f>
        <v>JENT</v>
      </c>
      <c r="L339" t="str">
        <f ca="1">IFERROR(__xludf.DUMMYFUNCTION("""COMPUTED_VALUE"""),"Y")</f>
        <v>Y</v>
      </c>
      <c r="M339" t="str">
        <f ca="1">IFERROR(__xludf.DUMMYFUNCTION("""COMPUTED_VALUE"""),"Ax-662")</f>
        <v>Ax-662</v>
      </c>
    </row>
    <row r="340" spans="1:13" ht="12.5" x14ac:dyDescent="0.25">
      <c r="A340" t="str">
        <f ca="1">IFERROR(__xludf.DUMMYFUNCTION("""COMPUTED_VALUE"""),"Rafael")</f>
        <v>Rafael</v>
      </c>
      <c r="B340" t="str">
        <f ca="1">IFERROR(__xludf.DUMMYFUNCTION("""COMPUTED_VALUE"""),"Andhika")</f>
        <v>Andhika</v>
      </c>
      <c r="C340" t="str">
        <f ca="1">IFERROR(__xludf.DUMMYFUNCTION("""COMPUTED_VALUE"""),"Andhika@rocketmailx.com")</f>
        <v>Andhika@rocketmailx.com</v>
      </c>
      <c r="D340" t="str">
        <f ca="1">IFERROR(__xludf.DUMMYFUNCTION("""COMPUTED_VALUE"""),"Kupang")</f>
        <v>Kupang</v>
      </c>
      <c r="E340" s="12">
        <f ca="1">IFERROR(__xludf.DUMMYFUNCTION("""COMPUTED_VALUE"""),43081)</f>
        <v>43081</v>
      </c>
      <c r="F340" t="str">
        <f ca="1">IFERROR(__xludf.DUMMYFUNCTION("""COMPUTED_VALUE"""),"KP0750AJ")</f>
        <v>KP0750AJ</v>
      </c>
      <c r="G340" s="11">
        <f ca="1">IFERROR(__xludf.DUMMYFUNCTION("""COMPUTED_VALUE"""),36000000)</f>
        <v>36000000</v>
      </c>
      <c r="H340">
        <f ca="1">IFERROR(__xludf.DUMMYFUNCTION("""COMPUTED_VALUE"""),36190)</f>
        <v>36190</v>
      </c>
      <c r="I340">
        <f ca="1">IFERROR(__xludf.DUMMYFUNCTION("""COMPUTED_VALUE"""),2)</f>
        <v>2</v>
      </c>
      <c r="J340">
        <f ca="1">IFERROR(__xludf.DUMMYFUNCTION("""COMPUTED_VALUE"""),4)</f>
        <v>4</v>
      </c>
      <c r="K340" t="str">
        <f ca="1">IFERROR(__xludf.DUMMYFUNCTION("""COMPUTED_VALUE"""),"JENT")</f>
        <v>JENT</v>
      </c>
      <c r="L340" t="str">
        <f ca="1">IFERROR(__xludf.DUMMYFUNCTION("""COMPUTED_VALUE"""),"N")</f>
        <v>N</v>
      </c>
      <c r="M340" t="str">
        <f ca="1">IFERROR(__xludf.DUMMYFUNCTION("""COMPUTED_VALUE"""),"Ui-185")</f>
        <v>Ui-185</v>
      </c>
    </row>
    <row r="341" spans="1:13" ht="12.5" x14ac:dyDescent="0.25">
      <c r="A341" t="str">
        <f ca="1">IFERROR(__xludf.DUMMYFUNCTION("""COMPUTED_VALUE"""),"Heru")</f>
        <v>Heru</v>
      </c>
      <c r="B341" t="str">
        <f ca="1">IFERROR(__xludf.DUMMYFUNCTION("""COMPUTED_VALUE"""),"Lekhraj")</f>
        <v>Lekhraj</v>
      </c>
      <c r="C341" t="str">
        <f ca="1">IFERROR(__xludf.DUMMYFUNCTION("""COMPUTED_VALUE"""),"Lekhraj@ymailx.com")</f>
        <v>Lekhraj@ymailx.com</v>
      </c>
      <c r="D341" t="str">
        <f ca="1">IFERROR(__xludf.DUMMYFUNCTION("""COMPUTED_VALUE"""),"Bontang")</f>
        <v>Bontang</v>
      </c>
      <c r="E341" s="12">
        <f ca="1">IFERROR(__xludf.DUMMYFUNCTION("""COMPUTED_VALUE"""),43020)</f>
        <v>43020</v>
      </c>
      <c r="F341" t="str">
        <f ca="1">IFERROR(__xludf.DUMMYFUNCTION("""COMPUTED_VALUE"""),"KP0850FB")</f>
        <v>KP0850FB</v>
      </c>
      <c r="G341" s="11">
        <f ca="1">IFERROR(__xludf.DUMMYFUNCTION("""COMPUTED_VALUE"""),210000000)</f>
        <v>210000000</v>
      </c>
      <c r="H341">
        <f ca="1">IFERROR(__xludf.DUMMYFUNCTION("""COMPUTED_VALUE"""),35701)</f>
        <v>35701</v>
      </c>
      <c r="I341">
        <f ca="1">IFERROR(__xludf.DUMMYFUNCTION("""COMPUTED_VALUE"""),10)</f>
        <v>10</v>
      </c>
      <c r="J341">
        <f ca="1">IFERROR(__xludf.DUMMYFUNCTION("""COMPUTED_VALUE"""),4)</f>
        <v>4</v>
      </c>
      <c r="K341" t="str">
        <f ca="1">IFERROR(__xludf.DUMMYFUNCTION("""COMPUTED_VALUE"""),"JENT")</f>
        <v>JENT</v>
      </c>
      <c r="L341" t="str">
        <f ca="1">IFERROR(__xludf.DUMMYFUNCTION("""COMPUTED_VALUE"""),"Y")</f>
        <v>Y</v>
      </c>
      <c r="M341" t="str">
        <f ca="1">IFERROR(__xludf.DUMMYFUNCTION("""COMPUTED_VALUE"""),"Pp-993")</f>
        <v>Pp-993</v>
      </c>
    </row>
    <row r="342" spans="1:13" ht="12.5" x14ac:dyDescent="0.25">
      <c r="A342" t="str">
        <f ca="1">IFERROR(__xludf.DUMMYFUNCTION("""COMPUTED_VALUE"""),"B.")</f>
        <v>B.</v>
      </c>
      <c r="B342" t="str">
        <f ca="1">IFERROR(__xludf.DUMMYFUNCTION("""COMPUTED_VALUE"""),"Kurniadi")</f>
        <v>Kurniadi</v>
      </c>
      <c r="C342" t="str">
        <f ca="1">IFERROR(__xludf.DUMMYFUNCTION("""COMPUTED_VALUE"""),"B.@gmailx.com")</f>
        <v>B.@gmailx.com</v>
      </c>
      <c r="D342" t="str">
        <f ca="1">IFERROR(__xludf.DUMMYFUNCTION("""COMPUTED_VALUE"""),"Medan")</f>
        <v>Medan</v>
      </c>
      <c r="E342" s="12">
        <f ca="1">IFERROR(__xludf.DUMMYFUNCTION("""COMPUTED_VALUE"""),43020)</f>
        <v>43020</v>
      </c>
      <c r="F342" t="str">
        <f ca="1">IFERROR(__xludf.DUMMYFUNCTION("""COMPUTED_VALUE"""),"KP0350CF")</f>
        <v>KP0350CF</v>
      </c>
      <c r="G342" s="11">
        <f ca="1">IFERROR(__xludf.DUMMYFUNCTION("""COMPUTED_VALUE"""),210000000)</f>
        <v>210000000</v>
      </c>
      <c r="H342">
        <f ca="1">IFERROR(__xludf.DUMMYFUNCTION("""COMPUTED_VALUE"""),36531)</f>
        <v>36531</v>
      </c>
      <c r="I342">
        <f ca="1">IFERROR(__xludf.DUMMYFUNCTION("""COMPUTED_VALUE"""),6)</f>
        <v>6</v>
      </c>
      <c r="J342" t="str">
        <f ca="1">IFERROR(__xludf.DUMMYFUNCTION("""COMPUTED_VALUE"""),"N/A")</f>
        <v>N/A</v>
      </c>
      <c r="K342" t="str">
        <f ca="1">IFERROR(__xludf.DUMMYFUNCTION("""COMPUTED_VALUE"""),"Wakanda Express")</f>
        <v>Wakanda Express</v>
      </c>
      <c r="L342" t="str">
        <f ca="1">IFERROR(__xludf.DUMMYFUNCTION("""COMPUTED_VALUE"""),"Y")</f>
        <v>Y</v>
      </c>
      <c r="M342" t="str">
        <f ca="1">IFERROR(__xludf.DUMMYFUNCTION("""COMPUTED_VALUE"""),"Sb-662")</f>
        <v>Sb-662</v>
      </c>
    </row>
    <row r="343" spans="1:13" ht="12.5" x14ac:dyDescent="0.25">
      <c r="A343" t="str">
        <f ca="1">IFERROR(__xludf.DUMMYFUNCTION("""COMPUTED_VALUE"""),"Sugiono")</f>
        <v>Sugiono</v>
      </c>
      <c r="B343" t="str">
        <f ca="1">IFERROR(__xludf.DUMMYFUNCTION("""COMPUTED_VALUE"""),"Securities")</f>
        <v>Securities</v>
      </c>
      <c r="C343" t="str">
        <f ca="1">IFERROR(__xludf.DUMMYFUNCTION("""COMPUTED_VALUE"""),"Securities@icloudx.com")</f>
        <v>Securities@icloudx.com</v>
      </c>
      <c r="D343" t="str">
        <f ca="1">IFERROR(__xludf.DUMMYFUNCTION("""COMPUTED_VALUE"""),"Lubuklinggau")</f>
        <v>Lubuklinggau</v>
      </c>
      <c r="E343" s="12">
        <f ca="1">IFERROR(__xludf.DUMMYFUNCTION("""COMPUTED_VALUE"""),42928)</f>
        <v>42928</v>
      </c>
      <c r="F343" t="str">
        <f ca="1">IFERROR(__xludf.DUMMYFUNCTION("""COMPUTED_VALUE"""),"KP0850FB")</f>
        <v>KP0850FB</v>
      </c>
      <c r="G343" s="11">
        <f ca="1">IFERROR(__xludf.DUMMYFUNCTION("""COMPUTED_VALUE"""),42000000)</f>
        <v>42000000</v>
      </c>
      <c r="H343">
        <f ca="1">IFERROR(__xludf.DUMMYFUNCTION("""COMPUTED_VALUE"""),35369)</f>
        <v>35369</v>
      </c>
      <c r="I343">
        <f ca="1">IFERROR(__xludf.DUMMYFUNCTION("""COMPUTED_VALUE"""),2)</f>
        <v>2</v>
      </c>
      <c r="J343">
        <f ca="1">IFERROR(__xludf.DUMMYFUNCTION("""COMPUTED_VALUE"""),2)</f>
        <v>2</v>
      </c>
      <c r="K343" t="str">
        <f ca="1">IFERROR(__xludf.DUMMYFUNCTION("""COMPUTED_VALUE"""),"JENT")</f>
        <v>JENT</v>
      </c>
      <c r="L343" t="str">
        <f ca="1">IFERROR(__xludf.DUMMYFUNCTION("""COMPUTED_VALUE"""),"N")</f>
        <v>N</v>
      </c>
      <c r="M343" t="str">
        <f ca="1">IFERROR(__xludf.DUMMYFUNCTION("""COMPUTED_VALUE"""),"Hm-661")</f>
        <v>Hm-661</v>
      </c>
    </row>
    <row r="344" spans="1:13" ht="12.5" x14ac:dyDescent="0.25">
      <c r="A344" t="str">
        <f ca="1">IFERROR(__xludf.DUMMYFUNCTION("""COMPUTED_VALUE"""),"Law")</f>
        <v>Law</v>
      </c>
      <c r="B344" t="str">
        <f ca="1">IFERROR(__xludf.DUMMYFUNCTION("""COMPUTED_VALUE"""),"Effendi")</f>
        <v>Effendi</v>
      </c>
      <c r="C344" t="str">
        <f ca="1">IFERROR(__xludf.DUMMYFUNCTION("""COMPUTED_VALUE"""),"Effendi@outlookx.com")</f>
        <v>Effendi@outlookx.com</v>
      </c>
      <c r="D344" t="str">
        <f ca="1">IFERROR(__xludf.DUMMYFUNCTION("""COMPUTED_VALUE"""),"Banjar")</f>
        <v>Banjar</v>
      </c>
      <c r="E344" s="12">
        <f ca="1">IFERROR(__xludf.DUMMYFUNCTION("""COMPUTED_VALUE"""),42928)</f>
        <v>42928</v>
      </c>
      <c r="F344" t="str">
        <f ca="1">IFERROR(__xludf.DUMMYFUNCTION("""COMPUTED_VALUE"""),"KP0750AJ")</f>
        <v>KP0750AJ</v>
      </c>
      <c r="G344" s="11">
        <f ca="1">IFERROR(__xludf.DUMMYFUNCTION("""COMPUTED_VALUE"""),90000000)</f>
        <v>90000000</v>
      </c>
      <c r="H344">
        <f ca="1">IFERROR(__xludf.DUMMYFUNCTION("""COMPUTED_VALUE"""),35682)</f>
        <v>35682</v>
      </c>
      <c r="I344">
        <f ca="1">IFERROR(__xludf.DUMMYFUNCTION("""COMPUTED_VALUE"""),5)</f>
        <v>5</v>
      </c>
      <c r="J344" t="str">
        <f ca="1">IFERROR(__xludf.DUMMYFUNCTION("""COMPUTED_VALUE"""),"N/A")</f>
        <v>N/A</v>
      </c>
      <c r="K344" t="str">
        <f ca="1">IFERROR(__xludf.DUMMYFUNCTION("""COMPUTED_VALUE"""),"Pru Logistic")</f>
        <v>Pru Logistic</v>
      </c>
      <c r="L344" t="str">
        <f ca="1">IFERROR(__xludf.DUMMYFUNCTION("""COMPUTED_VALUE"""),"Y")</f>
        <v>Y</v>
      </c>
      <c r="M344" t="str">
        <f ca="1">IFERROR(__xludf.DUMMYFUNCTION("""COMPUTED_VALUE"""),"En-409")</f>
        <v>En-409</v>
      </c>
    </row>
    <row r="345" spans="1:13" ht="12.5" x14ac:dyDescent="0.25">
      <c r="A345" t="str">
        <f ca="1">IFERROR(__xludf.DUMMYFUNCTION("""COMPUTED_VALUE"""),"Peter")</f>
        <v>Peter</v>
      </c>
      <c r="B345" t="str">
        <f ca="1">IFERROR(__xludf.DUMMYFUNCTION("""COMPUTED_VALUE"""),"Ongko")</f>
        <v>Ongko</v>
      </c>
      <c r="C345" t="str">
        <f ca="1">IFERROR(__xludf.DUMMYFUNCTION("""COMPUTED_VALUE"""),"Peter@gmailx.com")</f>
        <v>Peter@gmailx.com</v>
      </c>
      <c r="D345" t="str">
        <f ca="1">IFERROR(__xludf.DUMMYFUNCTION("""COMPUTED_VALUE"""),"Padangpanjang")</f>
        <v>Padangpanjang</v>
      </c>
      <c r="E345" s="12">
        <f ca="1">IFERROR(__xludf.DUMMYFUNCTION("""COMPUTED_VALUE"""),42867)</f>
        <v>42867</v>
      </c>
      <c r="F345" t="str">
        <f ca="1">IFERROR(__xludf.DUMMYFUNCTION("""COMPUTED_VALUE"""),"KP0925SG")</f>
        <v>KP0925SG</v>
      </c>
      <c r="G345" s="11">
        <f ca="1">IFERROR(__xludf.DUMMYFUNCTION("""COMPUTED_VALUE"""),75000000)</f>
        <v>75000000</v>
      </c>
      <c r="H345">
        <f ca="1">IFERROR(__xludf.DUMMYFUNCTION("""COMPUTED_VALUE"""),35941)</f>
        <v>35941</v>
      </c>
      <c r="I345">
        <f ca="1">IFERROR(__xludf.DUMMYFUNCTION("""COMPUTED_VALUE"""),5)</f>
        <v>5</v>
      </c>
      <c r="J345">
        <f ca="1">IFERROR(__xludf.DUMMYFUNCTION("""COMPUTED_VALUE"""),3)</f>
        <v>3</v>
      </c>
      <c r="K345" t="str">
        <f ca="1">IFERROR(__xludf.DUMMYFUNCTION("""COMPUTED_VALUE"""),"Wakanda Express")</f>
        <v>Wakanda Express</v>
      </c>
      <c r="L345" t="str">
        <f ca="1">IFERROR(__xludf.DUMMYFUNCTION("""COMPUTED_VALUE"""),"N")</f>
        <v>N</v>
      </c>
      <c r="M345" t="str">
        <f ca="1">IFERROR(__xludf.DUMMYFUNCTION("""COMPUTED_VALUE"""),"Au-559")</f>
        <v>Au-559</v>
      </c>
    </row>
    <row r="346" spans="1:13" ht="12.5" x14ac:dyDescent="0.25">
      <c r="A346" t="str">
        <f ca="1">IFERROR(__xludf.DUMMYFUNCTION("""COMPUTED_VALUE"""),"Ridwan")</f>
        <v>Ridwan</v>
      </c>
      <c r="B346" t="str">
        <f ca="1">IFERROR(__xludf.DUMMYFUNCTION("""COMPUTED_VALUE"""),"Tejowarno")</f>
        <v>Tejowarno</v>
      </c>
      <c r="C346" t="str">
        <f ca="1">IFERROR(__xludf.DUMMYFUNCTION("""COMPUTED_VALUE"""),"Tejowarno@ymailx.com")</f>
        <v>Tejowarno@ymailx.com</v>
      </c>
      <c r="D346" t="str">
        <f ca="1">IFERROR(__xludf.DUMMYFUNCTION("""COMPUTED_VALUE"""),"Sibolga")</f>
        <v>Sibolga</v>
      </c>
      <c r="E346" s="12">
        <f ca="1">IFERROR(__xludf.DUMMYFUNCTION("""COMPUTED_VALUE"""),43067)</f>
        <v>43067</v>
      </c>
      <c r="F346" t="str">
        <f ca="1">IFERROR(__xludf.DUMMYFUNCTION("""COMPUTED_VALUE"""),"KP0850FB")</f>
        <v>KP0850FB</v>
      </c>
      <c r="G346" s="11">
        <f ca="1">IFERROR(__xludf.DUMMYFUNCTION("""COMPUTED_VALUE"""),210000000)</f>
        <v>210000000</v>
      </c>
      <c r="H346">
        <f ca="1">IFERROR(__xludf.DUMMYFUNCTION("""COMPUTED_VALUE"""),36994)</f>
        <v>36994</v>
      </c>
      <c r="I346">
        <f ca="1">IFERROR(__xludf.DUMMYFUNCTION("""COMPUTED_VALUE"""),10)</f>
        <v>10</v>
      </c>
      <c r="J346" t="str">
        <f ca="1">IFERROR(__xludf.DUMMYFUNCTION("""COMPUTED_VALUE"""),"N/A")</f>
        <v>N/A</v>
      </c>
      <c r="K346" t="str">
        <f ca="1">IFERROR(__xludf.DUMMYFUNCTION("""COMPUTED_VALUE"""),"Swift Delivery")</f>
        <v>Swift Delivery</v>
      </c>
      <c r="L346" t="str">
        <f ca="1">IFERROR(__xludf.DUMMYFUNCTION("""COMPUTED_VALUE"""),"N")</f>
        <v>N</v>
      </c>
      <c r="M346" t="str">
        <f ca="1">IFERROR(__xludf.DUMMYFUNCTION("""COMPUTED_VALUE"""),"El-662")</f>
        <v>El-662</v>
      </c>
    </row>
    <row r="347" spans="1:13" ht="12.5" x14ac:dyDescent="0.25">
      <c r="A347" t="str">
        <f ca="1">IFERROR(__xludf.DUMMYFUNCTION("""COMPUTED_VALUE"""),"Irawan")</f>
        <v>Irawan</v>
      </c>
      <c r="B347" t="str">
        <f ca="1">IFERROR(__xludf.DUMMYFUNCTION("""COMPUTED_VALUE"""),"Moi")</f>
        <v>Moi</v>
      </c>
      <c r="C347" t="str">
        <f ca="1">IFERROR(__xludf.DUMMYFUNCTION("""COMPUTED_VALUE"""),"Moi@gmailx.com")</f>
        <v>Moi@gmailx.com</v>
      </c>
      <c r="D347" t="str">
        <f ca="1">IFERROR(__xludf.DUMMYFUNCTION("""COMPUTED_VALUE"""),"Manado")</f>
        <v>Manado</v>
      </c>
      <c r="E347" s="12">
        <f ca="1">IFERROR(__xludf.DUMMYFUNCTION("""COMPUTED_VALUE"""),43067)</f>
        <v>43067</v>
      </c>
      <c r="F347" t="str">
        <f ca="1">IFERROR(__xludf.DUMMYFUNCTION("""COMPUTED_VALUE"""),"KP0750AJ")</f>
        <v>KP0750AJ</v>
      </c>
      <c r="G347" s="11">
        <f ca="1">IFERROR(__xludf.DUMMYFUNCTION("""COMPUTED_VALUE"""),144000000)</f>
        <v>144000000</v>
      </c>
      <c r="H347">
        <f ca="1">IFERROR(__xludf.DUMMYFUNCTION("""COMPUTED_VALUE"""),36902)</f>
        <v>36902</v>
      </c>
      <c r="I347">
        <f ca="1">IFERROR(__xludf.DUMMYFUNCTION("""COMPUTED_VALUE"""),8)</f>
        <v>8</v>
      </c>
      <c r="J347" t="str">
        <f ca="1">IFERROR(__xludf.DUMMYFUNCTION("""COMPUTED_VALUE"""),"N/A")</f>
        <v>N/A</v>
      </c>
      <c r="K347" t="str">
        <f ca="1">IFERROR(__xludf.DUMMYFUNCTION("""COMPUTED_VALUE"""),"Wakanda Express")</f>
        <v>Wakanda Express</v>
      </c>
      <c r="L347" t="str">
        <f ca="1">IFERROR(__xludf.DUMMYFUNCTION("""COMPUTED_VALUE"""),"Y")</f>
        <v>Y</v>
      </c>
      <c r="M347" t="str">
        <f ca="1">IFERROR(__xludf.DUMMYFUNCTION("""COMPUTED_VALUE"""),"Fi-221")</f>
        <v>Fi-221</v>
      </c>
    </row>
    <row r="348" spans="1:13" ht="12.5" x14ac:dyDescent="0.25">
      <c r="A348" t="str">
        <f ca="1">IFERROR(__xludf.DUMMYFUNCTION("""COMPUTED_VALUE"""),"Henking")</f>
        <v>Henking</v>
      </c>
      <c r="B348" t="str">
        <f ca="1">IFERROR(__xludf.DUMMYFUNCTION("""COMPUTED_VALUE"""),"Ikbal")</f>
        <v>Ikbal</v>
      </c>
      <c r="C348" t="str">
        <f ca="1">IFERROR(__xludf.DUMMYFUNCTION("""COMPUTED_VALUE"""),"Ikbal@ymailx.com")</f>
        <v>Ikbal@ymailx.com</v>
      </c>
      <c r="D348" t="str">
        <f ca="1">IFERROR(__xludf.DUMMYFUNCTION("""COMPUTED_VALUE"""),"Pontianak")</f>
        <v>Pontianak</v>
      </c>
      <c r="E348" s="12">
        <f ca="1">IFERROR(__xludf.DUMMYFUNCTION("""COMPUTED_VALUE"""),43065)</f>
        <v>43065</v>
      </c>
      <c r="F348" t="str">
        <f ca="1">IFERROR(__xludf.DUMMYFUNCTION("""COMPUTED_VALUE"""),"KP0050AG")</f>
        <v>KP0050AG</v>
      </c>
      <c r="G348" s="11">
        <f ca="1">IFERROR(__xludf.DUMMYFUNCTION("""COMPUTED_VALUE"""),162500000)</f>
        <v>162500000</v>
      </c>
      <c r="H348">
        <f ca="1">IFERROR(__xludf.DUMMYFUNCTION("""COMPUTED_VALUE"""),36660)</f>
        <v>36660</v>
      </c>
      <c r="I348">
        <f ca="1">IFERROR(__xludf.DUMMYFUNCTION("""COMPUTED_VALUE"""),10)</f>
        <v>10</v>
      </c>
      <c r="J348" t="str">
        <f ca="1">IFERROR(__xludf.DUMMYFUNCTION("""COMPUTED_VALUE"""),"N/A")</f>
        <v>N/A</v>
      </c>
      <c r="K348" t="str">
        <f ca="1">IFERROR(__xludf.DUMMYFUNCTION("""COMPUTED_VALUE"""),"JENT")</f>
        <v>JENT</v>
      </c>
      <c r="L348" t="str">
        <f ca="1">IFERROR(__xludf.DUMMYFUNCTION("""COMPUTED_VALUE"""),"Y")</f>
        <v>Y</v>
      </c>
      <c r="M348" t="str">
        <f ca="1">IFERROR(__xludf.DUMMYFUNCTION("""COMPUTED_VALUE"""),"Hq-880")</f>
        <v>Hq-880</v>
      </c>
    </row>
    <row r="349" spans="1:13" ht="12.5" x14ac:dyDescent="0.25">
      <c r="A349" t="str">
        <f ca="1">IFERROR(__xludf.DUMMYFUNCTION("""COMPUTED_VALUE"""),"Lee")</f>
        <v>Lee</v>
      </c>
      <c r="B349" t="str">
        <f ca="1">IFERROR(__xludf.DUMMYFUNCTION("""COMPUTED_VALUE"""),"Faizal")</f>
        <v>Faizal</v>
      </c>
      <c r="C349" t="str">
        <f ca="1">IFERROR(__xludf.DUMMYFUNCTION("""COMPUTED_VALUE"""),"Lee@livex.com")</f>
        <v>Lee@livex.com</v>
      </c>
      <c r="D349" t="str">
        <f ca="1">IFERROR(__xludf.DUMMYFUNCTION("""COMPUTED_VALUE"""),"Mojokerto")</f>
        <v>Mojokerto</v>
      </c>
      <c r="E349" s="12">
        <f ca="1">IFERROR(__xludf.DUMMYFUNCTION("""COMPUTED_VALUE"""),43064)</f>
        <v>43064</v>
      </c>
      <c r="F349" t="str">
        <f ca="1">IFERROR(__xludf.DUMMYFUNCTION("""COMPUTED_VALUE"""),"KP0850FB")</f>
        <v>KP0850FB</v>
      </c>
      <c r="G349" s="11">
        <f ca="1">IFERROR(__xludf.DUMMYFUNCTION("""COMPUTED_VALUE"""),84000000)</f>
        <v>84000000</v>
      </c>
      <c r="H349">
        <f ca="1">IFERROR(__xludf.DUMMYFUNCTION("""COMPUTED_VALUE"""),36470)</f>
        <v>36470</v>
      </c>
      <c r="I349">
        <f ca="1">IFERROR(__xludf.DUMMYFUNCTION("""COMPUTED_VALUE"""),4)</f>
        <v>4</v>
      </c>
      <c r="J349" t="str">
        <f ca="1">IFERROR(__xludf.DUMMYFUNCTION("""COMPUTED_VALUE"""),"N/A")</f>
        <v>N/A</v>
      </c>
      <c r="K349" t="str">
        <f ca="1">IFERROR(__xludf.DUMMYFUNCTION("""COMPUTED_VALUE"""),"JENT")</f>
        <v>JENT</v>
      </c>
      <c r="L349" t="str">
        <f ca="1">IFERROR(__xludf.DUMMYFUNCTION("""COMPUTED_VALUE"""),"Y")</f>
        <v>Y</v>
      </c>
      <c r="M349" t="str">
        <f ca="1">IFERROR(__xludf.DUMMYFUNCTION("""COMPUTED_VALUE"""),"Zb-123")</f>
        <v>Zb-123</v>
      </c>
    </row>
    <row r="350" spans="1:13" ht="12.5" x14ac:dyDescent="0.25">
      <c r="A350" t="str">
        <f ca="1">IFERROR(__xludf.DUMMYFUNCTION("""COMPUTED_VALUE"""),"Fifi")</f>
        <v>Fifi</v>
      </c>
      <c r="B350" t="str">
        <f ca="1">IFERROR(__xludf.DUMMYFUNCTION("""COMPUTED_VALUE"""),"Melbourne")</f>
        <v>Melbourne</v>
      </c>
      <c r="C350" t="str">
        <f ca="1">IFERROR(__xludf.DUMMYFUNCTION("""COMPUTED_VALUE"""),"MELBOURNE@outlookx.com")</f>
        <v>MELBOURNE@outlookx.com</v>
      </c>
      <c r="D350" t="str">
        <f ca="1">IFERROR(__xludf.DUMMYFUNCTION("""COMPUTED_VALUE"""),"Gorontalo")</f>
        <v>Gorontalo</v>
      </c>
      <c r="E350" s="12">
        <f ca="1">IFERROR(__xludf.DUMMYFUNCTION("""COMPUTED_VALUE"""),43062)</f>
        <v>43062</v>
      </c>
      <c r="F350" t="str">
        <f ca="1">IFERROR(__xludf.DUMMYFUNCTION("""COMPUTED_VALUE"""),"KP0625AF")</f>
        <v>KP0625AF</v>
      </c>
      <c r="G350" s="11">
        <f ca="1">IFERROR(__xludf.DUMMYFUNCTION("""COMPUTED_VALUE"""),120000000)</f>
        <v>120000000</v>
      </c>
      <c r="H350">
        <f ca="1">IFERROR(__xludf.DUMMYFUNCTION("""COMPUTED_VALUE"""),36184)</f>
        <v>36184</v>
      </c>
      <c r="I350">
        <f ca="1">IFERROR(__xludf.DUMMYFUNCTION("""COMPUTED_VALUE"""),10)</f>
        <v>10</v>
      </c>
      <c r="J350">
        <f ca="1">IFERROR(__xludf.DUMMYFUNCTION("""COMPUTED_VALUE"""),5)</f>
        <v>5</v>
      </c>
      <c r="K350" t="str">
        <f ca="1">IFERROR(__xludf.DUMMYFUNCTION("""COMPUTED_VALUE"""),"Wakanda Express")</f>
        <v>Wakanda Express</v>
      </c>
      <c r="L350" t="str">
        <f ca="1">IFERROR(__xludf.DUMMYFUNCTION("""COMPUTED_VALUE"""),"Y")</f>
        <v>Y</v>
      </c>
      <c r="M350" t="str">
        <f ca="1">IFERROR(__xludf.DUMMYFUNCTION("""COMPUTED_VALUE"""),"Fq-983")</f>
        <v>Fq-983</v>
      </c>
    </row>
    <row r="351" spans="1:13" ht="12.5" x14ac:dyDescent="0.25">
      <c r="A351" t="str">
        <f ca="1">IFERROR(__xludf.DUMMYFUNCTION("""COMPUTED_VALUE"""),"Effendy")</f>
        <v>Effendy</v>
      </c>
      <c r="B351" t="str">
        <f ca="1">IFERROR(__xludf.DUMMYFUNCTION("""COMPUTED_VALUE"""),"Halim")</f>
        <v>Halim</v>
      </c>
      <c r="C351" t="str">
        <f ca="1">IFERROR(__xludf.DUMMYFUNCTION("""COMPUTED_VALUE"""),"Halim@icloudx.com")</f>
        <v>Halim@icloudx.com</v>
      </c>
      <c r="D351" t="str">
        <f ca="1">IFERROR(__xludf.DUMMYFUNCTION("""COMPUTED_VALUE"""),"Malang")</f>
        <v>Malang</v>
      </c>
      <c r="E351" s="12">
        <f ca="1">IFERROR(__xludf.DUMMYFUNCTION("""COMPUTED_VALUE"""),43061)</f>
        <v>43061</v>
      </c>
      <c r="F351" t="str">
        <f ca="1">IFERROR(__xludf.DUMMYFUNCTION("""COMPUTED_VALUE"""),"KP0925SG")</f>
        <v>KP0925SG</v>
      </c>
      <c r="G351" s="11">
        <f ca="1">IFERROR(__xludf.DUMMYFUNCTION("""COMPUTED_VALUE"""),30000000)</f>
        <v>30000000</v>
      </c>
      <c r="H351">
        <f ca="1">IFERROR(__xludf.DUMMYFUNCTION("""COMPUTED_VALUE"""),35154)</f>
        <v>35154</v>
      </c>
      <c r="I351">
        <f ca="1">IFERROR(__xludf.DUMMYFUNCTION("""COMPUTED_VALUE"""),2)</f>
        <v>2</v>
      </c>
      <c r="J351" t="str">
        <f ca="1">IFERROR(__xludf.DUMMYFUNCTION("""COMPUTED_VALUE"""),"N/A")</f>
        <v>N/A</v>
      </c>
      <c r="K351" t="str">
        <f ca="1">IFERROR(__xludf.DUMMYFUNCTION("""COMPUTED_VALUE"""),"JENT")</f>
        <v>JENT</v>
      </c>
      <c r="L351" t="str">
        <f ca="1">IFERROR(__xludf.DUMMYFUNCTION("""COMPUTED_VALUE"""),"Y")</f>
        <v>Y</v>
      </c>
      <c r="M351" t="str">
        <f ca="1">IFERROR(__xludf.DUMMYFUNCTION("""COMPUTED_VALUE"""),"Wj-123")</f>
        <v>Wj-123</v>
      </c>
    </row>
    <row r="352" spans="1:13" ht="12.5" x14ac:dyDescent="0.25">
      <c r="A352" t="str">
        <f ca="1">IFERROR(__xludf.DUMMYFUNCTION("""COMPUTED_VALUE"""),"Chew")</f>
        <v>Chew</v>
      </c>
      <c r="B352" t="str">
        <f ca="1">IFERROR(__xludf.DUMMYFUNCTION("""COMPUTED_VALUE"""),"Widjaja")</f>
        <v>Widjaja</v>
      </c>
      <c r="C352" t="str">
        <f ca="1">IFERROR(__xludf.DUMMYFUNCTION("""COMPUTED_VALUE"""),"Chew@livex.com")</f>
        <v>Chew@livex.com</v>
      </c>
      <c r="D352" t="str">
        <f ca="1">IFERROR(__xludf.DUMMYFUNCTION("""COMPUTED_VALUE"""),"Tomohon")</f>
        <v>Tomohon</v>
      </c>
      <c r="E352" s="12">
        <f ca="1">IFERROR(__xludf.DUMMYFUNCTION("""COMPUTED_VALUE"""),43060)</f>
        <v>43060</v>
      </c>
      <c r="F352" t="str">
        <f ca="1">IFERROR(__xludf.DUMMYFUNCTION("""COMPUTED_VALUE"""),"KP0425CB")</f>
        <v>KP0425CB</v>
      </c>
      <c r="G352" s="11">
        <f ca="1">IFERROR(__xludf.DUMMYFUNCTION("""COMPUTED_VALUE"""),81750000)</f>
        <v>81750000</v>
      </c>
      <c r="H352">
        <f ca="1">IFERROR(__xludf.DUMMYFUNCTION("""COMPUTED_VALUE"""),35341)</f>
        <v>35341</v>
      </c>
      <c r="I352">
        <f ca="1">IFERROR(__xludf.DUMMYFUNCTION("""COMPUTED_VALUE"""),3)</f>
        <v>3</v>
      </c>
      <c r="J352" t="str">
        <f ca="1">IFERROR(__xludf.DUMMYFUNCTION("""COMPUTED_VALUE"""),"N/A")</f>
        <v>N/A</v>
      </c>
      <c r="K352" t="str">
        <f ca="1">IFERROR(__xludf.DUMMYFUNCTION("""COMPUTED_VALUE"""),"JENT")</f>
        <v>JENT</v>
      </c>
      <c r="L352" t="str">
        <f ca="1">IFERROR(__xludf.DUMMYFUNCTION("""COMPUTED_VALUE"""),"Y")</f>
        <v>Y</v>
      </c>
      <c r="M352" t="str">
        <f ca="1">IFERROR(__xludf.DUMMYFUNCTION("""COMPUTED_VALUE"""),"Wm-221")</f>
        <v>Wm-221</v>
      </c>
    </row>
    <row r="353" spans="1:13" ht="12.5" x14ac:dyDescent="0.25">
      <c r="A353" t="str">
        <f ca="1">IFERROR(__xludf.DUMMYFUNCTION("""COMPUTED_VALUE"""),"Hendy")</f>
        <v>Hendy</v>
      </c>
      <c r="B353" t="str">
        <f ca="1">IFERROR(__xludf.DUMMYFUNCTION("""COMPUTED_VALUE"""),"Masehi")</f>
        <v>Masehi</v>
      </c>
      <c r="C353" t="str">
        <f ca="1">IFERROR(__xludf.DUMMYFUNCTION("""COMPUTED_VALUE"""),"Hendy@gmailx.com")</f>
        <v>Hendy@gmailx.com</v>
      </c>
      <c r="D353" t="str">
        <f ca="1">IFERROR(__xludf.DUMMYFUNCTION("""COMPUTED_VALUE"""),"Pangkalpinang")</f>
        <v>Pangkalpinang</v>
      </c>
      <c r="E353" s="12">
        <f ca="1">IFERROR(__xludf.DUMMYFUNCTION("""COMPUTED_VALUE"""),43058)</f>
        <v>43058</v>
      </c>
      <c r="F353" t="str">
        <f ca="1">IFERROR(__xludf.DUMMYFUNCTION("""COMPUTED_VALUE"""),"KP0850FB")</f>
        <v>KP0850FB</v>
      </c>
      <c r="G353" s="11">
        <f ca="1">IFERROR(__xludf.DUMMYFUNCTION("""COMPUTED_VALUE"""),147000000)</f>
        <v>147000000</v>
      </c>
      <c r="H353">
        <f ca="1">IFERROR(__xludf.DUMMYFUNCTION("""COMPUTED_VALUE"""),36450)</f>
        <v>36450</v>
      </c>
      <c r="I353">
        <f ca="1">IFERROR(__xludf.DUMMYFUNCTION("""COMPUTED_VALUE"""),7)</f>
        <v>7</v>
      </c>
      <c r="J353">
        <f ca="1">IFERROR(__xludf.DUMMYFUNCTION("""COMPUTED_VALUE"""),4)</f>
        <v>4</v>
      </c>
      <c r="K353" t="str">
        <f ca="1">IFERROR(__xludf.DUMMYFUNCTION("""COMPUTED_VALUE"""),"Cepat Kirim")</f>
        <v>Cepat Kirim</v>
      </c>
      <c r="L353" t="str">
        <f ca="1">IFERROR(__xludf.DUMMYFUNCTION("""COMPUTED_VALUE"""),"Y")</f>
        <v>Y</v>
      </c>
      <c r="M353" t="str">
        <f ca="1">IFERROR(__xludf.DUMMYFUNCTION("""COMPUTED_VALUE"""),"Ou-120")</f>
        <v>Ou-120</v>
      </c>
    </row>
    <row r="354" spans="1:13" ht="12.5" x14ac:dyDescent="0.25">
      <c r="A354" t="str">
        <f ca="1">IFERROR(__xludf.DUMMYFUNCTION("""COMPUTED_VALUE"""),"Martina")</f>
        <v>Martina</v>
      </c>
      <c r="B354" t="str">
        <f ca="1">IFERROR(__xludf.DUMMYFUNCTION("""COMPUTED_VALUE"""),"Arto")</f>
        <v>Arto</v>
      </c>
      <c r="C354" t="str">
        <f ca="1">IFERROR(__xludf.DUMMYFUNCTION("""COMPUTED_VALUE"""),"Martina@livex.com")</f>
        <v>Martina@livex.com</v>
      </c>
      <c r="D354" t="str">
        <f ca="1">IFERROR(__xludf.DUMMYFUNCTION("""COMPUTED_VALUE"""),"Tanjungpinang")</f>
        <v>Tanjungpinang</v>
      </c>
      <c r="E354" s="12">
        <f ca="1">IFERROR(__xludf.DUMMYFUNCTION("""COMPUTED_VALUE"""),43058)</f>
        <v>43058</v>
      </c>
      <c r="F354" t="str">
        <f ca="1">IFERROR(__xludf.DUMMYFUNCTION("""COMPUTED_VALUE"""),"KP0625AF")</f>
        <v>KP0625AF</v>
      </c>
      <c r="G354" s="11">
        <f ca="1">IFERROR(__xludf.DUMMYFUNCTION("""COMPUTED_VALUE"""),60000000)</f>
        <v>60000000</v>
      </c>
      <c r="H354">
        <f ca="1">IFERROR(__xludf.DUMMYFUNCTION("""COMPUTED_VALUE"""),35829)</f>
        <v>35829</v>
      </c>
      <c r="I354">
        <f ca="1">IFERROR(__xludf.DUMMYFUNCTION("""COMPUTED_VALUE"""),5)</f>
        <v>5</v>
      </c>
      <c r="J354">
        <f ca="1">IFERROR(__xludf.DUMMYFUNCTION("""COMPUTED_VALUE"""),4)</f>
        <v>4</v>
      </c>
      <c r="K354" t="str">
        <f ca="1">IFERROR(__xludf.DUMMYFUNCTION("""COMPUTED_VALUE"""),"Wakanda Express")</f>
        <v>Wakanda Express</v>
      </c>
      <c r="L354" t="str">
        <f ca="1">IFERROR(__xludf.DUMMYFUNCTION("""COMPUTED_VALUE"""),"Y")</f>
        <v>Y</v>
      </c>
      <c r="M354" t="str">
        <f ca="1">IFERROR(__xludf.DUMMYFUNCTION("""COMPUTED_VALUE"""),"Kz-809")</f>
        <v>Kz-809</v>
      </c>
    </row>
    <row r="355" spans="1:13" ht="12.5" x14ac:dyDescent="0.25">
      <c r="A355" t="str">
        <f ca="1">IFERROR(__xludf.DUMMYFUNCTION("""COMPUTED_VALUE"""),"Erwin")</f>
        <v>Erwin</v>
      </c>
      <c r="B355" t="str">
        <f ca="1">IFERROR(__xludf.DUMMYFUNCTION("""COMPUTED_VALUE"""),"Salim")</f>
        <v>Salim</v>
      </c>
      <c r="C355" t="str">
        <f ca="1">IFERROR(__xludf.DUMMYFUNCTION("""COMPUTED_VALUE"""),"Salim@icloudx.com")</f>
        <v>Salim@icloudx.com</v>
      </c>
      <c r="D355" t="str">
        <f ca="1">IFERROR(__xludf.DUMMYFUNCTION("""COMPUTED_VALUE"""),"Jambi")</f>
        <v>Jambi</v>
      </c>
      <c r="E355" s="12">
        <f ca="1">IFERROR(__xludf.DUMMYFUNCTION("""COMPUTED_VALUE"""),43057)</f>
        <v>43057</v>
      </c>
      <c r="F355" t="str">
        <f ca="1">IFERROR(__xludf.DUMMYFUNCTION("""COMPUTED_VALUE"""),"KP0050AG")</f>
        <v>KP0050AG</v>
      </c>
      <c r="G355" s="11">
        <f ca="1">IFERROR(__xludf.DUMMYFUNCTION("""COMPUTED_VALUE"""),130000000)</f>
        <v>130000000</v>
      </c>
      <c r="H355">
        <f ca="1">IFERROR(__xludf.DUMMYFUNCTION("""COMPUTED_VALUE"""),36060)</f>
        <v>36060</v>
      </c>
      <c r="I355">
        <f ca="1">IFERROR(__xludf.DUMMYFUNCTION("""COMPUTED_VALUE"""),8)</f>
        <v>8</v>
      </c>
      <c r="J355">
        <f ca="1">IFERROR(__xludf.DUMMYFUNCTION("""COMPUTED_VALUE"""),5)</f>
        <v>5</v>
      </c>
      <c r="K355" t="str">
        <f ca="1">IFERROR(__xludf.DUMMYFUNCTION("""COMPUTED_VALUE"""),"Swift Delivery")</f>
        <v>Swift Delivery</v>
      </c>
      <c r="L355" t="str">
        <f ca="1">IFERROR(__xludf.DUMMYFUNCTION("""COMPUTED_VALUE"""),"Y")</f>
        <v>Y</v>
      </c>
      <c r="M355" t="str">
        <f ca="1">IFERROR(__xludf.DUMMYFUNCTION("""COMPUTED_VALUE"""),"Ci-512")</f>
        <v>Ci-512</v>
      </c>
    </row>
    <row r="356" spans="1:13" ht="12.5" x14ac:dyDescent="0.25">
      <c r="A356" t="str">
        <f ca="1">IFERROR(__xludf.DUMMYFUNCTION("""COMPUTED_VALUE"""),"Erwin")</f>
        <v>Erwin</v>
      </c>
      <c r="B356" t="str">
        <f ca="1">IFERROR(__xludf.DUMMYFUNCTION("""COMPUTED_VALUE"""),"Halim")</f>
        <v>Halim</v>
      </c>
      <c r="C356" t="str">
        <f ca="1">IFERROR(__xludf.DUMMYFUNCTION("""COMPUTED_VALUE"""),"Halim@livex.com")</f>
        <v>Halim@livex.com</v>
      </c>
      <c r="D356" t="str">
        <f ca="1">IFERROR(__xludf.DUMMYFUNCTION("""COMPUTED_VALUE"""),"Pekalongan")</f>
        <v>Pekalongan</v>
      </c>
      <c r="E356" s="12">
        <f ca="1">IFERROR(__xludf.DUMMYFUNCTION("""COMPUTED_VALUE"""),43056)</f>
        <v>43056</v>
      </c>
      <c r="F356" t="str">
        <f ca="1">IFERROR(__xludf.DUMMYFUNCTION("""COMPUTED_VALUE"""),"KP0150BH")</f>
        <v>KP0150BH</v>
      </c>
      <c r="G356" s="11">
        <f ca="1">IFERROR(__xludf.DUMMYFUNCTION("""COMPUTED_VALUE"""),108000000)</f>
        <v>108000000</v>
      </c>
      <c r="H356">
        <f ca="1">IFERROR(__xludf.DUMMYFUNCTION("""COMPUTED_VALUE"""),35894)</f>
        <v>35894</v>
      </c>
      <c r="I356">
        <f ca="1">IFERROR(__xludf.DUMMYFUNCTION("""COMPUTED_VALUE"""),4)</f>
        <v>4</v>
      </c>
      <c r="J356" t="str">
        <f ca="1">IFERROR(__xludf.DUMMYFUNCTION("""COMPUTED_VALUE"""),"N/A")</f>
        <v>N/A</v>
      </c>
      <c r="K356" t="str">
        <f ca="1">IFERROR(__xludf.DUMMYFUNCTION("""COMPUTED_VALUE"""),"Wakanda Express")</f>
        <v>Wakanda Express</v>
      </c>
      <c r="L356" t="str">
        <f ca="1">IFERROR(__xludf.DUMMYFUNCTION("""COMPUTED_VALUE"""),"Y")</f>
        <v>Y</v>
      </c>
      <c r="M356" t="str">
        <f ca="1">IFERROR(__xludf.DUMMYFUNCTION("""COMPUTED_VALUE"""),"Wg-410")</f>
        <v>Wg-410</v>
      </c>
    </row>
    <row r="357" spans="1:13" ht="12.5" x14ac:dyDescent="0.25">
      <c r="A357" t="str">
        <f ca="1">IFERROR(__xludf.DUMMYFUNCTION("""COMPUTED_VALUE"""),"Irawan")</f>
        <v>Irawan</v>
      </c>
      <c r="B357" t="str">
        <f ca="1">IFERROR(__xludf.DUMMYFUNCTION("""COMPUTED_VALUE"""),"Ahmad")</f>
        <v>Ahmad</v>
      </c>
      <c r="C357" t="str">
        <f ca="1">IFERROR(__xludf.DUMMYFUNCTION("""COMPUTED_VALUE"""),"Irawan@gmailx.com")</f>
        <v>Irawan@gmailx.com</v>
      </c>
      <c r="D357" t="str">
        <f ca="1">IFERROR(__xludf.DUMMYFUNCTION("""COMPUTED_VALUE"""),"Banjarmasin")</f>
        <v>Banjarmasin</v>
      </c>
      <c r="E357" s="12">
        <f ca="1">IFERROR(__xludf.DUMMYFUNCTION("""COMPUTED_VALUE"""),43055)</f>
        <v>43055</v>
      </c>
      <c r="F357" t="str">
        <f ca="1">IFERROR(__xludf.DUMMYFUNCTION("""COMPUTED_VALUE"""),"KP0850FB")</f>
        <v>KP0850FB</v>
      </c>
      <c r="G357" s="11">
        <f ca="1">IFERROR(__xludf.DUMMYFUNCTION("""COMPUTED_VALUE"""),63000000)</f>
        <v>63000000</v>
      </c>
      <c r="H357">
        <f ca="1">IFERROR(__xludf.DUMMYFUNCTION("""COMPUTED_VALUE"""),36489)</f>
        <v>36489</v>
      </c>
      <c r="I357">
        <f ca="1">IFERROR(__xludf.DUMMYFUNCTION("""COMPUTED_VALUE"""),3)</f>
        <v>3</v>
      </c>
      <c r="J357" t="str">
        <f ca="1">IFERROR(__xludf.DUMMYFUNCTION("""COMPUTED_VALUE"""),"N/A")</f>
        <v>N/A</v>
      </c>
      <c r="K357" t="str">
        <f ca="1">IFERROR(__xludf.DUMMYFUNCTION("""COMPUTED_VALUE"""),"Swift Delivery")</f>
        <v>Swift Delivery</v>
      </c>
      <c r="L357" t="str">
        <f ca="1">IFERROR(__xludf.DUMMYFUNCTION("""COMPUTED_VALUE"""),"Y")</f>
        <v>Y</v>
      </c>
      <c r="M357" t="str">
        <f ca="1">IFERROR(__xludf.DUMMYFUNCTION("""COMPUTED_VALUE"""),"Wd-991")</f>
        <v>Wd-991</v>
      </c>
    </row>
    <row r="358" spans="1:13" ht="12.5" x14ac:dyDescent="0.25">
      <c r="A358" t="str">
        <f ca="1">IFERROR(__xludf.DUMMYFUNCTION("""COMPUTED_VALUE"""),"Stewart")</f>
        <v>Stewart</v>
      </c>
      <c r="B358" t="str">
        <f ca="1">IFERROR(__xludf.DUMMYFUNCTION("""COMPUTED_VALUE"""),"Gallamnn")</f>
        <v>Gallamnn</v>
      </c>
      <c r="C358" t="str">
        <f ca="1">IFERROR(__xludf.DUMMYFUNCTION("""COMPUTED_VALUE"""),"Gallamnn@mex.com")</f>
        <v>Gallamnn@mex.com</v>
      </c>
      <c r="D358" t="str">
        <f ca="1">IFERROR(__xludf.DUMMYFUNCTION("""COMPUTED_VALUE"""),"Banjarbaru")</f>
        <v>Banjarbaru</v>
      </c>
      <c r="E358" s="12">
        <f ca="1">IFERROR(__xludf.DUMMYFUNCTION("""COMPUTED_VALUE"""),43055)</f>
        <v>43055</v>
      </c>
      <c r="F358" t="str">
        <f ca="1">IFERROR(__xludf.DUMMYFUNCTION("""COMPUTED_VALUE"""),"KP0750AJ")</f>
        <v>KP0750AJ</v>
      </c>
      <c r="G358" s="11">
        <f ca="1">IFERROR(__xludf.DUMMYFUNCTION("""COMPUTED_VALUE"""),108000000)</f>
        <v>108000000</v>
      </c>
      <c r="H358">
        <f ca="1">IFERROR(__xludf.DUMMYFUNCTION("""COMPUTED_VALUE"""),35576)</f>
        <v>35576</v>
      </c>
      <c r="I358">
        <f ca="1">IFERROR(__xludf.DUMMYFUNCTION("""COMPUTED_VALUE"""),6)</f>
        <v>6</v>
      </c>
      <c r="J358">
        <f ca="1">IFERROR(__xludf.DUMMYFUNCTION("""COMPUTED_VALUE"""),4)</f>
        <v>4</v>
      </c>
      <c r="K358" t="str">
        <f ca="1">IFERROR(__xludf.DUMMYFUNCTION("""COMPUTED_VALUE"""),"Wakanda Express")</f>
        <v>Wakanda Express</v>
      </c>
      <c r="L358" t="str">
        <f ca="1">IFERROR(__xludf.DUMMYFUNCTION("""COMPUTED_VALUE"""),"N")</f>
        <v>N</v>
      </c>
      <c r="M358" t="str">
        <f ca="1">IFERROR(__xludf.DUMMYFUNCTION("""COMPUTED_VALUE"""),"Cu-991")</f>
        <v>Cu-991</v>
      </c>
    </row>
    <row r="359" spans="1:13" ht="12.5" x14ac:dyDescent="0.25">
      <c r="A359" t="str">
        <f ca="1">IFERROR(__xludf.DUMMYFUNCTION("""COMPUTED_VALUE"""),"Lauw")</f>
        <v>Lauw</v>
      </c>
      <c r="B359" t="str">
        <f ca="1">IFERROR(__xludf.DUMMYFUNCTION("""COMPUTED_VALUE"""),"Dewono")</f>
        <v>Dewono</v>
      </c>
      <c r="C359" t="str">
        <f ca="1">IFERROR(__xludf.DUMMYFUNCTION("""COMPUTED_VALUE"""),"Dewono@gmailx.com")</f>
        <v>Dewono@gmailx.com</v>
      </c>
      <c r="D359" t="str">
        <f ca="1">IFERROR(__xludf.DUMMYFUNCTION("""COMPUTED_VALUE"""),"Manado")</f>
        <v>Manado</v>
      </c>
      <c r="E359" s="12">
        <f ca="1">IFERROR(__xludf.DUMMYFUNCTION("""COMPUTED_VALUE"""),43055)</f>
        <v>43055</v>
      </c>
      <c r="F359" t="str">
        <f ca="1">IFERROR(__xludf.DUMMYFUNCTION("""COMPUTED_VALUE"""),"KP0925SG")</f>
        <v>KP0925SG</v>
      </c>
      <c r="G359" s="11">
        <f ca="1">IFERROR(__xludf.DUMMYFUNCTION("""COMPUTED_VALUE"""),75000000)</f>
        <v>75000000</v>
      </c>
      <c r="H359">
        <f ca="1">IFERROR(__xludf.DUMMYFUNCTION("""COMPUTED_VALUE"""),35097)</f>
        <v>35097</v>
      </c>
      <c r="I359">
        <f ca="1">IFERROR(__xludf.DUMMYFUNCTION("""COMPUTED_VALUE"""),5)</f>
        <v>5</v>
      </c>
      <c r="J359" t="str">
        <f ca="1">IFERROR(__xludf.DUMMYFUNCTION("""COMPUTED_VALUE"""),"N/A")</f>
        <v>N/A</v>
      </c>
      <c r="K359" t="str">
        <f ca="1">IFERROR(__xludf.DUMMYFUNCTION("""COMPUTED_VALUE"""),"Wakanda Express")</f>
        <v>Wakanda Express</v>
      </c>
      <c r="L359" t="str">
        <f ca="1">IFERROR(__xludf.DUMMYFUNCTION("""COMPUTED_VALUE"""),"Y")</f>
        <v>Y</v>
      </c>
      <c r="M359" t="str">
        <f ca="1">IFERROR(__xludf.DUMMYFUNCTION("""COMPUTED_VALUE"""),"Lj-221")</f>
        <v>Lj-221</v>
      </c>
    </row>
    <row r="360" spans="1:13" ht="12.5" x14ac:dyDescent="0.25">
      <c r="A360" t="str">
        <f ca="1">IFERROR(__xludf.DUMMYFUNCTION("""COMPUTED_VALUE"""),"Irawan")</f>
        <v>Irawan</v>
      </c>
      <c r="B360" t="str">
        <f ca="1">IFERROR(__xludf.DUMMYFUNCTION("""COMPUTED_VALUE"""),"Angkawidjaja")</f>
        <v>Angkawidjaja</v>
      </c>
      <c r="C360" t="str">
        <f ca="1">IFERROR(__xludf.DUMMYFUNCTION("""COMPUTED_VALUE"""),"IRAWAN@ymailx.com")</f>
        <v>IRAWAN@ymailx.com</v>
      </c>
      <c r="D360" t="str">
        <f ca="1">IFERROR(__xludf.DUMMYFUNCTION("""COMPUTED_VALUE"""),"Semarang")</f>
        <v>Semarang</v>
      </c>
      <c r="E360" s="12">
        <f ca="1">IFERROR(__xludf.DUMMYFUNCTION("""COMPUTED_VALUE"""),43054)</f>
        <v>43054</v>
      </c>
      <c r="F360" t="str">
        <f ca="1">IFERROR(__xludf.DUMMYFUNCTION("""COMPUTED_VALUE"""),"KP0050AG")</f>
        <v>KP0050AG</v>
      </c>
      <c r="G360" s="11">
        <f ca="1">IFERROR(__xludf.DUMMYFUNCTION("""COMPUTED_VALUE"""),81250000)</f>
        <v>81250000</v>
      </c>
      <c r="H360">
        <f ca="1">IFERROR(__xludf.DUMMYFUNCTION("""COMPUTED_VALUE"""),35513)</f>
        <v>35513</v>
      </c>
      <c r="I360">
        <f ca="1">IFERROR(__xludf.DUMMYFUNCTION("""COMPUTED_VALUE"""),5)</f>
        <v>5</v>
      </c>
      <c r="J360" t="str">
        <f ca="1">IFERROR(__xludf.DUMMYFUNCTION("""COMPUTED_VALUE"""),"N/A")</f>
        <v>N/A</v>
      </c>
      <c r="K360" t="str">
        <f ca="1">IFERROR(__xludf.DUMMYFUNCTION("""COMPUTED_VALUE"""),"Swift Delivery")</f>
        <v>Swift Delivery</v>
      </c>
      <c r="L360" t="str">
        <f ca="1">IFERROR(__xludf.DUMMYFUNCTION("""COMPUTED_VALUE"""),"Y")</f>
        <v>Y</v>
      </c>
      <c r="M360" t="str">
        <f ca="1">IFERROR(__xludf.DUMMYFUNCTION("""COMPUTED_VALUE"""),"Ux-410")</f>
        <v>Ux-410</v>
      </c>
    </row>
    <row r="361" spans="1:13" ht="12.5" x14ac:dyDescent="0.25">
      <c r="A361" t="str">
        <f ca="1">IFERROR(__xludf.DUMMYFUNCTION("""COMPUTED_VALUE"""),"Alien")</f>
        <v>Alien</v>
      </c>
      <c r="B361" t="str">
        <f ca="1">IFERROR(__xludf.DUMMYFUNCTION("""COMPUTED_VALUE"""),"Irwan")</f>
        <v>Irwan</v>
      </c>
      <c r="C361" t="str">
        <f ca="1">IFERROR(__xludf.DUMMYFUNCTION("""COMPUTED_VALUE"""),"Irwan@gmailx.com")</f>
        <v>Irwan@gmailx.com</v>
      </c>
      <c r="D361" t="str">
        <f ca="1">IFERROR(__xludf.DUMMYFUNCTION("""COMPUTED_VALUE"""),"Tasikmalaya")</f>
        <v>Tasikmalaya</v>
      </c>
      <c r="E361" s="12">
        <f ca="1">IFERROR(__xludf.DUMMYFUNCTION("""COMPUTED_VALUE"""),43052)</f>
        <v>43052</v>
      </c>
      <c r="F361" t="str">
        <f ca="1">IFERROR(__xludf.DUMMYFUNCTION("""COMPUTED_VALUE"""),"KP0625AF")</f>
        <v>KP0625AF</v>
      </c>
      <c r="G361" s="11">
        <f ca="1">IFERROR(__xludf.DUMMYFUNCTION("""COMPUTED_VALUE"""),24000000)</f>
        <v>24000000</v>
      </c>
      <c r="H361">
        <f ca="1">IFERROR(__xludf.DUMMYFUNCTION("""COMPUTED_VALUE"""),36251)</f>
        <v>36251</v>
      </c>
      <c r="I361">
        <f ca="1">IFERROR(__xludf.DUMMYFUNCTION("""COMPUTED_VALUE"""),2)</f>
        <v>2</v>
      </c>
      <c r="J361">
        <f ca="1">IFERROR(__xludf.DUMMYFUNCTION("""COMPUTED_VALUE"""),4)</f>
        <v>4</v>
      </c>
      <c r="K361" t="str">
        <f ca="1">IFERROR(__xludf.DUMMYFUNCTION("""COMPUTED_VALUE"""),"JENT")</f>
        <v>JENT</v>
      </c>
      <c r="L361" t="str">
        <f ca="1">IFERROR(__xludf.DUMMYFUNCTION("""COMPUTED_VALUE"""),"Y")</f>
        <v>Y</v>
      </c>
      <c r="M361" t="str">
        <f ca="1">IFERROR(__xludf.DUMMYFUNCTION("""COMPUTED_VALUE"""),"Ol-409")</f>
        <v>Ol-409</v>
      </c>
    </row>
    <row r="362" spans="1:13" ht="12.5" x14ac:dyDescent="0.25">
      <c r="A362" t="str">
        <f ca="1">IFERROR(__xludf.DUMMYFUNCTION("""COMPUTED_VALUE"""),"Rachmat")</f>
        <v>Rachmat</v>
      </c>
      <c r="B362" t="str">
        <f ca="1">IFERROR(__xludf.DUMMYFUNCTION("""COMPUTED_VALUE"""),"Rahayu")</f>
        <v>Rahayu</v>
      </c>
      <c r="C362" t="str">
        <f ca="1">IFERROR(__xludf.DUMMYFUNCTION("""COMPUTED_VALUE"""),"Rahayu@ymailx.com")</f>
        <v>Rahayu@ymailx.com</v>
      </c>
      <c r="D362" t="str">
        <f ca="1">IFERROR(__xludf.DUMMYFUNCTION("""COMPUTED_VALUE"""),"Gorontalo")</f>
        <v>Gorontalo</v>
      </c>
      <c r="E362" s="12">
        <f ca="1">IFERROR(__xludf.DUMMYFUNCTION("""COMPUTED_VALUE"""),43080)</f>
        <v>43080</v>
      </c>
      <c r="F362" t="str">
        <f ca="1">IFERROR(__xludf.DUMMYFUNCTION("""COMPUTED_VALUE"""),"KP0625AF")</f>
        <v>KP0625AF</v>
      </c>
      <c r="G362" s="11">
        <f ca="1">IFERROR(__xludf.DUMMYFUNCTION("""COMPUTED_VALUE"""),72000000)</f>
        <v>72000000</v>
      </c>
      <c r="H362">
        <f ca="1">IFERROR(__xludf.DUMMYFUNCTION("""COMPUTED_VALUE"""),35975)</f>
        <v>35975</v>
      </c>
      <c r="I362">
        <f ca="1">IFERROR(__xludf.DUMMYFUNCTION("""COMPUTED_VALUE"""),6)</f>
        <v>6</v>
      </c>
      <c r="J362" t="str">
        <f ca="1">IFERROR(__xludf.DUMMYFUNCTION("""COMPUTED_VALUE"""),"N/A")</f>
        <v>N/A</v>
      </c>
      <c r="K362" t="str">
        <f ca="1">IFERROR(__xludf.DUMMYFUNCTION("""COMPUTED_VALUE"""),"JENT")</f>
        <v>JENT</v>
      </c>
      <c r="L362" t="str">
        <f ca="1">IFERROR(__xludf.DUMMYFUNCTION("""COMPUTED_VALUE"""),"N")</f>
        <v>N</v>
      </c>
      <c r="M362" t="str">
        <f ca="1">IFERROR(__xludf.DUMMYFUNCTION("""COMPUTED_VALUE"""),"Gy-983")</f>
        <v>Gy-983</v>
      </c>
    </row>
    <row r="363" spans="1:13" ht="12.5" x14ac:dyDescent="0.25">
      <c r="A363" t="str">
        <f ca="1">IFERROR(__xludf.DUMMYFUNCTION("""COMPUTED_VALUE"""),"Krisnadi")</f>
        <v>Krisnadi</v>
      </c>
      <c r="B363" t="str">
        <f ca="1">IFERROR(__xludf.DUMMYFUNCTION("""COMPUTED_VALUE"""),"Widjajanti")</f>
        <v>Widjajanti</v>
      </c>
      <c r="C363" t="str">
        <f ca="1">IFERROR(__xludf.DUMMYFUNCTION("""COMPUTED_VALUE"""),"Krisnadi@gmailx.com")</f>
        <v>Krisnadi@gmailx.com</v>
      </c>
      <c r="D363" t="str">
        <f ca="1">IFERROR(__xludf.DUMMYFUNCTION("""COMPUTED_VALUE"""),"Bandar Lampung")</f>
        <v>Bandar Lampung</v>
      </c>
      <c r="E363" s="12">
        <f ca="1">IFERROR(__xludf.DUMMYFUNCTION("""COMPUTED_VALUE"""),43019)</f>
        <v>43019</v>
      </c>
      <c r="F363" t="str">
        <f ca="1">IFERROR(__xludf.DUMMYFUNCTION("""COMPUTED_VALUE"""),"KP0925SG")</f>
        <v>KP0925SG</v>
      </c>
      <c r="G363" s="11">
        <f ca="1">IFERROR(__xludf.DUMMYFUNCTION("""COMPUTED_VALUE"""),150000000)</f>
        <v>150000000</v>
      </c>
      <c r="H363">
        <f ca="1">IFERROR(__xludf.DUMMYFUNCTION("""COMPUTED_VALUE"""),35858)</f>
        <v>35858</v>
      </c>
      <c r="I363">
        <f ca="1">IFERROR(__xludf.DUMMYFUNCTION("""COMPUTED_VALUE"""),10)</f>
        <v>10</v>
      </c>
      <c r="J363" t="str">
        <f ca="1">IFERROR(__xludf.DUMMYFUNCTION("""COMPUTED_VALUE"""),"N/A")</f>
        <v>N/A</v>
      </c>
      <c r="K363" t="str">
        <f ca="1">IFERROR(__xludf.DUMMYFUNCTION("""COMPUTED_VALUE"""),"JENT")</f>
        <v>JENT</v>
      </c>
      <c r="L363" t="str">
        <f ca="1">IFERROR(__xludf.DUMMYFUNCTION("""COMPUTED_VALUE"""),"Y")</f>
        <v>Y</v>
      </c>
      <c r="M363" t="str">
        <f ca="1">IFERROR(__xludf.DUMMYFUNCTION("""COMPUTED_VALUE"""),"Ih-150")</f>
        <v>Ih-150</v>
      </c>
    </row>
    <row r="364" spans="1:13" ht="12.5" x14ac:dyDescent="0.25">
      <c r="A364" t="str">
        <f ca="1">IFERROR(__xludf.DUMMYFUNCTION("""COMPUTED_VALUE"""),"Linda")</f>
        <v>Linda</v>
      </c>
      <c r="B364" t="str">
        <f ca="1">IFERROR(__xludf.DUMMYFUNCTION("""COMPUTED_VALUE"""),"Kee")</f>
        <v>Kee</v>
      </c>
      <c r="C364" t="str">
        <f ca="1">IFERROR(__xludf.DUMMYFUNCTION("""COMPUTED_VALUE"""),"Linda@outlookx.com")</f>
        <v>Linda@outlookx.com</v>
      </c>
      <c r="D364" t="str">
        <f ca="1">IFERROR(__xludf.DUMMYFUNCTION("""COMPUTED_VALUE"""),"Tebingtinggi")</f>
        <v>Tebingtinggi</v>
      </c>
      <c r="E364" s="12">
        <f ca="1">IFERROR(__xludf.DUMMYFUNCTION("""COMPUTED_VALUE"""),43019)</f>
        <v>43019</v>
      </c>
      <c r="F364" t="str">
        <f ca="1">IFERROR(__xludf.DUMMYFUNCTION("""COMPUTED_VALUE"""),"KP0925SG")</f>
        <v>KP0925SG</v>
      </c>
      <c r="G364" s="11">
        <f ca="1">IFERROR(__xludf.DUMMYFUNCTION("""COMPUTED_VALUE"""),135000000)</f>
        <v>135000000</v>
      </c>
      <c r="H364">
        <f ca="1">IFERROR(__xludf.DUMMYFUNCTION("""COMPUTED_VALUE"""),36736)</f>
        <v>36736</v>
      </c>
      <c r="I364">
        <f ca="1">IFERROR(__xludf.DUMMYFUNCTION("""COMPUTED_VALUE"""),9)</f>
        <v>9</v>
      </c>
      <c r="J364">
        <f ca="1">IFERROR(__xludf.DUMMYFUNCTION("""COMPUTED_VALUE"""),4)</f>
        <v>4</v>
      </c>
      <c r="K364" t="str">
        <f ca="1">IFERROR(__xludf.DUMMYFUNCTION("""COMPUTED_VALUE"""),"JENT")</f>
        <v>JENT</v>
      </c>
      <c r="L364" t="str">
        <f ca="1">IFERROR(__xludf.DUMMYFUNCTION("""COMPUTED_VALUE"""),"Y")</f>
        <v>Y</v>
      </c>
      <c r="M364" t="str">
        <f ca="1">IFERROR(__xludf.DUMMYFUNCTION("""COMPUTED_VALUE"""),"Fw-662")</f>
        <v>Fw-662</v>
      </c>
    </row>
    <row r="365" spans="1:13" ht="12.5" x14ac:dyDescent="0.25">
      <c r="A365" t="str">
        <f ca="1">IFERROR(__xludf.DUMMYFUNCTION("""COMPUTED_VALUE"""),"Joachim")</f>
        <v>Joachim</v>
      </c>
      <c r="B365" t="str">
        <f ca="1">IFERROR(__xludf.DUMMYFUNCTION("""COMPUTED_VALUE"""),"Jahja")</f>
        <v>Jahja</v>
      </c>
      <c r="C365" t="str">
        <f ca="1">IFERROR(__xludf.DUMMYFUNCTION("""COMPUTED_VALUE"""),"Joachim@ymailx.com")</f>
        <v>Joachim@ymailx.com</v>
      </c>
      <c r="D365" t="str">
        <f ca="1">IFERROR(__xludf.DUMMYFUNCTION("""COMPUTED_VALUE"""),"Mojokerto")</f>
        <v>Mojokerto</v>
      </c>
      <c r="E365" s="12">
        <f ca="1">IFERROR(__xludf.DUMMYFUNCTION("""COMPUTED_VALUE"""),42866)</f>
        <v>42866</v>
      </c>
      <c r="F365" t="str">
        <f ca="1">IFERROR(__xludf.DUMMYFUNCTION("""COMPUTED_VALUE"""),"KP0850FB")</f>
        <v>KP0850FB</v>
      </c>
      <c r="G365" s="11">
        <f ca="1">IFERROR(__xludf.DUMMYFUNCTION("""COMPUTED_VALUE"""),126000000)</f>
        <v>126000000</v>
      </c>
      <c r="H365">
        <f ca="1">IFERROR(__xludf.DUMMYFUNCTION("""COMPUTED_VALUE"""),35061)</f>
        <v>35061</v>
      </c>
      <c r="I365">
        <f ca="1">IFERROR(__xludf.DUMMYFUNCTION("""COMPUTED_VALUE"""),6)</f>
        <v>6</v>
      </c>
      <c r="J365" t="str">
        <f ca="1">IFERROR(__xludf.DUMMYFUNCTION("""COMPUTED_VALUE"""),"N/A")</f>
        <v>N/A</v>
      </c>
      <c r="K365" t="str">
        <f ca="1">IFERROR(__xludf.DUMMYFUNCTION("""COMPUTED_VALUE"""),"Swift Delivery")</f>
        <v>Swift Delivery</v>
      </c>
      <c r="L365" t="str">
        <f ca="1">IFERROR(__xludf.DUMMYFUNCTION("""COMPUTED_VALUE"""),"Y")</f>
        <v>Y</v>
      </c>
      <c r="M365" t="str">
        <f ca="1">IFERROR(__xludf.DUMMYFUNCTION("""COMPUTED_VALUE"""),"My-123")</f>
        <v>My-123</v>
      </c>
    </row>
    <row r="366" spans="1:13" ht="12.5" x14ac:dyDescent="0.25">
      <c r="A366" t="str">
        <f ca="1">IFERROR(__xludf.DUMMYFUNCTION("""COMPUTED_VALUE"""),"Dewi")</f>
        <v>Dewi</v>
      </c>
      <c r="B366" t="str">
        <f ca="1">IFERROR(__xludf.DUMMYFUNCTION("""COMPUTED_VALUE"""),"Maclachlan")</f>
        <v>Maclachlan</v>
      </c>
      <c r="C366" t="str">
        <f ca="1">IFERROR(__xludf.DUMMYFUNCTION("""COMPUTED_VALUE"""),"Maclachlan@icloudx.com")</f>
        <v>Maclachlan@icloudx.com</v>
      </c>
      <c r="D366" t="str">
        <f ca="1">IFERROR(__xludf.DUMMYFUNCTION("""COMPUTED_VALUE"""),"Surakarta")</f>
        <v>Surakarta</v>
      </c>
      <c r="E366" s="12">
        <f ca="1">IFERROR(__xludf.DUMMYFUNCTION("""COMPUTED_VALUE"""),42866)</f>
        <v>42866</v>
      </c>
      <c r="F366" t="str">
        <f ca="1">IFERROR(__xludf.DUMMYFUNCTION("""COMPUTED_VALUE"""),"KP0625AF")</f>
        <v>KP0625AF</v>
      </c>
      <c r="G366" s="11">
        <f ca="1">IFERROR(__xludf.DUMMYFUNCTION("""COMPUTED_VALUE"""),120000000)</f>
        <v>120000000</v>
      </c>
      <c r="H366">
        <f ca="1">IFERROR(__xludf.DUMMYFUNCTION("""COMPUTED_VALUE"""),35797)</f>
        <v>35797</v>
      </c>
      <c r="I366">
        <f ca="1">IFERROR(__xludf.DUMMYFUNCTION("""COMPUTED_VALUE"""),10)</f>
        <v>10</v>
      </c>
      <c r="J366">
        <f ca="1">IFERROR(__xludf.DUMMYFUNCTION("""COMPUTED_VALUE"""),4)</f>
        <v>4</v>
      </c>
      <c r="K366" t="str">
        <f ca="1">IFERROR(__xludf.DUMMYFUNCTION("""COMPUTED_VALUE"""),"Wakanda Express")</f>
        <v>Wakanda Express</v>
      </c>
      <c r="L366" t="str">
        <f ca="1">IFERROR(__xludf.DUMMYFUNCTION("""COMPUTED_VALUE"""),"Y")</f>
        <v>Y</v>
      </c>
      <c r="M366" t="str">
        <f ca="1">IFERROR(__xludf.DUMMYFUNCTION("""COMPUTED_VALUE"""),"Eb-410")</f>
        <v>Eb-410</v>
      </c>
    </row>
    <row r="367" spans="1:13" ht="12.5" x14ac:dyDescent="0.25">
      <c r="A367" t="str">
        <f ca="1">IFERROR(__xludf.DUMMYFUNCTION("""COMPUTED_VALUE"""),"Siman")</f>
        <v>Siman</v>
      </c>
      <c r="B367" t="str">
        <f ca="1">IFERROR(__xludf.DUMMYFUNCTION("""COMPUTED_VALUE"""),"Pujiastuti")</f>
        <v>Pujiastuti</v>
      </c>
      <c r="C367" t="str">
        <f ca="1">IFERROR(__xludf.DUMMYFUNCTION("""COMPUTED_VALUE"""),"Siman@outlookx.com")</f>
        <v>Siman@outlookx.com</v>
      </c>
      <c r="D367" t="str">
        <f ca="1">IFERROR(__xludf.DUMMYFUNCTION("""COMPUTED_VALUE"""),"Padang Sidempuan")</f>
        <v>Padang Sidempuan</v>
      </c>
      <c r="E367" s="12">
        <f ca="1">IFERROR(__xludf.DUMMYFUNCTION("""COMPUTED_VALUE"""),42866)</f>
        <v>42866</v>
      </c>
      <c r="F367" t="str">
        <f ca="1">IFERROR(__xludf.DUMMYFUNCTION("""COMPUTED_VALUE"""),"KP0625AF")</f>
        <v>KP0625AF</v>
      </c>
      <c r="G367" s="11">
        <f ca="1">IFERROR(__xludf.DUMMYFUNCTION("""COMPUTED_VALUE"""),72000000)</f>
        <v>72000000</v>
      </c>
      <c r="H367">
        <f ca="1">IFERROR(__xludf.DUMMYFUNCTION("""COMPUTED_VALUE"""),35660)</f>
        <v>35660</v>
      </c>
      <c r="I367">
        <f ca="1">IFERROR(__xludf.DUMMYFUNCTION("""COMPUTED_VALUE"""),6)</f>
        <v>6</v>
      </c>
      <c r="J367">
        <f ca="1">IFERROR(__xludf.DUMMYFUNCTION("""COMPUTED_VALUE"""),4)</f>
        <v>4</v>
      </c>
      <c r="K367" t="str">
        <f ca="1">IFERROR(__xludf.DUMMYFUNCTION("""COMPUTED_VALUE"""),"JENT")</f>
        <v>JENT</v>
      </c>
      <c r="L367" t="str">
        <f ca="1">IFERROR(__xludf.DUMMYFUNCTION("""COMPUTED_VALUE"""),"N")</f>
        <v>N</v>
      </c>
      <c r="M367" t="str">
        <f ca="1">IFERROR(__xludf.DUMMYFUNCTION("""COMPUTED_VALUE"""),"Qo-662")</f>
        <v>Qo-662</v>
      </c>
    </row>
    <row r="368" spans="1:13" ht="12.5" x14ac:dyDescent="0.25">
      <c r="A368" t="str">
        <f ca="1">IFERROR(__xludf.DUMMYFUNCTION("""COMPUTED_VALUE"""),"Elizabeth")</f>
        <v>Elizabeth</v>
      </c>
      <c r="B368" t="str">
        <f ca="1">IFERROR(__xludf.DUMMYFUNCTION("""COMPUTED_VALUE"""),"Widjoyo")</f>
        <v>Widjoyo</v>
      </c>
      <c r="C368" t="str">
        <f ca="1">IFERROR(__xludf.DUMMYFUNCTION("""COMPUTED_VALUE"""),"Elizabeth@gmailx.com")</f>
        <v>Elizabeth@gmailx.com</v>
      </c>
      <c r="D368" t="str">
        <f ca="1">IFERROR(__xludf.DUMMYFUNCTION("""COMPUTED_VALUE"""),"Bogor")</f>
        <v>Bogor</v>
      </c>
      <c r="E368" s="12">
        <f ca="1">IFERROR(__xludf.DUMMYFUNCTION("""COMPUTED_VALUE"""),42836)</f>
        <v>42836</v>
      </c>
      <c r="F368" t="str">
        <f ca="1">IFERROR(__xludf.DUMMYFUNCTION("""COMPUTED_VALUE"""),"KP0150BH")</f>
        <v>KP0150BH</v>
      </c>
      <c r="G368" s="11">
        <f ca="1">IFERROR(__xludf.DUMMYFUNCTION("""COMPUTED_VALUE"""),108000000)</f>
        <v>108000000</v>
      </c>
      <c r="H368">
        <f ca="1">IFERROR(__xludf.DUMMYFUNCTION("""COMPUTED_VALUE"""),35653)</f>
        <v>35653</v>
      </c>
      <c r="I368">
        <f ca="1">IFERROR(__xludf.DUMMYFUNCTION("""COMPUTED_VALUE"""),4)</f>
        <v>4</v>
      </c>
      <c r="J368" t="str">
        <f ca="1">IFERROR(__xludf.DUMMYFUNCTION("""COMPUTED_VALUE"""),"N/A")</f>
        <v>N/A</v>
      </c>
      <c r="K368" t="str">
        <f ca="1">IFERROR(__xludf.DUMMYFUNCTION("""COMPUTED_VALUE"""),"Pru Logistic")</f>
        <v>Pru Logistic</v>
      </c>
      <c r="L368" t="str">
        <f ca="1">IFERROR(__xludf.DUMMYFUNCTION("""COMPUTED_VALUE"""),"Y")</f>
        <v>Y</v>
      </c>
      <c r="M368" t="str">
        <f ca="1">IFERROR(__xludf.DUMMYFUNCTION("""COMPUTED_VALUE"""),"Or-409")</f>
        <v>Or-409</v>
      </c>
    </row>
    <row r="369" spans="1:13" ht="12.5" x14ac:dyDescent="0.25">
      <c r="A369" t="str">
        <f ca="1">IFERROR(__xludf.DUMMYFUNCTION("""COMPUTED_VALUE"""),"Erwin")</f>
        <v>Erwin</v>
      </c>
      <c r="B369" t="str">
        <f ca="1">IFERROR(__xludf.DUMMYFUNCTION("""COMPUTED_VALUE"""),"Anand")</f>
        <v>Anand</v>
      </c>
      <c r="C369" t="str">
        <f ca="1">IFERROR(__xludf.DUMMYFUNCTION("""COMPUTED_VALUE"""),"Anand@gmailx.com")</f>
        <v>Anand@gmailx.com</v>
      </c>
      <c r="D369" t="str">
        <f ca="1">IFERROR(__xludf.DUMMYFUNCTION("""COMPUTED_VALUE"""),"Sabang")</f>
        <v>Sabang</v>
      </c>
      <c r="E369" s="12">
        <f ca="1">IFERROR(__xludf.DUMMYFUNCTION("""COMPUTED_VALUE"""),42805)</f>
        <v>42805</v>
      </c>
      <c r="F369" t="str">
        <f ca="1">IFERROR(__xludf.DUMMYFUNCTION("""COMPUTED_VALUE"""),"KP0350CF")</f>
        <v>KP0350CF</v>
      </c>
      <c r="G369" s="11">
        <f ca="1">IFERROR(__xludf.DUMMYFUNCTION("""COMPUTED_VALUE"""),175000000)</f>
        <v>175000000</v>
      </c>
      <c r="H369">
        <f ca="1">IFERROR(__xludf.DUMMYFUNCTION("""COMPUTED_VALUE"""),35365)</f>
        <v>35365</v>
      </c>
      <c r="I369">
        <f ca="1">IFERROR(__xludf.DUMMYFUNCTION("""COMPUTED_VALUE"""),5)</f>
        <v>5</v>
      </c>
      <c r="J369">
        <f ca="1">IFERROR(__xludf.DUMMYFUNCTION("""COMPUTED_VALUE"""),5)</f>
        <v>5</v>
      </c>
      <c r="K369" t="str">
        <f ca="1">IFERROR(__xludf.DUMMYFUNCTION("""COMPUTED_VALUE"""),"Cepat Kirim")</f>
        <v>Cepat Kirim</v>
      </c>
      <c r="L369" t="str">
        <f ca="1">IFERROR(__xludf.DUMMYFUNCTION("""COMPUTED_VALUE"""),"Y")</f>
        <v>Y</v>
      </c>
      <c r="M369" t="str">
        <f ca="1">IFERROR(__xludf.DUMMYFUNCTION("""COMPUTED_VALUE"""),"Tc-101")</f>
        <v>Tc-101</v>
      </c>
    </row>
    <row r="370" spans="1:13" ht="12.5" x14ac:dyDescent="0.25">
      <c r="A370" t="str">
        <f ca="1">IFERROR(__xludf.DUMMYFUNCTION("""COMPUTED_VALUE"""),"Iwan")</f>
        <v>Iwan</v>
      </c>
      <c r="B370" t="str">
        <f ca="1">IFERROR(__xludf.DUMMYFUNCTION("""COMPUTED_VALUE"""),"Faisal")</f>
        <v>Faisal</v>
      </c>
      <c r="C370" t="str">
        <f ca="1">IFERROR(__xludf.DUMMYFUNCTION("""COMPUTED_VALUE"""),"Faisal@ymailx.com")</f>
        <v>Faisal@ymailx.com</v>
      </c>
      <c r="D370" t="str">
        <f ca="1">IFERROR(__xludf.DUMMYFUNCTION("""COMPUTED_VALUE"""),"Lhokseumawe")</f>
        <v>Lhokseumawe</v>
      </c>
      <c r="E370" s="12">
        <f ca="1">IFERROR(__xludf.DUMMYFUNCTION("""COMPUTED_VALUE"""),42777)</f>
        <v>42777</v>
      </c>
      <c r="F370" t="str">
        <f ca="1">IFERROR(__xludf.DUMMYFUNCTION("""COMPUTED_VALUE"""),"KP0850FB")</f>
        <v>KP0850FB</v>
      </c>
      <c r="G370" s="11">
        <f ca="1">IFERROR(__xludf.DUMMYFUNCTION("""COMPUTED_VALUE"""),126000000)</f>
        <v>126000000</v>
      </c>
      <c r="H370">
        <f ca="1">IFERROR(__xludf.DUMMYFUNCTION("""COMPUTED_VALUE"""),35150)</f>
        <v>35150</v>
      </c>
      <c r="I370">
        <f ca="1">IFERROR(__xludf.DUMMYFUNCTION("""COMPUTED_VALUE"""),6)</f>
        <v>6</v>
      </c>
      <c r="J370" t="str">
        <f ca="1">IFERROR(__xludf.DUMMYFUNCTION("""COMPUTED_VALUE"""),"N/A")</f>
        <v>N/A</v>
      </c>
      <c r="K370" t="str">
        <f ca="1">IFERROR(__xludf.DUMMYFUNCTION("""COMPUTED_VALUE"""),"Swift Delivery")</f>
        <v>Swift Delivery</v>
      </c>
      <c r="L370" t="str">
        <f ca="1">IFERROR(__xludf.DUMMYFUNCTION("""COMPUTED_VALUE"""),"Y")</f>
        <v>Y</v>
      </c>
      <c r="M370" t="str">
        <f ca="1">IFERROR(__xludf.DUMMYFUNCTION("""COMPUTED_VALUE"""),"Vm-101")</f>
        <v>Vm-101</v>
      </c>
    </row>
    <row r="371" spans="1:13" ht="12.5" x14ac:dyDescent="0.25">
      <c r="A371" t="str">
        <f ca="1">IFERROR(__xludf.DUMMYFUNCTION("""COMPUTED_VALUE"""),"Andi")</f>
        <v>Andi</v>
      </c>
      <c r="B371" t="str">
        <f ca="1">IFERROR(__xludf.DUMMYFUNCTION("""COMPUTED_VALUE"""),"Hamdani")</f>
        <v>Hamdani</v>
      </c>
      <c r="C371" t="str">
        <f ca="1">IFERROR(__xludf.DUMMYFUNCTION("""COMPUTED_VALUE"""),"Andi@ymailx.com")</f>
        <v>Andi@ymailx.com</v>
      </c>
      <c r="D371" t="str">
        <f ca="1">IFERROR(__xludf.DUMMYFUNCTION("""COMPUTED_VALUE"""),"Tual")</f>
        <v>Tual</v>
      </c>
      <c r="E371" s="12">
        <f ca="1">IFERROR(__xludf.DUMMYFUNCTION("""COMPUTED_VALUE"""),42777)</f>
        <v>42777</v>
      </c>
      <c r="F371" t="str">
        <f ca="1">IFERROR(__xludf.DUMMYFUNCTION("""COMPUTED_VALUE"""),"KP0850FB")</f>
        <v>KP0850FB</v>
      </c>
      <c r="G371" s="11">
        <f ca="1">IFERROR(__xludf.DUMMYFUNCTION("""COMPUTED_VALUE"""),42000000)</f>
        <v>42000000</v>
      </c>
      <c r="H371">
        <f ca="1">IFERROR(__xludf.DUMMYFUNCTION("""COMPUTED_VALUE"""),36312)</f>
        <v>36312</v>
      </c>
      <c r="I371">
        <f ca="1">IFERROR(__xludf.DUMMYFUNCTION("""COMPUTED_VALUE"""),2)</f>
        <v>2</v>
      </c>
      <c r="J371" t="str">
        <f ca="1">IFERROR(__xludf.DUMMYFUNCTION("""COMPUTED_VALUE"""),"N/A")</f>
        <v>N/A</v>
      </c>
      <c r="K371" t="str">
        <f ca="1">IFERROR(__xludf.DUMMYFUNCTION("""COMPUTED_VALUE"""),"Swift Delivery")</f>
        <v>Swift Delivery</v>
      </c>
      <c r="L371" t="str">
        <f ca="1">IFERROR(__xludf.DUMMYFUNCTION("""COMPUTED_VALUE"""),"Y")</f>
        <v>Y</v>
      </c>
      <c r="M371" t="str">
        <f ca="1">IFERROR(__xludf.DUMMYFUNCTION("""COMPUTED_VALUE"""),"Js-171")</f>
        <v>Js-171</v>
      </c>
    </row>
    <row r="372" spans="1:13" ht="12.5" x14ac:dyDescent="0.25">
      <c r="A372" t="str">
        <f ca="1">IFERROR(__xludf.DUMMYFUNCTION("""COMPUTED_VALUE"""),"Benjamin")</f>
        <v>Benjamin</v>
      </c>
      <c r="B372" t="str">
        <f ca="1">IFERROR(__xludf.DUMMYFUNCTION("""COMPUTED_VALUE"""),"S.")</f>
        <v>S.</v>
      </c>
      <c r="C372" t="str">
        <f ca="1">IFERROR(__xludf.DUMMYFUNCTION("""COMPUTED_VALUE"""),"Benjamin@icloudx.com")</f>
        <v>Benjamin@icloudx.com</v>
      </c>
      <c r="D372" t="str">
        <f ca="1">IFERROR(__xludf.DUMMYFUNCTION("""COMPUTED_VALUE"""),"Gorontalo")</f>
        <v>Gorontalo</v>
      </c>
      <c r="E372" s="12">
        <f ca="1">IFERROR(__xludf.DUMMYFUNCTION("""COMPUTED_VALUE"""),42777)</f>
        <v>42777</v>
      </c>
      <c r="F372" t="str">
        <f ca="1">IFERROR(__xludf.DUMMYFUNCTION("""COMPUTED_VALUE"""),"KP0750AJ")</f>
        <v>KP0750AJ</v>
      </c>
      <c r="G372" s="11">
        <f ca="1">IFERROR(__xludf.DUMMYFUNCTION("""COMPUTED_VALUE"""),36000000)</f>
        <v>36000000</v>
      </c>
      <c r="H372">
        <f ca="1">IFERROR(__xludf.DUMMYFUNCTION("""COMPUTED_VALUE"""),35377)</f>
        <v>35377</v>
      </c>
      <c r="I372">
        <f ca="1">IFERROR(__xludf.DUMMYFUNCTION("""COMPUTED_VALUE"""),2)</f>
        <v>2</v>
      </c>
      <c r="J372" t="str">
        <f ca="1">IFERROR(__xludf.DUMMYFUNCTION("""COMPUTED_VALUE"""),"N/A")</f>
        <v>N/A</v>
      </c>
      <c r="K372" t="str">
        <f ca="1">IFERROR(__xludf.DUMMYFUNCTION("""COMPUTED_VALUE"""),"JENT")</f>
        <v>JENT</v>
      </c>
      <c r="L372" t="str">
        <f ca="1">IFERROR(__xludf.DUMMYFUNCTION("""COMPUTED_VALUE"""),"Y")</f>
        <v>Y</v>
      </c>
      <c r="M372" t="str">
        <f ca="1">IFERROR(__xludf.DUMMYFUNCTION("""COMPUTED_VALUE"""),"Qu-983")</f>
        <v>Qu-983</v>
      </c>
    </row>
    <row r="373" spans="1:13" ht="12.5" x14ac:dyDescent="0.25">
      <c r="A373" t="str">
        <f ca="1">IFERROR(__xludf.DUMMYFUNCTION("""COMPUTED_VALUE"""),"Darmawansjah")</f>
        <v>Darmawansjah</v>
      </c>
      <c r="B373" t="str">
        <f ca="1">IFERROR(__xludf.DUMMYFUNCTION("""COMPUTED_VALUE"""),"Johan")</f>
        <v>Johan</v>
      </c>
      <c r="C373" t="str">
        <f ca="1">IFERROR(__xludf.DUMMYFUNCTION("""COMPUTED_VALUE"""),"Johan@outlookx.com")</f>
        <v>Johan@outlookx.com</v>
      </c>
      <c r="D373" t="str">
        <f ca="1">IFERROR(__xludf.DUMMYFUNCTION("""COMPUTED_VALUE"""),"Meulaboh")</f>
        <v>Meulaboh</v>
      </c>
      <c r="E373" s="12">
        <f ca="1">IFERROR(__xludf.DUMMYFUNCTION("""COMPUTED_VALUE"""),43036)</f>
        <v>43036</v>
      </c>
      <c r="F373" t="str">
        <f ca="1">IFERROR(__xludf.DUMMYFUNCTION("""COMPUTED_VALUE"""),"KP0350CF")</f>
        <v>KP0350CF</v>
      </c>
      <c r="G373" s="11">
        <f ca="1">IFERROR(__xludf.DUMMYFUNCTION("""COMPUTED_VALUE"""),245000000)</f>
        <v>245000000</v>
      </c>
      <c r="H373">
        <f ca="1">IFERROR(__xludf.DUMMYFUNCTION("""COMPUTED_VALUE"""),36642)</f>
        <v>36642</v>
      </c>
      <c r="I373">
        <f ca="1">IFERROR(__xludf.DUMMYFUNCTION("""COMPUTED_VALUE"""),7)</f>
        <v>7</v>
      </c>
      <c r="J373">
        <f ca="1">IFERROR(__xludf.DUMMYFUNCTION("""COMPUTED_VALUE"""),5)</f>
        <v>5</v>
      </c>
      <c r="K373" t="str">
        <f ca="1">IFERROR(__xludf.DUMMYFUNCTION("""COMPUTED_VALUE"""),"Wakanda Express")</f>
        <v>Wakanda Express</v>
      </c>
      <c r="L373" t="str">
        <f ca="1">IFERROR(__xludf.DUMMYFUNCTION("""COMPUTED_VALUE"""),"Y")</f>
        <v>Y</v>
      </c>
      <c r="M373" t="str">
        <f ca="1">IFERROR(__xludf.DUMMYFUNCTION("""COMPUTED_VALUE"""),"Dj-101")</f>
        <v>Dj-101</v>
      </c>
    </row>
    <row r="374" spans="1:13" ht="12.5" x14ac:dyDescent="0.25">
      <c r="A374" t="str">
        <f ca="1">IFERROR(__xludf.DUMMYFUNCTION("""COMPUTED_VALUE"""),"Abu")</f>
        <v>Abu</v>
      </c>
      <c r="B374" t="str">
        <f ca="1">IFERROR(__xludf.DUMMYFUNCTION("""COMPUTED_VALUE"""),"Sally,")</f>
        <v>Sally,</v>
      </c>
      <c r="C374" t="str">
        <f ca="1">IFERROR(__xludf.DUMMYFUNCTION("""COMPUTED_VALUE"""),"Abu@ymailx.com")</f>
        <v>Abu@ymailx.com</v>
      </c>
      <c r="D374" t="str">
        <f ca="1">IFERROR(__xludf.DUMMYFUNCTION("""COMPUTED_VALUE"""),"Balikpapan")</f>
        <v>Balikpapan</v>
      </c>
      <c r="E374" s="12">
        <f ca="1">IFERROR(__xludf.DUMMYFUNCTION("""COMPUTED_VALUE"""),43035)</f>
        <v>43035</v>
      </c>
      <c r="F374" t="str">
        <f ca="1">IFERROR(__xludf.DUMMYFUNCTION("""COMPUTED_VALUE"""),"KP0350CF")</f>
        <v>KP0350CF</v>
      </c>
      <c r="G374" s="11">
        <f ca="1">IFERROR(__xludf.DUMMYFUNCTION("""COMPUTED_VALUE"""),245000000)</f>
        <v>245000000</v>
      </c>
      <c r="H374" t="str">
        <f ca="1">IFERROR(__xludf.DUMMYFUNCTION("""COMPUTED_VALUE"""),"36012")</f>
        <v>36012</v>
      </c>
      <c r="I374" t="str">
        <f ca="1">IFERROR(__xludf.DUMMYFUNCTION("""COMPUTED_VALUE"""),"7")</f>
        <v>7</v>
      </c>
      <c r="J374" t="str">
        <f ca="1">IFERROR(__xludf.DUMMYFUNCTION("""COMPUTED_VALUE"""),"N/A")</f>
        <v>N/A</v>
      </c>
      <c r="K374" t="str">
        <f ca="1">IFERROR(__xludf.DUMMYFUNCTION("""COMPUTED_VALUE"""),"Cepat Kirim")</f>
        <v>Cepat Kirim</v>
      </c>
      <c r="L374" t="str">
        <f ca="1">IFERROR(__xludf.DUMMYFUNCTION("""COMPUTED_VALUE"""),"Y")</f>
        <v>Y</v>
      </c>
      <c r="M374" t="str">
        <f ca="1">IFERROR(__xludf.DUMMYFUNCTION("""COMPUTED_VALUE"""),"Qc-993")</f>
        <v>Qc-993</v>
      </c>
    </row>
    <row r="375" spans="1:13" ht="12.5" x14ac:dyDescent="0.25">
      <c r="A375" t="str">
        <f ca="1">IFERROR(__xludf.DUMMYFUNCTION("""COMPUTED_VALUE"""),"Alexandra")</f>
        <v>Alexandra</v>
      </c>
      <c r="B375" t="str">
        <f ca="1">IFERROR(__xludf.DUMMYFUNCTION("""COMPUTED_VALUE"""),"Muljo")</f>
        <v>Muljo</v>
      </c>
      <c r="C375" t="str">
        <f ca="1">IFERROR(__xludf.DUMMYFUNCTION("""COMPUTED_VALUE"""),"Alexandra@ymailx.com")</f>
        <v>Alexandra@ymailx.com</v>
      </c>
      <c r="D375" t="str">
        <f ca="1">IFERROR(__xludf.DUMMYFUNCTION("""COMPUTED_VALUE"""),"Mojokerto")</f>
        <v>Mojokerto</v>
      </c>
      <c r="E375" s="12">
        <f ca="1">IFERROR(__xludf.DUMMYFUNCTION("""COMPUTED_VALUE"""),43035)</f>
        <v>43035</v>
      </c>
      <c r="F375" t="str">
        <f ca="1">IFERROR(__xludf.DUMMYFUNCTION("""COMPUTED_VALUE"""),"KP0625AF")</f>
        <v>KP0625AF</v>
      </c>
      <c r="G375" s="11">
        <f ca="1">IFERROR(__xludf.DUMMYFUNCTION("""COMPUTED_VALUE"""),108000000)</f>
        <v>108000000</v>
      </c>
      <c r="H375">
        <f ca="1">IFERROR(__xludf.DUMMYFUNCTION("""COMPUTED_VALUE"""),36606)</f>
        <v>36606</v>
      </c>
      <c r="I375">
        <f ca="1">IFERROR(__xludf.DUMMYFUNCTION("""COMPUTED_VALUE"""),9)</f>
        <v>9</v>
      </c>
      <c r="J375" t="str">
        <f ca="1">IFERROR(__xludf.DUMMYFUNCTION("""COMPUTED_VALUE"""),"N/A")</f>
        <v>N/A</v>
      </c>
      <c r="K375" t="str">
        <f ca="1">IFERROR(__xludf.DUMMYFUNCTION("""COMPUTED_VALUE"""),"Cepat Kirim")</f>
        <v>Cepat Kirim</v>
      </c>
      <c r="L375" t="str">
        <f ca="1">IFERROR(__xludf.DUMMYFUNCTION("""COMPUTED_VALUE"""),"Y")</f>
        <v>Y</v>
      </c>
      <c r="M375" t="str">
        <f ca="1">IFERROR(__xludf.DUMMYFUNCTION("""COMPUTED_VALUE"""),"Pi-123")</f>
        <v>Pi-123</v>
      </c>
    </row>
    <row r="376" spans="1:13" ht="12.5" x14ac:dyDescent="0.25">
      <c r="A376" t="str">
        <f ca="1">IFERROR(__xludf.DUMMYFUNCTION("""COMPUTED_VALUE"""),"Calvin")</f>
        <v>Calvin</v>
      </c>
      <c r="B376" t="str">
        <f ca="1">IFERROR(__xludf.DUMMYFUNCTION("""COMPUTED_VALUE"""),"Carmen")</f>
        <v>Carmen</v>
      </c>
      <c r="C376" t="str">
        <f ca="1">IFERROR(__xludf.DUMMYFUNCTION("""COMPUTED_VALUE"""),"Calvin@icloudx.com")</f>
        <v>Calvin@icloudx.com</v>
      </c>
      <c r="D376" t="str">
        <f ca="1">IFERROR(__xludf.DUMMYFUNCTION("""COMPUTED_VALUE"""),"Pariaman")</f>
        <v>Pariaman</v>
      </c>
      <c r="E376" s="12">
        <f ca="1">IFERROR(__xludf.DUMMYFUNCTION("""COMPUTED_VALUE"""),43034)</f>
        <v>43034</v>
      </c>
      <c r="F376" t="str">
        <f ca="1">IFERROR(__xludf.DUMMYFUNCTION("""COMPUTED_VALUE"""),"KP0750AJ")</f>
        <v>KP0750AJ</v>
      </c>
      <c r="G376" s="11">
        <f ca="1">IFERROR(__xludf.DUMMYFUNCTION("""COMPUTED_VALUE"""),144000000)</f>
        <v>144000000</v>
      </c>
      <c r="H376">
        <f ca="1">IFERROR(__xludf.DUMMYFUNCTION("""COMPUTED_VALUE"""),36482)</f>
        <v>36482</v>
      </c>
      <c r="I376">
        <f ca="1">IFERROR(__xludf.DUMMYFUNCTION("""COMPUTED_VALUE"""),8)</f>
        <v>8</v>
      </c>
      <c r="J376" t="str">
        <f ca="1">IFERROR(__xludf.DUMMYFUNCTION("""COMPUTED_VALUE"""),"N/A")</f>
        <v>N/A</v>
      </c>
      <c r="K376" t="str">
        <f ca="1">IFERROR(__xludf.DUMMYFUNCTION("""COMPUTED_VALUE"""),"Cepat Kirim")</f>
        <v>Cepat Kirim</v>
      </c>
      <c r="L376" t="str">
        <f ca="1">IFERROR(__xludf.DUMMYFUNCTION("""COMPUTED_VALUE"""),"Y")</f>
        <v>Y</v>
      </c>
      <c r="M376" t="str">
        <f ca="1">IFERROR(__xludf.DUMMYFUNCTION("""COMPUTED_VALUE"""),"Hm-559")</f>
        <v>Hm-559</v>
      </c>
    </row>
    <row r="377" spans="1:13" ht="12.5" x14ac:dyDescent="0.25">
      <c r="A377" t="str">
        <f ca="1">IFERROR(__xludf.DUMMYFUNCTION("""COMPUTED_VALUE"""),"Aurelia")</f>
        <v>Aurelia</v>
      </c>
      <c r="B377" t="str">
        <f ca="1">IFERROR(__xludf.DUMMYFUNCTION("""COMPUTED_VALUE"""),"Siregar")</f>
        <v>Siregar</v>
      </c>
      <c r="C377" t="str">
        <f ca="1">IFERROR(__xludf.DUMMYFUNCTION("""COMPUTED_VALUE"""),"Aurelia@livex.com")</f>
        <v>Aurelia@livex.com</v>
      </c>
      <c r="D377" t="str">
        <f ca="1">IFERROR(__xludf.DUMMYFUNCTION("""COMPUTED_VALUE"""),"Cilegon")</f>
        <v>Cilegon</v>
      </c>
      <c r="E377" s="12">
        <f ca="1">IFERROR(__xludf.DUMMYFUNCTION("""COMPUTED_VALUE"""),43033)</f>
        <v>43033</v>
      </c>
      <c r="F377" t="str">
        <f ca="1">IFERROR(__xludf.DUMMYFUNCTION("""COMPUTED_VALUE"""),"KP0625AF")</f>
        <v>KP0625AF</v>
      </c>
      <c r="G377" s="11">
        <f ca="1">IFERROR(__xludf.DUMMYFUNCTION("""COMPUTED_VALUE"""),60000000)</f>
        <v>60000000</v>
      </c>
      <c r="H377">
        <f ca="1">IFERROR(__xludf.DUMMYFUNCTION("""COMPUTED_VALUE"""),35649)</f>
        <v>35649</v>
      </c>
      <c r="I377">
        <f ca="1">IFERROR(__xludf.DUMMYFUNCTION("""COMPUTED_VALUE"""),5)</f>
        <v>5</v>
      </c>
      <c r="J377">
        <f ca="1">IFERROR(__xludf.DUMMYFUNCTION("""COMPUTED_VALUE"""),4)</f>
        <v>4</v>
      </c>
      <c r="K377" t="str">
        <f ca="1">IFERROR(__xludf.DUMMYFUNCTION("""COMPUTED_VALUE"""),"Cepat Kirim")</f>
        <v>Cepat Kirim</v>
      </c>
      <c r="L377" t="str">
        <f ca="1">IFERROR(__xludf.DUMMYFUNCTION("""COMPUTED_VALUE"""),"Y")</f>
        <v>Y</v>
      </c>
      <c r="M377" t="str">
        <f ca="1">IFERROR(__xludf.DUMMYFUNCTION("""COMPUTED_VALUE"""),"Iq-500")</f>
        <v>Iq-500</v>
      </c>
    </row>
    <row r="378" spans="1:13" ht="12.5" x14ac:dyDescent="0.25">
      <c r="A378" t="str">
        <f ca="1">IFERROR(__xludf.DUMMYFUNCTION("""COMPUTED_VALUE"""),"David")</f>
        <v>David</v>
      </c>
      <c r="B378" t="str">
        <f ca="1">IFERROR(__xludf.DUMMYFUNCTION("""COMPUTED_VALUE"""),"Hirawan")</f>
        <v>Hirawan</v>
      </c>
      <c r="C378" t="str">
        <f ca="1">IFERROR(__xludf.DUMMYFUNCTION("""COMPUTED_VALUE"""),"Hirawan@outlookx.com")</f>
        <v>Hirawan@outlookx.com</v>
      </c>
      <c r="D378" t="str">
        <f ca="1">IFERROR(__xludf.DUMMYFUNCTION("""COMPUTED_VALUE"""),"Batam")</f>
        <v>Batam</v>
      </c>
      <c r="E378" s="12">
        <f ca="1">IFERROR(__xludf.DUMMYFUNCTION("""COMPUTED_VALUE"""),43032)</f>
        <v>43032</v>
      </c>
      <c r="F378" t="str">
        <f ca="1">IFERROR(__xludf.DUMMYFUNCTION("""COMPUTED_VALUE"""),"KP0850FB")</f>
        <v>KP0850FB</v>
      </c>
      <c r="G378" s="11">
        <f ca="1">IFERROR(__xludf.DUMMYFUNCTION("""COMPUTED_VALUE"""),168000000)</f>
        <v>168000000</v>
      </c>
      <c r="H378">
        <f ca="1">IFERROR(__xludf.DUMMYFUNCTION("""COMPUTED_VALUE"""),35854)</f>
        <v>35854</v>
      </c>
      <c r="I378">
        <f ca="1">IFERROR(__xludf.DUMMYFUNCTION("""COMPUTED_VALUE"""),8)</f>
        <v>8</v>
      </c>
      <c r="J378">
        <f ca="1">IFERROR(__xludf.DUMMYFUNCTION("""COMPUTED_VALUE"""),4)</f>
        <v>4</v>
      </c>
      <c r="K378" t="str">
        <f ca="1">IFERROR(__xludf.DUMMYFUNCTION("""COMPUTED_VALUE"""),"JENT")</f>
        <v>JENT</v>
      </c>
      <c r="L378" t="str">
        <f ca="1">IFERROR(__xludf.DUMMYFUNCTION("""COMPUTED_VALUE"""),"Y")</f>
        <v>Y</v>
      </c>
      <c r="M378" t="str">
        <f ca="1">IFERROR(__xludf.DUMMYFUNCTION("""COMPUTED_VALUE"""),"Zf-809")</f>
        <v>Zf-809</v>
      </c>
    </row>
    <row r="379" spans="1:13" ht="12.5" x14ac:dyDescent="0.25">
      <c r="A379" t="str">
        <f ca="1">IFERROR(__xludf.DUMMYFUNCTION("""COMPUTED_VALUE"""),"Gunawan")</f>
        <v>Gunawan</v>
      </c>
      <c r="B379" t="str">
        <f ca="1">IFERROR(__xludf.DUMMYFUNCTION("""COMPUTED_VALUE"""),"Api")</f>
        <v>Api</v>
      </c>
      <c r="C379" t="str">
        <f ca="1">IFERROR(__xludf.DUMMYFUNCTION("""COMPUTED_VALUE"""),"Gunawan@gmailx.com")</f>
        <v>Gunawan@gmailx.com</v>
      </c>
      <c r="D379" t="str">
        <f ca="1">IFERROR(__xludf.DUMMYFUNCTION("""COMPUTED_VALUE"""),"Kotamobagu")</f>
        <v>Kotamobagu</v>
      </c>
      <c r="E379" s="12">
        <f ca="1">IFERROR(__xludf.DUMMYFUNCTION("""COMPUTED_VALUE"""),43029)</f>
        <v>43029</v>
      </c>
      <c r="F379" t="str">
        <f ca="1">IFERROR(__xludf.DUMMYFUNCTION("""COMPUTED_VALUE"""),"KP0750AJ")</f>
        <v>KP0750AJ</v>
      </c>
      <c r="G379" s="11">
        <f ca="1">IFERROR(__xludf.DUMMYFUNCTION("""COMPUTED_VALUE"""),180000000)</f>
        <v>180000000</v>
      </c>
      <c r="H379">
        <f ca="1">IFERROR(__xludf.DUMMYFUNCTION("""COMPUTED_VALUE"""),36650)</f>
        <v>36650</v>
      </c>
      <c r="I379">
        <f ca="1">IFERROR(__xludf.DUMMYFUNCTION("""COMPUTED_VALUE"""),10)</f>
        <v>10</v>
      </c>
      <c r="J379" t="str">
        <f ca="1">IFERROR(__xludf.DUMMYFUNCTION("""COMPUTED_VALUE"""),"N/A")</f>
        <v>N/A</v>
      </c>
      <c r="K379" t="str">
        <f ca="1">IFERROR(__xludf.DUMMYFUNCTION("""COMPUTED_VALUE"""),"Swift Delivery")</f>
        <v>Swift Delivery</v>
      </c>
      <c r="L379" t="str">
        <f ca="1">IFERROR(__xludf.DUMMYFUNCTION("""COMPUTED_VALUE"""),"Y")</f>
        <v>Y</v>
      </c>
      <c r="M379" t="str">
        <f ca="1">IFERROR(__xludf.DUMMYFUNCTION("""COMPUTED_VALUE"""),"Nr-221")</f>
        <v>Nr-221</v>
      </c>
    </row>
    <row r="380" spans="1:13" ht="12.5" x14ac:dyDescent="0.25">
      <c r="A380" t="str">
        <f ca="1">IFERROR(__xludf.DUMMYFUNCTION("""COMPUTED_VALUE"""),"Herman")</f>
        <v>Herman</v>
      </c>
      <c r="B380" t="str">
        <f ca="1">IFERROR(__xludf.DUMMYFUNCTION("""COMPUTED_VALUE"""),"Sutandinata")</f>
        <v>Sutandinata</v>
      </c>
      <c r="C380" t="str">
        <f ca="1">IFERROR(__xludf.DUMMYFUNCTION("""COMPUTED_VALUE"""),"Sutandinata@gmailx.com")</f>
        <v>Sutandinata@gmailx.com</v>
      </c>
      <c r="D380" t="str">
        <f ca="1">IFERROR(__xludf.DUMMYFUNCTION("""COMPUTED_VALUE"""),"Blitar")</f>
        <v>Blitar</v>
      </c>
      <c r="E380" s="12">
        <f ca="1">IFERROR(__xludf.DUMMYFUNCTION("""COMPUTED_VALUE"""),43028)</f>
        <v>43028</v>
      </c>
      <c r="F380" t="str">
        <f ca="1">IFERROR(__xludf.DUMMYFUNCTION("""COMPUTED_VALUE"""),"KP0625AF")</f>
        <v>KP0625AF</v>
      </c>
      <c r="G380" s="11">
        <f ca="1">IFERROR(__xludf.DUMMYFUNCTION("""COMPUTED_VALUE"""),120000000)</f>
        <v>120000000</v>
      </c>
      <c r="H380">
        <f ca="1">IFERROR(__xludf.DUMMYFUNCTION("""COMPUTED_VALUE"""),36418)</f>
        <v>36418</v>
      </c>
      <c r="I380">
        <f ca="1">IFERROR(__xludf.DUMMYFUNCTION("""COMPUTED_VALUE"""),10)</f>
        <v>10</v>
      </c>
      <c r="J380" t="str">
        <f ca="1">IFERROR(__xludf.DUMMYFUNCTION("""COMPUTED_VALUE"""),"N/A")</f>
        <v>N/A</v>
      </c>
      <c r="K380" t="str">
        <f ca="1">IFERROR(__xludf.DUMMYFUNCTION("""COMPUTED_VALUE"""),"Pru Logistic")</f>
        <v>Pru Logistic</v>
      </c>
      <c r="L380" t="str">
        <f ca="1">IFERROR(__xludf.DUMMYFUNCTION("""COMPUTED_VALUE"""),"Y")</f>
        <v>Y</v>
      </c>
      <c r="M380" t="str">
        <f ca="1">IFERROR(__xludf.DUMMYFUNCTION("""COMPUTED_VALUE"""),"Jl-123")</f>
        <v>Jl-123</v>
      </c>
    </row>
    <row r="381" spans="1:13" ht="12.5" x14ac:dyDescent="0.25">
      <c r="A381" t="str">
        <f ca="1">IFERROR(__xludf.DUMMYFUNCTION("""COMPUTED_VALUE"""),"Istini")</f>
        <v>Istini</v>
      </c>
      <c r="B381" t="str">
        <f ca="1">IFERROR(__xludf.DUMMYFUNCTION("""COMPUTED_VALUE"""),"Setyawan")</f>
        <v>Setyawan</v>
      </c>
      <c r="C381" t="str">
        <f ca="1">IFERROR(__xludf.DUMMYFUNCTION("""COMPUTED_VALUE"""),"Setyawan@ymailx.com")</f>
        <v>Setyawan@ymailx.com</v>
      </c>
      <c r="D381" t="str">
        <f ca="1">IFERROR(__xludf.DUMMYFUNCTION("""COMPUTED_VALUE"""),"Palembang")</f>
        <v>Palembang</v>
      </c>
      <c r="E381" s="12">
        <f ca="1">IFERROR(__xludf.DUMMYFUNCTION("""COMPUTED_VALUE"""),43027)</f>
        <v>43027</v>
      </c>
      <c r="F381" t="str">
        <f ca="1">IFERROR(__xludf.DUMMYFUNCTION("""COMPUTED_VALUE"""),"KP0225BB")</f>
        <v>KP0225BB</v>
      </c>
      <c r="G381" s="11">
        <f ca="1">IFERROR(__xludf.DUMMYFUNCTION("""COMPUTED_VALUE"""),40000000)</f>
        <v>40000000</v>
      </c>
      <c r="H381">
        <f ca="1">IFERROR(__xludf.DUMMYFUNCTION("""COMPUTED_VALUE"""),35822)</f>
        <v>35822</v>
      </c>
      <c r="I381">
        <f ca="1">IFERROR(__xludf.DUMMYFUNCTION("""COMPUTED_VALUE"""),4)</f>
        <v>4</v>
      </c>
      <c r="J381">
        <f ca="1">IFERROR(__xludf.DUMMYFUNCTION("""COMPUTED_VALUE"""),2)</f>
        <v>2</v>
      </c>
      <c r="K381" t="str">
        <f ca="1">IFERROR(__xludf.DUMMYFUNCTION("""COMPUTED_VALUE"""),"Wakanda Express")</f>
        <v>Wakanda Express</v>
      </c>
      <c r="L381" t="str">
        <f ca="1">IFERROR(__xludf.DUMMYFUNCTION("""COMPUTED_VALUE"""),"Y")</f>
        <v>Y</v>
      </c>
      <c r="M381" t="str">
        <f ca="1">IFERROR(__xludf.DUMMYFUNCTION("""COMPUTED_VALUE"""),"Dx-661")</f>
        <v>Dx-661</v>
      </c>
    </row>
    <row r="382" spans="1:13" ht="12.5" x14ac:dyDescent="0.25">
      <c r="A382" t="str">
        <f ca="1">IFERROR(__xludf.DUMMYFUNCTION("""COMPUTED_VALUE"""),"Guat")</f>
        <v>Guat</v>
      </c>
      <c r="B382" t="str">
        <f ca="1">IFERROR(__xludf.DUMMYFUNCTION("""COMPUTED_VALUE"""),"Lie")</f>
        <v>Lie</v>
      </c>
      <c r="C382" t="str">
        <f ca="1">IFERROR(__xludf.DUMMYFUNCTION("""COMPUTED_VALUE"""),"Guat@gmailx.com")</f>
        <v>Guat@gmailx.com</v>
      </c>
      <c r="D382" t="str">
        <f ca="1">IFERROR(__xludf.DUMMYFUNCTION("""COMPUTED_VALUE"""),"Sorong")</f>
        <v>Sorong</v>
      </c>
      <c r="E382" s="12">
        <f ca="1">IFERROR(__xludf.DUMMYFUNCTION("""COMPUTED_VALUE"""),43025)</f>
        <v>43025</v>
      </c>
      <c r="F382" t="str">
        <f ca="1">IFERROR(__xludf.DUMMYFUNCTION("""COMPUTED_VALUE"""),"KP0350CF")</f>
        <v>KP0350CF</v>
      </c>
      <c r="G382" s="11">
        <f ca="1">IFERROR(__xludf.DUMMYFUNCTION("""COMPUTED_VALUE"""),105000000)</f>
        <v>105000000</v>
      </c>
      <c r="H382">
        <f ca="1">IFERROR(__xludf.DUMMYFUNCTION("""COMPUTED_VALUE"""),35387)</f>
        <v>35387</v>
      </c>
      <c r="I382">
        <f ca="1">IFERROR(__xludf.DUMMYFUNCTION("""COMPUTED_VALUE"""),3)</f>
        <v>3</v>
      </c>
      <c r="J382">
        <f ca="1">IFERROR(__xludf.DUMMYFUNCTION("""COMPUTED_VALUE"""),2)</f>
        <v>2</v>
      </c>
      <c r="K382" t="str">
        <f ca="1">IFERROR(__xludf.DUMMYFUNCTION("""COMPUTED_VALUE"""),"JENT")</f>
        <v>JENT</v>
      </c>
      <c r="L382" t="str">
        <f ca="1">IFERROR(__xludf.DUMMYFUNCTION("""COMPUTED_VALUE"""),"Y")</f>
        <v>Y</v>
      </c>
      <c r="M382" t="str">
        <f ca="1">IFERROR(__xludf.DUMMYFUNCTION("""COMPUTED_VALUE"""),"Dq-999")</f>
        <v>Dq-999</v>
      </c>
    </row>
    <row r="383" spans="1:13" ht="12.5" x14ac:dyDescent="0.25">
      <c r="A383" t="str">
        <f ca="1">IFERROR(__xludf.DUMMYFUNCTION("""COMPUTED_VALUE"""),"Eric")</f>
        <v>Eric</v>
      </c>
      <c r="B383" t="str">
        <f ca="1">IFERROR(__xludf.DUMMYFUNCTION("""COMPUTED_VALUE"""),"Setiawan")</f>
        <v>Setiawan</v>
      </c>
      <c r="C383" t="str">
        <f ca="1">IFERROR(__xludf.DUMMYFUNCTION("""COMPUTED_VALUE"""),"Setiawan@outlookx.com")</f>
        <v>Setiawan@outlookx.com</v>
      </c>
      <c r="D383" t="str">
        <f ca="1">IFERROR(__xludf.DUMMYFUNCTION("""COMPUTED_VALUE"""),"Denpasar")</f>
        <v>Denpasar</v>
      </c>
      <c r="E383" s="12">
        <f ca="1">IFERROR(__xludf.DUMMYFUNCTION("""COMPUTED_VALUE"""),43024)</f>
        <v>43024</v>
      </c>
      <c r="F383" t="str">
        <f ca="1">IFERROR(__xludf.DUMMYFUNCTION("""COMPUTED_VALUE"""),"KP0050AG")</f>
        <v>KP0050AG</v>
      </c>
      <c r="G383" s="11">
        <f ca="1">IFERROR(__xludf.DUMMYFUNCTION("""COMPUTED_VALUE"""),81250000)</f>
        <v>81250000</v>
      </c>
      <c r="H383">
        <f ca="1">IFERROR(__xludf.DUMMYFUNCTION("""COMPUTED_VALUE"""),35378)</f>
        <v>35378</v>
      </c>
      <c r="I383">
        <f ca="1">IFERROR(__xludf.DUMMYFUNCTION("""COMPUTED_VALUE"""),5)</f>
        <v>5</v>
      </c>
      <c r="J383" t="str">
        <f ca="1">IFERROR(__xludf.DUMMYFUNCTION("""COMPUTED_VALUE"""),"N/A")</f>
        <v>N/A</v>
      </c>
      <c r="K383" t="str">
        <f ca="1">IFERROR(__xludf.DUMMYFUNCTION("""COMPUTED_VALUE"""),"Swift Delivery")</f>
        <v>Swift Delivery</v>
      </c>
      <c r="L383" t="str">
        <f ca="1">IFERROR(__xludf.DUMMYFUNCTION("""COMPUTED_VALUE"""),"Y")</f>
        <v>Y</v>
      </c>
      <c r="M383" t="str">
        <f ca="1">IFERROR(__xludf.DUMMYFUNCTION("""COMPUTED_VALUE"""),"Ey-201")</f>
        <v>Ey-201</v>
      </c>
    </row>
    <row r="384" spans="1:13" ht="12.5" x14ac:dyDescent="0.25">
      <c r="A384" t="str">
        <f ca="1">IFERROR(__xludf.DUMMYFUNCTION("""COMPUTED_VALUE"""),"Michael")</f>
        <v>Michael</v>
      </c>
      <c r="B384" t="str">
        <f ca="1">IFERROR(__xludf.DUMMYFUNCTION("""COMPUTED_VALUE"""),"Limited")</f>
        <v>Limited</v>
      </c>
      <c r="C384" t="str">
        <f ca="1">IFERROR(__xludf.DUMMYFUNCTION("""COMPUTED_VALUE"""),"Limited@icloudx.com")</f>
        <v>Limited@icloudx.com</v>
      </c>
      <c r="D384" t="str">
        <f ca="1">IFERROR(__xludf.DUMMYFUNCTION("""COMPUTED_VALUE"""),"Cirebon")</f>
        <v>Cirebon</v>
      </c>
      <c r="E384" s="12">
        <f ca="1">IFERROR(__xludf.DUMMYFUNCTION("""COMPUTED_VALUE"""),43023)</f>
        <v>43023</v>
      </c>
      <c r="F384" t="str">
        <f ca="1">IFERROR(__xludf.DUMMYFUNCTION("""COMPUTED_VALUE"""),"KP0425CB")</f>
        <v>KP0425CB</v>
      </c>
      <c r="G384" s="11">
        <f ca="1">IFERROR(__xludf.DUMMYFUNCTION("""COMPUTED_VALUE"""),109000000)</f>
        <v>109000000</v>
      </c>
      <c r="H384">
        <f ca="1">IFERROR(__xludf.DUMMYFUNCTION("""COMPUTED_VALUE"""),35765)</f>
        <v>35765</v>
      </c>
      <c r="I384">
        <f ca="1">IFERROR(__xludf.DUMMYFUNCTION("""COMPUTED_VALUE"""),4)</f>
        <v>4</v>
      </c>
      <c r="J384">
        <f ca="1">IFERROR(__xludf.DUMMYFUNCTION("""COMPUTED_VALUE"""),4)</f>
        <v>4</v>
      </c>
      <c r="K384" t="str">
        <f ca="1">IFERROR(__xludf.DUMMYFUNCTION("""COMPUTED_VALUE"""),"Wakanda Express")</f>
        <v>Wakanda Express</v>
      </c>
      <c r="L384" t="str">
        <f ca="1">IFERROR(__xludf.DUMMYFUNCTION("""COMPUTED_VALUE"""),"Y")</f>
        <v>Y</v>
      </c>
      <c r="M384" t="str">
        <f ca="1">IFERROR(__xludf.DUMMYFUNCTION("""COMPUTED_VALUE"""),"Oj-409")</f>
        <v>Oj-409</v>
      </c>
    </row>
    <row r="385" spans="1:13" ht="12.5" x14ac:dyDescent="0.25">
      <c r="A385" t="str">
        <f ca="1">IFERROR(__xludf.DUMMYFUNCTION("""COMPUTED_VALUE"""),"Siauw")</f>
        <v>Siauw</v>
      </c>
      <c r="B385" t="str">
        <f ca="1">IFERROR(__xludf.DUMMYFUNCTION("""COMPUTED_VALUE"""),"Leuchtenberg")</f>
        <v>Leuchtenberg</v>
      </c>
      <c r="C385" t="str">
        <f ca="1">IFERROR(__xludf.DUMMYFUNCTION("""COMPUTED_VALUE"""),"Leuchtenberg@gmailx.com")</f>
        <v>Leuchtenberg@gmailx.com</v>
      </c>
      <c r="D385" t="str">
        <f ca="1">IFERROR(__xludf.DUMMYFUNCTION("""COMPUTED_VALUE"""),"Bandung")</f>
        <v>Bandung</v>
      </c>
      <c r="E385" s="12">
        <f ca="1">IFERROR(__xludf.DUMMYFUNCTION("""COMPUTED_VALUE"""),43022)</f>
        <v>43022</v>
      </c>
      <c r="F385" t="str">
        <f ca="1">IFERROR(__xludf.DUMMYFUNCTION("""COMPUTED_VALUE"""),"KP0850FB")</f>
        <v>KP0850FB</v>
      </c>
      <c r="G385" s="11">
        <f ca="1">IFERROR(__xludf.DUMMYFUNCTION("""COMPUTED_VALUE"""),126000000)</f>
        <v>126000000</v>
      </c>
      <c r="H385">
        <f ca="1">IFERROR(__xludf.DUMMYFUNCTION("""COMPUTED_VALUE"""),36476)</f>
        <v>36476</v>
      </c>
      <c r="I385">
        <f ca="1">IFERROR(__xludf.DUMMYFUNCTION("""COMPUTED_VALUE"""),6)</f>
        <v>6</v>
      </c>
      <c r="J385">
        <f ca="1">IFERROR(__xludf.DUMMYFUNCTION("""COMPUTED_VALUE"""),4)</f>
        <v>4</v>
      </c>
      <c r="K385" t="str">
        <f ca="1">IFERROR(__xludf.DUMMYFUNCTION("""COMPUTED_VALUE"""),"JENT")</f>
        <v>JENT</v>
      </c>
      <c r="L385" t="str">
        <f ca="1">IFERROR(__xludf.DUMMYFUNCTION("""COMPUTED_VALUE"""),"N")</f>
        <v>N</v>
      </c>
      <c r="M385" t="str">
        <f ca="1">IFERROR(__xludf.DUMMYFUNCTION("""COMPUTED_VALUE"""),"Fj-409")</f>
        <v>Fj-409</v>
      </c>
    </row>
    <row r="386" spans="1:13" ht="12.5" x14ac:dyDescent="0.25">
      <c r="A386" t="str">
        <f ca="1">IFERROR(__xludf.DUMMYFUNCTION("""COMPUTED_VALUE"""),"Aziar")</f>
        <v>Aziar</v>
      </c>
      <c r="B386" t="str">
        <f ca="1">IFERROR(__xludf.DUMMYFUNCTION("""COMPUTED_VALUE"""),"Rusli")</f>
        <v>Rusli</v>
      </c>
      <c r="C386" t="str">
        <f ca="1">IFERROR(__xludf.DUMMYFUNCTION("""COMPUTED_VALUE"""),"Aziar@ymailx.com")</f>
        <v>Aziar@ymailx.com</v>
      </c>
      <c r="D386" t="str">
        <f ca="1">IFERROR(__xludf.DUMMYFUNCTION("""COMPUTED_VALUE"""),"Jambi")</f>
        <v>Jambi</v>
      </c>
      <c r="E386" s="12">
        <f ca="1">IFERROR(__xludf.DUMMYFUNCTION("""COMPUTED_VALUE"""),43021)</f>
        <v>43021</v>
      </c>
      <c r="F386" t="str">
        <f ca="1">IFERROR(__xludf.DUMMYFUNCTION("""COMPUTED_VALUE"""),"KP0850FB")</f>
        <v>KP0850FB</v>
      </c>
      <c r="G386" s="11">
        <f ca="1">IFERROR(__xludf.DUMMYFUNCTION("""COMPUTED_VALUE"""),189000000)</f>
        <v>189000000</v>
      </c>
      <c r="H386">
        <f ca="1">IFERROR(__xludf.DUMMYFUNCTION("""COMPUTED_VALUE"""),36804)</f>
        <v>36804</v>
      </c>
      <c r="I386">
        <f ca="1">IFERROR(__xludf.DUMMYFUNCTION("""COMPUTED_VALUE"""),9)</f>
        <v>9</v>
      </c>
      <c r="J386" t="str">
        <f ca="1">IFERROR(__xludf.DUMMYFUNCTION("""COMPUTED_VALUE"""),"N/A")</f>
        <v>N/A</v>
      </c>
      <c r="K386" t="str">
        <f ca="1">IFERROR(__xludf.DUMMYFUNCTION("""COMPUTED_VALUE"""),"Swift Delivery")</f>
        <v>Swift Delivery</v>
      </c>
      <c r="L386" t="str">
        <f ca="1">IFERROR(__xludf.DUMMYFUNCTION("""COMPUTED_VALUE"""),"Y")</f>
        <v>Y</v>
      </c>
      <c r="M386" t="str">
        <f ca="1">IFERROR(__xludf.DUMMYFUNCTION("""COMPUTED_VALUE"""),"Pz-512")</f>
        <v>Pz-512</v>
      </c>
    </row>
    <row r="387" spans="1:13" ht="12.5" x14ac:dyDescent="0.25">
      <c r="A387" t="str">
        <f ca="1">IFERROR(__xludf.DUMMYFUNCTION("""COMPUTED_VALUE"""),"Dan")</f>
        <v>Dan</v>
      </c>
      <c r="B387" t="str">
        <f ca="1">IFERROR(__xludf.DUMMYFUNCTION("""COMPUTED_VALUE"""),"Sandjojo")</f>
        <v>Sandjojo</v>
      </c>
      <c r="C387" t="str">
        <f ca="1">IFERROR(__xludf.DUMMYFUNCTION("""COMPUTED_VALUE"""),"Sandjojo@gmailx.com")</f>
        <v>Sandjojo@gmailx.com</v>
      </c>
      <c r="D387" t="str">
        <f ca="1">IFERROR(__xludf.DUMMYFUNCTION("""COMPUTED_VALUE"""),"Banjar")</f>
        <v>Banjar</v>
      </c>
      <c r="E387" s="12">
        <f ca="1">IFERROR(__xludf.DUMMYFUNCTION("""COMPUTED_VALUE"""),43079)</f>
        <v>43079</v>
      </c>
      <c r="F387" t="str">
        <f ca="1">IFERROR(__xludf.DUMMYFUNCTION("""COMPUTED_VALUE"""),"KP0850FB")</f>
        <v>KP0850FB</v>
      </c>
      <c r="G387" s="11">
        <f ca="1">IFERROR(__xludf.DUMMYFUNCTION("""COMPUTED_VALUE"""),210000000)</f>
        <v>210000000</v>
      </c>
      <c r="H387">
        <f ca="1">IFERROR(__xludf.DUMMYFUNCTION("""COMPUTED_VALUE"""),36756)</f>
        <v>36756</v>
      </c>
      <c r="I387">
        <f ca="1">IFERROR(__xludf.DUMMYFUNCTION("""COMPUTED_VALUE"""),10)</f>
        <v>10</v>
      </c>
      <c r="J387" t="str">
        <f ca="1">IFERROR(__xludf.DUMMYFUNCTION("""COMPUTED_VALUE"""),"N/A")</f>
        <v>N/A</v>
      </c>
      <c r="K387" t="str">
        <f ca="1">IFERROR(__xludf.DUMMYFUNCTION("""COMPUTED_VALUE"""),"Swift Delivery")</f>
        <v>Swift Delivery</v>
      </c>
      <c r="L387" t="str">
        <f ca="1">IFERROR(__xludf.DUMMYFUNCTION("""COMPUTED_VALUE"""),"Y")</f>
        <v>Y</v>
      </c>
      <c r="M387" t="str">
        <f ca="1">IFERROR(__xludf.DUMMYFUNCTION("""COMPUTED_VALUE"""),"Vo-409")</f>
        <v>Vo-409</v>
      </c>
    </row>
    <row r="388" spans="1:13" ht="12.5" x14ac:dyDescent="0.25">
      <c r="A388" t="str">
        <f ca="1">IFERROR(__xludf.DUMMYFUNCTION("""COMPUTED_VALUE"""),"Subuh")</f>
        <v>Subuh</v>
      </c>
      <c r="B388" t="str">
        <f ca="1">IFERROR(__xludf.DUMMYFUNCTION("""COMPUTED_VALUE"""),"Luciana")</f>
        <v>Luciana</v>
      </c>
      <c r="C388" t="str">
        <f ca="1">IFERROR(__xludf.DUMMYFUNCTION("""COMPUTED_VALUE"""),"Subuh@outlookx.com")</f>
        <v>Subuh@outlookx.com</v>
      </c>
      <c r="D388" t="str">
        <f ca="1">IFERROR(__xludf.DUMMYFUNCTION("""COMPUTED_VALUE"""),"Banjar")</f>
        <v>Banjar</v>
      </c>
      <c r="E388" s="12">
        <f ca="1">IFERROR(__xludf.DUMMYFUNCTION("""COMPUTED_VALUE"""),43079)</f>
        <v>43079</v>
      </c>
      <c r="F388" t="str">
        <f ca="1">IFERROR(__xludf.DUMMYFUNCTION("""COMPUTED_VALUE"""),"KP0150BH")</f>
        <v>KP0150BH</v>
      </c>
      <c r="G388" s="11">
        <f ca="1">IFERROR(__xludf.DUMMYFUNCTION("""COMPUTED_VALUE"""),270000000)</f>
        <v>270000000</v>
      </c>
      <c r="H388">
        <f ca="1">IFERROR(__xludf.DUMMYFUNCTION("""COMPUTED_VALUE"""),35677)</f>
        <v>35677</v>
      </c>
      <c r="I388">
        <f ca="1">IFERROR(__xludf.DUMMYFUNCTION("""COMPUTED_VALUE"""),10)</f>
        <v>10</v>
      </c>
      <c r="J388">
        <f ca="1">IFERROR(__xludf.DUMMYFUNCTION("""COMPUTED_VALUE"""),5)</f>
        <v>5</v>
      </c>
      <c r="K388" t="str">
        <f ca="1">IFERROR(__xludf.DUMMYFUNCTION("""COMPUTED_VALUE"""),"JENT")</f>
        <v>JENT</v>
      </c>
      <c r="L388" t="str">
        <f ca="1">IFERROR(__xludf.DUMMYFUNCTION("""COMPUTED_VALUE"""),"N")</f>
        <v>N</v>
      </c>
      <c r="M388" t="str">
        <f ca="1">IFERROR(__xludf.DUMMYFUNCTION("""COMPUTED_VALUE"""),"Lq-409")</f>
        <v>Lq-409</v>
      </c>
    </row>
    <row r="389" spans="1:13" ht="12.5" x14ac:dyDescent="0.25">
      <c r="A389" t="str">
        <f ca="1">IFERROR(__xludf.DUMMYFUNCTION("""COMPUTED_VALUE"""),"Retno")</f>
        <v>Retno</v>
      </c>
      <c r="B389" t="str">
        <f ca="1">IFERROR(__xludf.DUMMYFUNCTION("""COMPUTED_VALUE"""),"Meriati")</f>
        <v>Meriati</v>
      </c>
      <c r="C389" t="str">
        <f ca="1">IFERROR(__xludf.DUMMYFUNCTION("""COMPUTED_VALUE"""),"Retno@livex.com")</f>
        <v>Retno@livex.com</v>
      </c>
      <c r="D389" t="str">
        <f ca="1">IFERROR(__xludf.DUMMYFUNCTION("""COMPUTED_VALUE"""),"Makassar")</f>
        <v>Makassar</v>
      </c>
      <c r="E389" s="12">
        <f ca="1">IFERROR(__xludf.DUMMYFUNCTION("""COMPUTED_VALUE"""),43018)</f>
        <v>43018</v>
      </c>
      <c r="F389" t="str">
        <f ca="1">IFERROR(__xludf.DUMMYFUNCTION("""COMPUTED_VALUE"""),"KP0850FB")</f>
        <v>KP0850FB</v>
      </c>
      <c r="G389" s="11">
        <f ca="1">IFERROR(__xludf.DUMMYFUNCTION("""COMPUTED_VALUE"""),105000000)</f>
        <v>105000000</v>
      </c>
      <c r="H389">
        <f ca="1">IFERROR(__xludf.DUMMYFUNCTION("""COMPUTED_VALUE"""),35930)</f>
        <v>35930</v>
      </c>
      <c r="I389">
        <f ca="1">IFERROR(__xludf.DUMMYFUNCTION("""COMPUTED_VALUE"""),5)</f>
        <v>5</v>
      </c>
      <c r="J389" t="str">
        <f ca="1">IFERROR(__xludf.DUMMYFUNCTION("""COMPUTED_VALUE"""),"N/A")</f>
        <v>N/A</v>
      </c>
      <c r="K389" t="str">
        <f ca="1">IFERROR(__xludf.DUMMYFUNCTION("""COMPUTED_VALUE"""),"Wakanda Express")</f>
        <v>Wakanda Express</v>
      </c>
      <c r="L389" t="str">
        <f ca="1">IFERROR(__xludf.DUMMYFUNCTION("""COMPUTED_VALUE"""),"N")</f>
        <v>N</v>
      </c>
      <c r="M389" t="str">
        <f ca="1">IFERROR(__xludf.DUMMYFUNCTION("""COMPUTED_VALUE"""),"Tl-290")</f>
        <v>Tl-290</v>
      </c>
    </row>
    <row r="390" spans="1:13" ht="12.5" x14ac:dyDescent="0.25">
      <c r="A390" t="str">
        <f ca="1">IFERROR(__xludf.DUMMYFUNCTION("""COMPUTED_VALUE"""),"Chandler")</f>
        <v>Chandler</v>
      </c>
      <c r="B390" t="str">
        <f ca="1">IFERROR(__xludf.DUMMYFUNCTION("""COMPUTED_VALUE"""),"Sumantri")</f>
        <v>Sumantri</v>
      </c>
      <c r="C390" t="str">
        <f ca="1">IFERROR(__xludf.DUMMYFUNCTION("""COMPUTED_VALUE"""),"Chandler@icloudx.com")</f>
        <v>Chandler@icloudx.com</v>
      </c>
      <c r="D390" t="str">
        <f ca="1">IFERROR(__xludf.DUMMYFUNCTION("""COMPUTED_VALUE"""),"Tasikmalaya")</f>
        <v>Tasikmalaya</v>
      </c>
      <c r="E390" s="12">
        <f ca="1">IFERROR(__xludf.DUMMYFUNCTION("""COMPUTED_VALUE"""),42988)</f>
        <v>42988</v>
      </c>
      <c r="F390" t="str">
        <f ca="1">IFERROR(__xludf.DUMMYFUNCTION("""COMPUTED_VALUE"""),"KP0925SG")</f>
        <v>KP0925SG</v>
      </c>
      <c r="G390" s="11">
        <f ca="1">IFERROR(__xludf.DUMMYFUNCTION("""COMPUTED_VALUE"""),45000000)</f>
        <v>45000000</v>
      </c>
      <c r="H390">
        <f ca="1">IFERROR(__xludf.DUMMYFUNCTION("""COMPUTED_VALUE"""),36422)</f>
        <v>36422</v>
      </c>
      <c r="I390">
        <f ca="1">IFERROR(__xludf.DUMMYFUNCTION("""COMPUTED_VALUE"""),3)</f>
        <v>3</v>
      </c>
      <c r="J390" t="str">
        <f ca="1">IFERROR(__xludf.DUMMYFUNCTION("""COMPUTED_VALUE"""),"N/A")</f>
        <v>N/A</v>
      </c>
      <c r="K390" t="str">
        <f ca="1">IFERROR(__xludf.DUMMYFUNCTION("""COMPUTED_VALUE"""),"Cepat Kirim")</f>
        <v>Cepat Kirim</v>
      </c>
      <c r="L390" t="str">
        <f ca="1">IFERROR(__xludf.DUMMYFUNCTION("""COMPUTED_VALUE"""),"Y")</f>
        <v>Y</v>
      </c>
      <c r="M390" t="str">
        <f ca="1">IFERROR(__xludf.DUMMYFUNCTION("""COMPUTED_VALUE"""),"Uc-409")</f>
        <v>Uc-409</v>
      </c>
    </row>
    <row r="391" spans="1:13" ht="12.5" x14ac:dyDescent="0.25">
      <c r="A391" t="str">
        <f ca="1">IFERROR(__xludf.DUMMYFUNCTION("""COMPUTED_VALUE"""),"Roger")</f>
        <v>Roger</v>
      </c>
      <c r="B391" t="str">
        <f ca="1">IFERROR(__xludf.DUMMYFUNCTION("""COMPUTED_VALUE"""),"Lim")</f>
        <v>Lim</v>
      </c>
      <c r="C391" t="str">
        <f ca="1">IFERROR(__xludf.DUMMYFUNCTION("""COMPUTED_VALUE"""),"Roger@gmailx.com")</f>
        <v>Roger@gmailx.com</v>
      </c>
      <c r="D391" t="str">
        <f ca="1">IFERROR(__xludf.DUMMYFUNCTION("""COMPUTED_VALUE"""),"Metro")</f>
        <v>Metro</v>
      </c>
      <c r="E391" s="12">
        <f ca="1">IFERROR(__xludf.DUMMYFUNCTION("""COMPUTED_VALUE"""),42926)</f>
        <v>42926</v>
      </c>
      <c r="F391" t="str">
        <f ca="1">IFERROR(__xludf.DUMMYFUNCTION("""COMPUTED_VALUE"""),"KP0350CF")</f>
        <v>KP0350CF</v>
      </c>
      <c r="G391" s="11">
        <f ca="1">IFERROR(__xludf.DUMMYFUNCTION("""COMPUTED_VALUE"""),280000000)</f>
        <v>280000000</v>
      </c>
      <c r="H391">
        <f ca="1">IFERROR(__xludf.DUMMYFUNCTION("""COMPUTED_VALUE"""),35853)</f>
        <v>35853</v>
      </c>
      <c r="I391">
        <f ca="1">IFERROR(__xludf.DUMMYFUNCTION("""COMPUTED_VALUE"""),8)</f>
        <v>8</v>
      </c>
      <c r="J391" t="str">
        <f ca="1">IFERROR(__xludf.DUMMYFUNCTION("""COMPUTED_VALUE"""),"N/A")</f>
        <v>N/A</v>
      </c>
      <c r="K391" t="str">
        <f ca="1">IFERROR(__xludf.DUMMYFUNCTION("""COMPUTED_VALUE"""),"Wakanda Express")</f>
        <v>Wakanda Express</v>
      </c>
      <c r="L391" t="str">
        <f ca="1">IFERROR(__xludf.DUMMYFUNCTION("""COMPUTED_VALUE"""),"N")</f>
        <v>N</v>
      </c>
      <c r="M391" t="str">
        <f ca="1">IFERROR(__xludf.DUMMYFUNCTION("""COMPUTED_VALUE"""),"Lv-150")</f>
        <v>Lv-150</v>
      </c>
    </row>
    <row r="392" spans="1:13" ht="12.5" x14ac:dyDescent="0.25">
      <c r="A392" t="str">
        <f ca="1">IFERROR(__xludf.DUMMYFUNCTION("""COMPUTED_VALUE"""),"Rudi")</f>
        <v>Rudi</v>
      </c>
      <c r="B392" t="str">
        <f ca="1">IFERROR(__xludf.DUMMYFUNCTION("""COMPUTED_VALUE"""),"Mang")</f>
        <v>Mang</v>
      </c>
      <c r="C392" t="str">
        <f ca="1">IFERROR(__xludf.DUMMYFUNCTION("""COMPUTED_VALUE"""),"Mang@gmailx.com")</f>
        <v>Mang@gmailx.com</v>
      </c>
      <c r="D392" t="str">
        <f ca="1">IFERROR(__xludf.DUMMYFUNCTION("""COMPUTED_VALUE"""),"Malang")</f>
        <v>Malang</v>
      </c>
      <c r="E392" s="12">
        <f ca="1">IFERROR(__xludf.DUMMYFUNCTION("""COMPUTED_VALUE"""),42896)</f>
        <v>42896</v>
      </c>
      <c r="F392" t="str">
        <f ca="1">IFERROR(__xludf.DUMMYFUNCTION("""COMPUTED_VALUE"""),"KP0925SG")</f>
        <v>KP0925SG</v>
      </c>
      <c r="G392" s="11">
        <f ca="1">IFERROR(__xludf.DUMMYFUNCTION("""COMPUTED_VALUE"""),30000000)</f>
        <v>30000000</v>
      </c>
      <c r="H392">
        <f ca="1">IFERROR(__xludf.DUMMYFUNCTION("""COMPUTED_VALUE"""),36469)</f>
        <v>36469</v>
      </c>
      <c r="I392">
        <f ca="1">IFERROR(__xludf.DUMMYFUNCTION("""COMPUTED_VALUE"""),2)</f>
        <v>2</v>
      </c>
      <c r="J392" t="str">
        <f ca="1">IFERROR(__xludf.DUMMYFUNCTION("""COMPUTED_VALUE"""),"N/A")</f>
        <v>N/A</v>
      </c>
      <c r="K392" t="str">
        <f ca="1">IFERROR(__xludf.DUMMYFUNCTION("""COMPUTED_VALUE"""),"Cepat Kirim")</f>
        <v>Cepat Kirim</v>
      </c>
      <c r="L392" t="str">
        <f ca="1">IFERROR(__xludf.DUMMYFUNCTION("""COMPUTED_VALUE"""),"N")</f>
        <v>N</v>
      </c>
      <c r="M392" t="str">
        <f ca="1">IFERROR(__xludf.DUMMYFUNCTION("""COMPUTED_VALUE"""),"Rl-123")</f>
        <v>Rl-123</v>
      </c>
    </row>
    <row r="393" spans="1:13" ht="12.5" x14ac:dyDescent="0.25">
      <c r="A393" t="str">
        <f ca="1">IFERROR(__xludf.DUMMYFUNCTION("""COMPUTED_VALUE"""),"Jemmy")</f>
        <v>Jemmy</v>
      </c>
      <c r="B393" t="str">
        <f ca="1">IFERROR(__xludf.DUMMYFUNCTION("""COMPUTED_VALUE"""),"Soegiharto")</f>
        <v>Soegiharto</v>
      </c>
      <c r="C393" t="str">
        <f ca="1">IFERROR(__xludf.DUMMYFUNCTION("""COMPUTED_VALUE"""),"Soegiharto@gmailx.com")</f>
        <v>Soegiharto@gmailx.com</v>
      </c>
      <c r="D393" t="str">
        <f ca="1">IFERROR(__xludf.DUMMYFUNCTION("""COMPUTED_VALUE"""),"Meulaboh")</f>
        <v>Meulaboh</v>
      </c>
      <c r="E393" s="12">
        <f ca="1">IFERROR(__xludf.DUMMYFUNCTION("""COMPUTED_VALUE"""),42835)</f>
        <v>42835</v>
      </c>
      <c r="F393" t="str">
        <f ca="1">IFERROR(__xludf.DUMMYFUNCTION("""COMPUTED_VALUE"""),"KP0925SG")</f>
        <v>KP0925SG</v>
      </c>
      <c r="G393" s="11">
        <f ca="1">IFERROR(__xludf.DUMMYFUNCTION("""COMPUTED_VALUE"""),30000000)</f>
        <v>30000000</v>
      </c>
      <c r="H393">
        <f ca="1">IFERROR(__xludf.DUMMYFUNCTION("""COMPUTED_VALUE"""),36949)</f>
        <v>36949</v>
      </c>
      <c r="I393">
        <f ca="1">IFERROR(__xludf.DUMMYFUNCTION("""COMPUTED_VALUE"""),2)</f>
        <v>2</v>
      </c>
      <c r="J393">
        <f ca="1">IFERROR(__xludf.DUMMYFUNCTION("""COMPUTED_VALUE"""),2)</f>
        <v>2</v>
      </c>
      <c r="K393" t="str">
        <f ca="1">IFERROR(__xludf.DUMMYFUNCTION("""COMPUTED_VALUE"""),"Wakanda Express")</f>
        <v>Wakanda Express</v>
      </c>
      <c r="L393" t="str">
        <f ca="1">IFERROR(__xludf.DUMMYFUNCTION("""COMPUTED_VALUE"""),"Y")</f>
        <v>Y</v>
      </c>
      <c r="M393" t="str">
        <f ca="1">IFERROR(__xludf.DUMMYFUNCTION("""COMPUTED_VALUE"""),"Zj-101")</f>
        <v>Zj-101</v>
      </c>
    </row>
    <row r="394" spans="1:13" ht="12.5" x14ac:dyDescent="0.25">
      <c r="A394" t="str">
        <f ca="1">IFERROR(__xludf.DUMMYFUNCTION("""COMPUTED_VALUE"""),"Kang")</f>
        <v>Kang</v>
      </c>
      <c r="B394" t="str">
        <f ca="1">IFERROR(__xludf.DUMMYFUNCTION("""COMPUTED_VALUE"""),"Perkasa")</f>
        <v>Perkasa</v>
      </c>
      <c r="C394" t="str">
        <f ca="1">IFERROR(__xludf.DUMMYFUNCTION("""COMPUTED_VALUE"""),"Kang@ymailx.com")</f>
        <v>Kang@ymailx.com</v>
      </c>
      <c r="D394" t="str">
        <f ca="1">IFERROR(__xludf.DUMMYFUNCTION("""COMPUTED_VALUE"""),"Salatiga")</f>
        <v>Salatiga</v>
      </c>
      <c r="E394" s="12">
        <f ca="1">IFERROR(__xludf.DUMMYFUNCTION("""COMPUTED_VALUE"""),42804)</f>
        <v>42804</v>
      </c>
      <c r="F394" t="str">
        <f ca="1">IFERROR(__xludf.DUMMYFUNCTION("""COMPUTED_VALUE"""),"KP0925SG")</f>
        <v>KP0925SG</v>
      </c>
      <c r="G394" s="11">
        <f ca="1">IFERROR(__xludf.DUMMYFUNCTION("""COMPUTED_VALUE"""),135000000)</f>
        <v>135000000</v>
      </c>
      <c r="H394">
        <f ca="1">IFERROR(__xludf.DUMMYFUNCTION("""COMPUTED_VALUE"""),36678)</f>
        <v>36678</v>
      </c>
      <c r="I394">
        <f ca="1">IFERROR(__xludf.DUMMYFUNCTION("""COMPUTED_VALUE"""),9)</f>
        <v>9</v>
      </c>
      <c r="J394">
        <f ca="1">IFERROR(__xludf.DUMMYFUNCTION("""COMPUTED_VALUE"""),5)</f>
        <v>5</v>
      </c>
      <c r="K394" t="str">
        <f ca="1">IFERROR(__xludf.DUMMYFUNCTION("""COMPUTED_VALUE"""),"Swift Delivery")</f>
        <v>Swift Delivery</v>
      </c>
      <c r="L394" t="str">
        <f ca="1">IFERROR(__xludf.DUMMYFUNCTION("""COMPUTED_VALUE"""),"Y")</f>
        <v>Y</v>
      </c>
      <c r="M394" t="str">
        <f ca="1">IFERROR(__xludf.DUMMYFUNCTION("""COMPUTED_VALUE"""),"Fm-410")</f>
        <v>Fm-410</v>
      </c>
    </row>
    <row r="395" spans="1:13" ht="12.5" x14ac:dyDescent="0.25">
      <c r="A395" t="str">
        <f ca="1">IFERROR(__xludf.DUMMYFUNCTION("""COMPUTED_VALUE"""),"Nini")</f>
        <v>Nini</v>
      </c>
      <c r="B395" t="str">
        <f ca="1">IFERROR(__xludf.DUMMYFUNCTION("""COMPUTED_VALUE"""),"Lim")</f>
        <v>Lim</v>
      </c>
      <c r="C395" t="str">
        <f ca="1">IFERROR(__xludf.DUMMYFUNCTION("""COMPUTED_VALUE"""),"Nini@icloudx.com")</f>
        <v>Nini@icloudx.com</v>
      </c>
      <c r="D395" t="str">
        <f ca="1">IFERROR(__xludf.DUMMYFUNCTION("""COMPUTED_VALUE"""),"Tangerang Selatan")</f>
        <v>Tangerang Selatan</v>
      </c>
      <c r="E395" s="12">
        <f ca="1">IFERROR(__xludf.DUMMYFUNCTION("""COMPUTED_VALUE"""),42804)</f>
        <v>42804</v>
      </c>
      <c r="F395" t="str">
        <f ca="1">IFERROR(__xludf.DUMMYFUNCTION("""COMPUTED_VALUE"""),"KP0850FB")</f>
        <v>KP0850FB</v>
      </c>
      <c r="G395" s="11">
        <f ca="1">IFERROR(__xludf.DUMMYFUNCTION("""COMPUTED_VALUE"""),168000000)</f>
        <v>168000000</v>
      </c>
      <c r="H395">
        <f ca="1">IFERROR(__xludf.DUMMYFUNCTION("""COMPUTED_VALUE"""),36107)</f>
        <v>36107</v>
      </c>
      <c r="I395">
        <f ca="1">IFERROR(__xludf.DUMMYFUNCTION("""COMPUTED_VALUE"""),8)</f>
        <v>8</v>
      </c>
      <c r="J395" t="str">
        <f ca="1">IFERROR(__xludf.DUMMYFUNCTION("""COMPUTED_VALUE"""),"N/A")</f>
        <v>N/A</v>
      </c>
      <c r="K395" t="str">
        <f ca="1">IFERROR(__xludf.DUMMYFUNCTION("""COMPUTED_VALUE"""),"JENT")</f>
        <v>JENT</v>
      </c>
      <c r="L395" t="str">
        <f ca="1">IFERROR(__xludf.DUMMYFUNCTION("""COMPUTED_VALUE"""),"N")</f>
        <v>N</v>
      </c>
      <c r="M395" t="str">
        <f ca="1">IFERROR(__xludf.DUMMYFUNCTION("""COMPUTED_VALUE"""),"Rc-500")</f>
        <v>Rc-500</v>
      </c>
    </row>
    <row r="396" spans="1:13" ht="12.5" x14ac:dyDescent="0.25">
      <c r="A396" t="str">
        <f ca="1">IFERROR(__xludf.DUMMYFUNCTION("""COMPUTED_VALUE"""),"Lijatini")</f>
        <v>Lijatini</v>
      </c>
      <c r="B396" t="str">
        <f ca="1">IFERROR(__xludf.DUMMYFUNCTION("""COMPUTED_VALUE"""),"Suryati")</f>
        <v>Suryati</v>
      </c>
      <c r="C396" t="str">
        <f ca="1">IFERROR(__xludf.DUMMYFUNCTION("""COMPUTED_VALUE"""),"Suryati@gmailx.com")</f>
        <v>Suryati@gmailx.com</v>
      </c>
      <c r="D396" t="str">
        <f ca="1">IFERROR(__xludf.DUMMYFUNCTION("""COMPUTED_VALUE"""),"Lubuklinggau")</f>
        <v>Lubuklinggau</v>
      </c>
      <c r="E396" s="12">
        <f ca="1">IFERROR(__xludf.DUMMYFUNCTION("""COMPUTED_VALUE"""),42776)</f>
        <v>42776</v>
      </c>
      <c r="F396" t="str">
        <f ca="1">IFERROR(__xludf.DUMMYFUNCTION("""COMPUTED_VALUE"""),"KP0350CF")</f>
        <v>KP0350CF</v>
      </c>
      <c r="G396" s="11">
        <f ca="1">IFERROR(__xludf.DUMMYFUNCTION("""COMPUTED_VALUE"""),245000000)</f>
        <v>245000000</v>
      </c>
      <c r="H396">
        <f ca="1">IFERROR(__xludf.DUMMYFUNCTION("""COMPUTED_VALUE"""),36904)</f>
        <v>36904</v>
      </c>
      <c r="I396">
        <f ca="1">IFERROR(__xludf.DUMMYFUNCTION("""COMPUTED_VALUE"""),7)</f>
        <v>7</v>
      </c>
      <c r="J396" t="str">
        <f ca="1">IFERROR(__xludf.DUMMYFUNCTION("""COMPUTED_VALUE"""),"N/A")</f>
        <v>N/A</v>
      </c>
      <c r="K396" t="str">
        <f ca="1">IFERROR(__xludf.DUMMYFUNCTION("""COMPUTED_VALUE"""),"JENT")</f>
        <v>JENT</v>
      </c>
      <c r="L396" t="str">
        <f ca="1">IFERROR(__xludf.DUMMYFUNCTION("""COMPUTED_VALUE"""),"Y")</f>
        <v>Y</v>
      </c>
      <c r="M396" t="str">
        <f ca="1">IFERROR(__xludf.DUMMYFUNCTION("""COMPUTED_VALUE"""),"Wg-661")</f>
        <v>Wg-661</v>
      </c>
    </row>
    <row r="397" spans="1:13" ht="12.5" x14ac:dyDescent="0.25">
      <c r="A397" t="str">
        <f ca="1">IFERROR(__xludf.DUMMYFUNCTION("""COMPUTED_VALUE"""),"Edi")</f>
        <v>Edi</v>
      </c>
      <c r="B397" t="str">
        <f ca="1">IFERROR(__xludf.DUMMYFUNCTION("""COMPUTED_VALUE"""),"Mailoa")</f>
        <v>Mailoa</v>
      </c>
      <c r="C397" t="str">
        <f ca="1">IFERROR(__xludf.DUMMYFUNCTION("""COMPUTED_VALUE"""),"Edi@ymailx.com")</f>
        <v>Edi@ymailx.com</v>
      </c>
      <c r="D397" t="str">
        <f ca="1">IFERROR(__xludf.DUMMYFUNCTION("""COMPUTED_VALUE"""),"Banjarbaru")</f>
        <v>Banjarbaru</v>
      </c>
      <c r="E397" s="12">
        <f ca="1">IFERROR(__xludf.DUMMYFUNCTION("""COMPUTED_VALUE"""),42776)</f>
        <v>42776</v>
      </c>
      <c r="F397" t="str">
        <f ca="1">IFERROR(__xludf.DUMMYFUNCTION("""COMPUTED_VALUE"""),"KP0225BB")</f>
        <v>KP0225BB</v>
      </c>
      <c r="G397" s="11">
        <f ca="1">IFERROR(__xludf.DUMMYFUNCTION("""COMPUTED_VALUE"""),40000000)</f>
        <v>40000000</v>
      </c>
      <c r="H397">
        <f ca="1">IFERROR(__xludf.DUMMYFUNCTION("""COMPUTED_VALUE"""),35443)</f>
        <v>35443</v>
      </c>
      <c r="I397">
        <f ca="1">IFERROR(__xludf.DUMMYFUNCTION("""COMPUTED_VALUE"""),4)</f>
        <v>4</v>
      </c>
      <c r="J397">
        <f ca="1">IFERROR(__xludf.DUMMYFUNCTION("""COMPUTED_VALUE"""),5)</f>
        <v>5</v>
      </c>
      <c r="K397" t="str">
        <f ca="1">IFERROR(__xludf.DUMMYFUNCTION("""COMPUTED_VALUE"""),"Wakanda Express")</f>
        <v>Wakanda Express</v>
      </c>
      <c r="L397" t="str">
        <f ca="1">IFERROR(__xludf.DUMMYFUNCTION("""COMPUTED_VALUE"""),"Y")</f>
        <v>Y</v>
      </c>
      <c r="M397" t="str">
        <f ca="1">IFERROR(__xludf.DUMMYFUNCTION("""COMPUTED_VALUE"""),"Qe-991")</f>
        <v>Qe-991</v>
      </c>
    </row>
    <row r="398" spans="1:13" ht="12.5" x14ac:dyDescent="0.25">
      <c r="A398" t="str">
        <f ca="1">IFERROR(__xludf.DUMMYFUNCTION("""COMPUTED_VALUE"""),"Kitty")</f>
        <v>Kitty</v>
      </c>
      <c r="B398" t="str">
        <f ca="1">IFERROR(__xludf.DUMMYFUNCTION("""COMPUTED_VALUE"""),"Dharma")</f>
        <v>Dharma</v>
      </c>
      <c r="C398" t="str">
        <f ca="1">IFERROR(__xludf.DUMMYFUNCTION("""COMPUTED_VALUE"""),"Dharma@ymailx.com")</f>
        <v>Dharma@ymailx.com</v>
      </c>
      <c r="D398" t="str">
        <f ca="1">IFERROR(__xludf.DUMMYFUNCTION("""COMPUTED_VALUE"""),"Solok")</f>
        <v>Solok</v>
      </c>
      <c r="E398" s="12">
        <f ca="1">IFERROR(__xludf.DUMMYFUNCTION("""COMPUTED_VALUE"""),42745)</f>
        <v>42745</v>
      </c>
      <c r="F398" t="str">
        <f ca="1">IFERROR(__xludf.DUMMYFUNCTION("""COMPUTED_VALUE"""),"KP0150BH")</f>
        <v>KP0150BH</v>
      </c>
      <c r="G398" s="11">
        <f ca="1">IFERROR(__xludf.DUMMYFUNCTION("""COMPUTED_VALUE"""),135000000)</f>
        <v>135000000</v>
      </c>
      <c r="H398">
        <f ca="1">IFERROR(__xludf.DUMMYFUNCTION("""COMPUTED_VALUE"""),35482)</f>
        <v>35482</v>
      </c>
      <c r="I398">
        <f ca="1">IFERROR(__xludf.DUMMYFUNCTION("""COMPUTED_VALUE"""),5)</f>
        <v>5</v>
      </c>
      <c r="J398" t="str">
        <f ca="1">IFERROR(__xludf.DUMMYFUNCTION("""COMPUTED_VALUE"""),"N/A")</f>
        <v>N/A</v>
      </c>
      <c r="K398" t="str">
        <f ca="1">IFERROR(__xludf.DUMMYFUNCTION("""COMPUTED_VALUE"""),"JENT")</f>
        <v>JENT</v>
      </c>
      <c r="L398" t="str">
        <f ca="1">IFERROR(__xludf.DUMMYFUNCTION("""COMPUTED_VALUE"""),"Y")</f>
        <v>Y</v>
      </c>
      <c r="M398" t="str">
        <f ca="1">IFERROR(__xludf.DUMMYFUNCTION("""COMPUTED_VALUE"""),"Fj-559")</f>
        <v>Fj-559</v>
      </c>
    </row>
    <row r="399" spans="1:13" ht="12.5" x14ac:dyDescent="0.25">
      <c r="A399" t="str">
        <f ca="1">IFERROR(__xludf.DUMMYFUNCTION("""COMPUTED_VALUE"""),"Sujono")</f>
        <v>Sujono</v>
      </c>
      <c r="B399" t="str">
        <f ca="1">IFERROR(__xludf.DUMMYFUNCTION("""COMPUTED_VALUE"""),"Franklin")</f>
        <v>Franklin</v>
      </c>
      <c r="C399" t="str">
        <f ca="1">IFERROR(__xludf.DUMMYFUNCTION("""COMPUTED_VALUE"""),"Franklin@outlookx.com")</f>
        <v>Franklin@outlookx.com</v>
      </c>
      <c r="D399" t="str">
        <f ca="1">IFERROR(__xludf.DUMMYFUNCTION("""COMPUTED_VALUE"""),"Cilegon")</f>
        <v>Cilegon</v>
      </c>
      <c r="E399" s="12">
        <f ca="1">IFERROR(__xludf.DUMMYFUNCTION("""COMPUTED_VALUE"""),43006)</f>
        <v>43006</v>
      </c>
      <c r="F399" t="str">
        <f ca="1">IFERROR(__xludf.DUMMYFUNCTION("""COMPUTED_VALUE"""),"KP0625AF")</f>
        <v>KP0625AF</v>
      </c>
      <c r="G399" s="11">
        <f ca="1">IFERROR(__xludf.DUMMYFUNCTION("""COMPUTED_VALUE"""),120000000)</f>
        <v>120000000</v>
      </c>
      <c r="H399">
        <f ca="1">IFERROR(__xludf.DUMMYFUNCTION("""COMPUTED_VALUE"""),36757)</f>
        <v>36757</v>
      </c>
      <c r="I399">
        <f ca="1">IFERROR(__xludf.DUMMYFUNCTION("""COMPUTED_VALUE"""),10)</f>
        <v>10</v>
      </c>
      <c r="J399" t="str">
        <f ca="1">IFERROR(__xludf.DUMMYFUNCTION("""COMPUTED_VALUE"""),"N/A")</f>
        <v>N/A</v>
      </c>
      <c r="K399" t="str">
        <f ca="1">IFERROR(__xludf.DUMMYFUNCTION("""COMPUTED_VALUE"""),"JENT")</f>
        <v>JENT</v>
      </c>
      <c r="L399" t="str">
        <f ca="1">IFERROR(__xludf.DUMMYFUNCTION("""COMPUTED_VALUE"""),"N")</f>
        <v>N</v>
      </c>
      <c r="M399" t="str">
        <f ca="1">IFERROR(__xludf.DUMMYFUNCTION("""COMPUTED_VALUE"""),"Up-500")</f>
        <v>Up-500</v>
      </c>
    </row>
    <row r="400" spans="1:13" ht="12.5" x14ac:dyDescent="0.25">
      <c r="A400" t="str">
        <f ca="1">IFERROR(__xludf.DUMMYFUNCTION("""COMPUTED_VALUE"""),"Leda")</f>
        <v>Leda</v>
      </c>
      <c r="B400" t="str">
        <f ca="1">IFERROR(__xludf.DUMMYFUNCTION("""COMPUTED_VALUE"""),"Indra")</f>
        <v>Indra</v>
      </c>
      <c r="C400" t="str">
        <f ca="1">IFERROR(__xludf.DUMMYFUNCTION("""COMPUTED_VALUE"""),"Indra@rocketmailx.com")</f>
        <v>Indra@rocketmailx.com</v>
      </c>
      <c r="D400" t="str">
        <f ca="1">IFERROR(__xludf.DUMMYFUNCTION("""COMPUTED_VALUE"""),"Ternate")</f>
        <v>Ternate</v>
      </c>
      <c r="E400" s="12">
        <f ca="1">IFERROR(__xludf.DUMMYFUNCTION("""COMPUTED_VALUE"""),43006)</f>
        <v>43006</v>
      </c>
      <c r="F400" t="str">
        <f ca="1">IFERROR(__xludf.DUMMYFUNCTION("""COMPUTED_VALUE"""),"KP0625AF")</f>
        <v>KP0625AF</v>
      </c>
      <c r="G400" s="11">
        <f ca="1">IFERROR(__xludf.DUMMYFUNCTION("""COMPUTED_VALUE"""),48000000)</f>
        <v>48000000</v>
      </c>
      <c r="H400">
        <f ca="1">IFERROR(__xludf.DUMMYFUNCTION("""COMPUTED_VALUE"""),35817)</f>
        <v>35817</v>
      </c>
      <c r="I400">
        <f ca="1">IFERROR(__xludf.DUMMYFUNCTION("""COMPUTED_VALUE"""),4)</f>
        <v>4</v>
      </c>
      <c r="J400">
        <f ca="1">IFERROR(__xludf.DUMMYFUNCTION("""COMPUTED_VALUE"""),4)</f>
        <v>4</v>
      </c>
      <c r="K400" t="str">
        <f ca="1">IFERROR(__xludf.DUMMYFUNCTION("""COMPUTED_VALUE"""),"Swift Delivery")</f>
        <v>Swift Delivery</v>
      </c>
      <c r="L400" t="str">
        <f ca="1">IFERROR(__xludf.DUMMYFUNCTION("""COMPUTED_VALUE"""),"Y")</f>
        <v>Y</v>
      </c>
      <c r="M400" t="str">
        <f ca="1">IFERROR(__xludf.DUMMYFUNCTION("""COMPUTED_VALUE"""),"Lx-160")</f>
        <v>Lx-160</v>
      </c>
    </row>
    <row r="401" spans="1:13" ht="12.5" x14ac:dyDescent="0.25">
      <c r="A401" t="str">
        <f ca="1">IFERROR(__xludf.DUMMYFUNCTION("""COMPUTED_VALUE"""),"Richard")</f>
        <v>Richard</v>
      </c>
      <c r="B401" t="str">
        <f ca="1">IFERROR(__xludf.DUMMYFUNCTION("""COMPUTED_VALUE"""),"Eldelina")</f>
        <v>Eldelina</v>
      </c>
      <c r="C401" t="str">
        <f ca="1">IFERROR(__xludf.DUMMYFUNCTION("""COMPUTED_VALUE"""),"Eldelina@livex.com")</f>
        <v>Eldelina@livex.com</v>
      </c>
      <c r="D401" t="str">
        <f ca="1">IFERROR(__xludf.DUMMYFUNCTION("""COMPUTED_VALUE"""),"Tomohon")</f>
        <v>Tomohon</v>
      </c>
      <c r="E401" s="12">
        <f ca="1">IFERROR(__xludf.DUMMYFUNCTION("""COMPUTED_VALUE"""),43005)</f>
        <v>43005</v>
      </c>
      <c r="F401" t="str">
        <f ca="1">IFERROR(__xludf.DUMMYFUNCTION("""COMPUTED_VALUE"""),"KP0850FB")</f>
        <v>KP0850FB</v>
      </c>
      <c r="G401" s="11">
        <f ca="1">IFERROR(__xludf.DUMMYFUNCTION("""COMPUTED_VALUE"""),63000000)</f>
        <v>63000000</v>
      </c>
      <c r="H401">
        <f ca="1">IFERROR(__xludf.DUMMYFUNCTION("""COMPUTED_VALUE"""),35235)</f>
        <v>35235</v>
      </c>
      <c r="I401">
        <f ca="1">IFERROR(__xludf.DUMMYFUNCTION("""COMPUTED_VALUE"""),3)</f>
        <v>3</v>
      </c>
      <c r="J401">
        <f ca="1">IFERROR(__xludf.DUMMYFUNCTION("""COMPUTED_VALUE"""),5)</f>
        <v>5</v>
      </c>
      <c r="K401" t="str">
        <f ca="1">IFERROR(__xludf.DUMMYFUNCTION("""COMPUTED_VALUE"""),"Swift Delivery")</f>
        <v>Swift Delivery</v>
      </c>
      <c r="L401" t="str">
        <f ca="1">IFERROR(__xludf.DUMMYFUNCTION("""COMPUTED_VALUE"""),"N")</f>
        <v>N</v>
      </c>
      <c r="M401" t="str">
        <f ca="1">IFERROR(__xludf.DUMMYFUNCTION("""COMPUTED_VALUE"""),"Ap-221")</f>
        <v>Ap-221</v>
      </c>
    </row>
    <row r="402" spans="1:13" ht="12.5" x14ac:dyDescent="0.25">
      <c r="A402" t="str">
        <f ca="1">IFERROR(__xludf.DUMMYFUNCTION("""COMPUTED_VALUE"""),"Pao")</f>
        <v>Pao</v>
      </c>
      <c r="B402" t="str">
        <f ca="1">IFERROR(__xludf.DUMMYFUNCTION("""COMPUTED_VALUE"""),"Halim")</f>
        <v>Halim</v>
      </c>
      <c r="C402" t="str">
        <f ca="1">IFERROR(__xludf.DUMMYFUNCTION("""COMPUTED_VALUE"""),"PAO@ymailx.com")</f>
        <v>PAO@ymailx.com</v>
      </c>
      <c r="D402" t="str">
        <f ca="1">IFERROR(__xludf.DUMMYFUNCTION("""COMPUTED_VALUE"""),"Padang")</f>
        <v>Padang</v>
      </c>
      <c r="E402" s="12">
        <f ca="1">IFERROR(__xludf.DUMMYFUNCTION("""COMPUTED_VALUE"""),43005)</f>
        <v>43005</v>
      </c>
      <c r="F402" t="str">
        <f ca="1">IFERROR(__xludf.DUMMYFUNCTION("""COMPUTED_VALUE"""),"KP0550EH")</f>
        <v>KP0550EH</v>
      </c>
      <c r="G402" s="11">
        <f ca="1">IFERROR(__xludf.DUMMYFUNCTION("""COMPUTED_VALUE"""),225000000)</f>
        <v>225000000</v>
      </c>
      <c r="H402">
        <f ca="1">IFERROR(__xludf.DUMMYFUNCTION("""COMPUTED_VALUE"""),35871)</f>
        <v>35871</v>
      </c>
      <c r="I402">
        <f ca="1">IFERROR(__xludf.DUMMYFUNCTION("""COMPUTED_VALUE"""),5)</f>
        <v>5</v>
      </c>
      <c r="J402">
        <f ca="1">IFERROR(__xludf.DUMMYFUNCTION("""COMPUTED_VALUE"""),1)</f>
        <v>1</v>
      </c>
      <c r="K402" t="str">
        <f ca="1">IFERROR(__xludf.DUMMYFUNCTION("""COMPUTED_VALUE"""),"Cepat Kirim")</f>
        <v>Cepat Kirim</v>
      </c>
      <c r="L402" t="str">
        <f ca="1">IFERROR(__xludf.DUMMYFUNCTION("""COMPUTED_VALUE"""),"N")</f>
        <v>N</v>
      </c>
      <c r="M402" t="str">
        <f ca="1">IFERROR(__xludf.DUMMYFUNCTION("""COMPUTED_VALUE"""),"Sk-559")</f>
        <v>Sk-559</v>
      </c>
    </row>
    <row r="403" spans="1:13" ht="12.5" x14ac:dyDescent="0.25">
      <c r="A403" t="str">
        <f ca="1">IFERROR(__xludf.DUMMYFUNCTION("""COMPUTED_VALUE"""),"Raymond")</f>
        <v>Raymond</v>
      </c>
      <c r="B403" t="str">
        <f ca="1">IFERROR(__xludf.DUMMYFUNCTION("""COMPUTED_VALUE"""),"Sapta")</f>
        <v>Sapta</v>
      </c>
      <c r="C403" t="str">
        <f ca="1">IFERROR(__xludf.DUMMYFUNCTION("""COMPUTED_VALUE"""),"Raymond@icloudx.com")</f>
        <v>Raymond@icloudx.com</v>
      </c>
      <c r="D403" t="str">
        <f ca="1">IFERROR(__xludf.DUMMYFUNCTION("""COMPUTED_VALUE"""),"Bukittinggi")</f>
        <v>Bukittinggi</v>
      </c>
      <c r="E403" s="12">
        <f ca="1">IFERROR(__xludf.DUMMYFUNCTION("""COMPUTED_VALUE"""),43004)</f>
        <v>43004</v>
      </c>
      <c r="F403" t="str">
        <f ca="1">IFERROR(__xludf.DUMMYFUNCTION("""COMPUTED_VALUE"""),"KP0850FB")</f>
        <v>KP0850FB</v>
      </c>
      <c r="G403" s="11">
        <f ca="1">IFERROR(__xludf.DUMMYFUNCTION("""COMPUTED_VALUE"""),147000000)</f>
        <v>147000000</v>
      </c>
      <c r="H403">
        <f ca="1">IFERROR(__xludf.DUMMYFUNCTION("""COMPUTED_VALUE"""),36674)</f>
        <v>36674</v>
      </c>
      <c r="I403">
        <f ca="1">IFERROR(__xludf.DUMMYFUNCTION("""COMPUTED_VALUE"""),7)</f>
        <v>7</v>
      </c>
      <c r="J403">
        <f ca="1">IFERROR(__xludf.DUMMYFUNCTION("""COMPUTED_VALUE"""),5)</f>
        <v>5</v>
      </c>
      <c r="K403" t="str">
        <f ca="1">IFERROR(__xludf.DUMMYFUNCTION("""COMPUTED_VALUE"""),"Wakanda Express")</f>
        <v>Wakanda Express</v>
      </c>
      <c r="L403" t="str">
        <f ca="1">IFERROR(__xludf.DUMMYFUNCTION("""COMPUTED_VALUE"""),"N")</f>
        <v>N</v>
      </c>
      <c r="M403" t="str">
        <f ca="1">IFERROR(__xludf.DUMMYFUNCTION("""COMPUTED_VALUE"""),"Yx-559")</f>
        <v>Yx-559</v>
      </c>
    </row>
    <row r="404" spans="1:13" ht="12.5" x14ac:dyDescent="0.25">
      <c r="A404" t="str">
        <f ca="1">IFERROR(__xludf.DUMMYFUNCTION("""COMPUTED_VALUE"""),"Roberto")</f>
        <v>Roberto</v>
      </c>
      <c r="B404" t="str">
        <f ca="1">IFERROR(__xludf.DUMMYFUNCTION("""COMPUTED_VALUE"""),"Arpan")</f>
        <v>Arpan</v>
      </c>
      <c r="C404" t="str">
        <f ca="1">IFERROR(__xludf.DUMMYFUNCTION("""COMPUTED_VALUE"""),"Roberto@gmailx.com")</f>
        <v>Roberto@gmailx.com</v>
      </c>
      <c r="D404" t="str">
        <f ca="1">IFERROR(__xludf.DUMMYFUNCTION("""COMPUTED_VALUE"""),"Pasuruan")</f>
        <v>Pasuruan</v>
      </c>
      <c r="E404" s="12">
        <f ca="1">IFERROR(__xludf.DUMMYFUNCTION("""COMPUTED_VALUE"""),43004)</f>
        <v>43004</v>
      </c>
      <c r="F404" t="str">
        <f ca="1">IFERROR(__xludf.DUMMYFUNCTION("""COMPUTED_VALUE"""),"KP0750AJ")</f>
        <v>KP0750AJ</v>
      </c>
      <c r="G404" s="11">
        <f ca="1">IFERROR(__xludf.DUMMYFUNCTION("""COMPUTED_VALUE"""),144000000)</f>
        <v>144000000</v>
      </c>
      <c r="H404">
        <f ca="1">IFERROR(__xludf.DUMMYFUNCTION("""COMPUTED_VALUE"""),36374)</f>
        <v>36374</v>
      </c>
      <c r="I404">
        <f ca="1">IFERROR(__xludf.DUMMYFUNCTION("""COMPUTED_VALUE"""),8)</f>
        <v>8</v>
      </c>
      <c r="J404">
        <f ca="1">IFERROR(__xludf.DUMMYFUNCTION("""COMPUTED_VALUE"""),5)</f>
        <v>5</v>
      </c>
      <c r="K404" t="str">
        <f ca="1">IFERROR(__xludf.DUMMYFUNCTION("""COMPUTED_VALUE"""),"Pru Logistic")</f>
        <v>Pru Logistic</v>
      </c>
      <c r="L404" t="str">
        <f ca="1">IFERROR(__xludf.DUMMYFUNCTION("""COMPUTED_VALUE"""),"N")</f>
        <v>N</v>
      </c>
      <c r="M404" t="str">
        <f ca="1">IFERROR(__xludf.DUMMYFUNCTION("""COMPUTED_VALUE"""),"Ej-123")</f>
        <v>Ej-123</v>
      </c>
    </row>
    <row r="405" spans="1:13" ht="12.5" x14ac:dyDescent="0.25">
      <c r="A405" t="str">
        <f ca="1">IFERROR(__xludf.DUMMYFUNCTION("""COMPUTED_VALUE"""),"Lovri")</f>
        <v>Lovri</v>
      </c>
      <c r="B405" t="str">
        <f ca="1">IFERROR(__xludf.DUMMYFUNCTION("""COMPUTED_VALUE"""),"Nelson")</f>
        <v>Nelson</v>
      </c>
      <c r="C405" t="str">
        <f ca="1">IFERROR(__xludf.DUMMYFUNCTION("""COMPUTED_VALUE"""),"Lovri@livex.com")</f>
        <v>Lovri@livex.com</v>
      </c>
      <c r="D405" t="str">
        <f ca="1">IFERROR(__xludf.DUMMYFUNCTION("""COMPUTED_VALUE"""),"Gorontalo")</f>
        <v>Gorontalo</v>
      </c>
      <c r="E405" s="12">
        <f ca="1">IFERROR(__xludf.DUMMYFUNCTION("""COMPUTED_VALUE"""),43003)</f>
        <v>43003</v>
      </c>
      <c r="F405" t="str">
        <f ca="1">IFERROR(__xludf.DUMMYFUNCTION("""COMPUTED_VALUE"""),"KP0850FB")</f>
        <v>KP0850FB</v>
      </c>
      <c r="G405" s="11">
        <f ca="1">IFERROR(__xludf.DUMMYFUNCTION("""COMPUTED_VALUE"""),168000000)</f>
        <v>168000000</v>
      </c>
      <c r="H405">
        <f ca="1">IFERROR(__xludf.DUMMYFUNCTION("""COMPUTED_VALUE"""),36752)</f>
        <v>36752</v>
      </c>
      <c r="I405">
        <f ca="1">IFERROR(__xludf.DUMMYFUNCTION("""COMPUTED_VALUE"""),8)</f>
        <v>8</v>
      </c>
      <c r="J405">
        <f ca="1">IFERROR(__xludf.DUMMYFUNCTION("""COMPUTED_VALUE"""),4)</f>
        <v>4</v>
      </c>
      <c r="K405" t="str">
        <f ca="1">IFERROR(__xludf.DUMMYFUNCTION("""COMPUTED_VALUE"""),"Swift Delivery")</f>
        <v>Swift Delivery</v>
      </c>
      <c r="L405" t="str">
        <f ca="1">IFERROR(__xludf.DUMMYFUNCTION("""COMPUTED_VALUE"""),"Y")</f>
        <v>Y</v>
      </c>
      <c r="M405" t="str">
        <f ca="1">IFERROR(__xludf.DUMMYFUNCTION("""COMPUTED_VALUE"""),"Sv-983")</f>
        <v>Sv-983</v>
      </c>
    </row>
    <row r="406" spans="1:13" ht="12.5" x14ac:dyDescent="0.25">
      <c r="A406" t="str">
        <f ca="1">IFERROR(__xludf.DUMMYFUNCTION("""COMPUTED_VALUE"""),"Herman")</f>
        <v>Herman</v>
      </c>
      <c r="B406" t="str">
        <f ca="1">IFERROR(__xludf.DUMMYFUNCTION("""COMPUTED_VALUE"""),"Hambali")</f>
        <v>Hambali</v>
      </c>
      <c r="C406" t="str">
        <f ca="1">IFERROR(__xludf.DUMMYFUNCTION("""COMPUTED_VALUE"""),"Hambali@ymailx.com")</f>
        <v>Hambali@ymailx.com</v>
      </c>
      <c r="D406" t="str">
        <f ca="1">IFERROR(__xludf.DUMMYFUNCTION("""COMPUTED_VALUE"""),"Jayapura")</f>
        <v>Jayapura</v>
      </c>
      <c r="E406" s="12">
        <f ca="1">IFERROR(__xludf.DUMMYFUNCTION("""COMPUTED_VALUE"""),43003)</f>
        <v>43003</v>
      </c>
      <c r="F406" t="str">
        <f ca="1">IFERROR(__xludf.DUMMYFUNCTION("""COMPUTED_VALUE"""),"KP0425CB")</f>
        <v>KP0425CB</v>
      </c>
      <c r="G406" s="11">
        <f ca="1">IFERROR(__xludf.DUMMYFUNCTION("""COMPUTED_VALUE"""),190750000)</f>
        <v>190750000</v>
      </c>
      <c r="H406">
        <f ca="1">IFERROR(__xludf.DUMMYFUNCTION("""COMPUTED_VALUE"""),36030)</f>
        <v>36030</v>
      </c>
      <c r="I406">
        <f ca="1">IFERROR(__xludf.DUMMYFUNCTION("""COMPUTED_VALUE"""),7)</f>
        <v>7</v>
      </c>
      <c r="J406">
        <f ca="1">IFERROR(__xludf.DUMMYFUNCTION("""COMPUTED_VALUE"""),3)</f>
        <v>3</v>
      </c>
      <c r="K406" t="str">
        <f ca="1">IFERROR(__xludf.DUMMYFUNCTION("""COMPUTED_VALUE"""),"Cepat Kirim")</f>
        <v>Cepat Kirim</v>
      </c>
      <c r="L406" t="str">
        <f ca="1">IFERROR(__xludf.DUMMYFUNCTION("""COMPUTED_VALUE"""),"Y")</f>
        <v>Y</v>
      </c>
      <c r="M406" t="str">
        <f ca="1">IFERROR(__xludf.DUMMYFUNCTION("""COMPUTED_VALUE"""),"Ti-990")</f>
        <v>Ti-990</v>
      </c>
    </row>
    <row r="407" spans="1:13" ht="12.5" x14ac:dyDescent="0.25">
      <c r="A407" t="str">
        <f ca="1">IFERROR(__xludf.DUMMYFUNCTION("""COMPUTED_VALUE"""),"Benny")</f>
        <v>Benny</v>
      </c>
      <c r="B407" t="str">
        <f ca="1">IFERROR(__xludf.DUMMYFUNCTION("""COMPUTED_VALUE"""),"Santoso")</f>
        <v>Santoso</v>
      </c>
      <c r="C407" t="str">
        <f ca="1">IFERROR(__xludf.DUMMYFUNCTION("""COMPUTED_VALUE"""),"BENNY@ymailx.com")</f>
        <v>BENNY@ymailx.com</v>
      </c>
      <c r="D407" t="str">
        <f ca="1">IFERROR(__xludf.DUMMYFUNCTION("""COMPUTED_VALUE"""),"Solok")</f>
        <v>Solok</v>
      </c>
      <c r="E407" s="12">
        <f ca="1">IFERROR(__xludf.DUMMYFUNCTION("""COMPUTED_VALUE"""),43000)</f>
        <v>43000</v>
      </c>
      <c r="F407" t="str">
        <f ca="1">IFERROR(__xludf.DUMMYFUNCTION("""COMPUTED_VALUE"""),"KP0150BH")</f>
        <v>KP0150BH</v>
      </c>
      <c r="G407" s="11">
        <f ca="1">IFERROR(__xludf.DUMMYFUNCTION("""COMPUTED_VALUE"""),189000000)</f>
        <v>189000000</v>
      </c>
      <c r="H407">
        <f ca="1">IFERROR(__xludf.DUMMYFUNCTION("""COMPUTED_VALUE"""),35284)</f>
        <v>35284</v>
      </c>
      <c r="I407">
        <f ca="1">IFERROR(__xludf.DUMMYFUNCTION("""COMPUTED_VALUE"""),7)</f>
        <v>7</v>
      </c>
      <c r="J407" t="str">
        <f ca="1">IFERROR(__xludf.DUMMYFUNCTION("""COMPUTED_VALUE"""),"N/A")</f>
        <v>N/A</v>
      </c>
      <c r="K407" t="str">
        <f ca="1">IFERROR(__xludf.DUMMYFUNCTION("""COMPUTED_VALUE"""),"Cepat Kirim")</f>
        <v>Cepat Kirim</v>
      </c>
      <c r="L407" t="str">
        <f ca="1">IFERROR(__xludf.DUMMYFUNCTION("""COMPUTED_VALUE"""),"Y")</f>
        <v>Y</v>
      </c>
      <c r="M407" t="str">
        <f ca="1">IFERROR(__xludf.DUMMYFUNCTION("""COMPUTED_VALUE"""),"Xc-559")</f>
        <v>Xc-559</v>
      </c>
    </row>
    <row r="408" spans="1:13" ht="12.5" x14ac:dyDescent="0.25">
      <c r="A408" t="str">
        <f ca="1">IFERROR(__xludf.DUMMYFUNCTION("""COMPUTED_VALUE"""),"Sugiono")</f>
        <v>Sugiono</v>
      </c>
      <c r="B408" t="str">
        <f ca="1">IFERROR(__xludf.DUMMYFUNCTION("""COMPUTED_VALUE"""),"Tandjung")</f>
        <v>Tandjung</v>
      </c>
      <c r="C408" t="str">
        <f ca="1">IFERROR(__xludf.DUMMYFUNCTION("""COMPUTED_VALUE"""),"Sugiono@rocketmailx.com")</f>
        <v>Sugiono@rocketmailx.com</v>
      </c>
      <c r="D408" t="str">
        <f ca="1">IFERROR(__xludf.DUMMYFUNCTION("""COMPUTED_VALUE"""),"Tanjungpinang")</f>
        <v>Tanjungpinang</v>
      </c>
      <c r="E408" s="12">
        <f ca="1">IFERROR(__xludf.DUMMYFUNCTION("""COMPUTED_VALUE"""),43000)</f>
        <v>43000</v>
      </c>
      <c r="F408" t="str">
        <f ca="1">IFERROR(__xludf.DUMMYFUNCTION("""COMPUTED_VALUE"""),"KP0750AJ")</f>
        <v>KP0750AJ</v>
      </c>
      <c r="G408" s="11">
        <f ca="1">IFERROR(__xludf.DUMMYFUNCTION("""COMPUTED_VALUE"""),162000000)</f>
        <v>162000000</v>
      </c>
      <c r="H408">
        <f ca="1">IFERROR(__xludf.DUMMYFUNCTION("""COMPUTED_VALUE"""),35162)</f>
        <v>35162</v>
      </c>
      <c r="I408">
        <f ca="1">IFERROR(__xludf.DUMMYFUNCTION("""COMPUTED_VALUE"""),9)</f>
        <v>9</v>
      </c>
      <c r="J408">
        <f ca="1">IFERROR(__xludf.DUMMYFUNCTION("""COMPUTED_VALUE"""),4)</f>
        <v>4</v>
      </c>
      <c r="K408" t="str">
        <f ca="1">IFERROR(__xludf.DUMMYFUNCTION("""COMPUTED_VALUE"""),"Cepat Kirim")</f>
        <v>Cepat Kirim</v>
      </c>
      <c r="L408" t="str">
        <f ca="1">IFERROR(__xludf.DUMMYFUNCTION("""COMPUTED_VALUE"""),"N")</f>
        <v>N</v>
      </c>
      <c r="M408" t="str">
        <f ca="1">IFERROR(__xludf.DUMMYFUNCTION("""COMPUTED_VALUE"""),"Jx-809")</f>
        <v>Jx-809</v>
      </c>
    </row>
    <row r="409" spans="1:13" ht="12.5" x14ac:dyDescent="0.25">
      <c r="A409" t="str">
        <f ca="1">IFERROR(__xludf.DUMMYFUNCTION("""COMPUTED_VALUE"""),"Dr.")</f>
        <v>Dr.</v>
      </c>
      <c r="B409" t="str">
        <f ca="1">IFERROR(__xludf.DUMMYFUNCTION("""COMPUTED_VALUE"""),"Tenacious")</f>
        <v>Tenacious</v>
      </c>
      <c r="C409" t="str">
        <f ca="1">IFERROR(__xludf.DUMMYFUNCTION("""COMPUTED_VALUE"""),"Tenacious@icloudx.com")</f>
        <v>Tenacious@icloudx.com</v>
      </c>
      <c r="D409" t="str">
        <f ca="1">IFERROR(__xludf.DUMMYFUNCTION("""COMPUTED_VALUE"""),"Parepare")</f>
        <v>Parepare</v>
      </c>
      <c r="E409" s="12">
        <f ca="1">IFERROR(__xludf.DUMMYFUNCTION("""COMPUTED_VALUE"""),43000)</f>
        <v>43000</v>
      </c>
      <c r="F409" t="str">
        <f ca="1">IFERROR(__xludf.DUMMYFUNCTION("""COMPUTED_VALUE"""),"KP0225BB")</f>
        <v>KP0225BB</v>
      </c>
      <c r="G409" s="11">
        <f ca="1">IFERROR(__xludf.DUMMYFUNCTION("""COMPUTED_VALUE"""),60000000)</f>
        <v>60000000</v>
      </c>
      <c r="H409">
        <f ca="1">IFERROR(__xludf.DUMMYFUNCTION("""COMPUTED_VALUE"""),36056)</f>
        <v>36056</v>
      </c>
      <c r="I409">
        <f ca="1">IFERROR(__xludf.DUMMYFUNCTION("""COMPUTED_VALUE"""),6)</f>
        <v>6</v>
      </c>
      <c r="J409">
        <f ca="1">IFERROR(__xludf.DUMMYFUNCTION("""COMPUTED_VALUE"""),4)</f>
        <v>4</v>
      </c>
      <c r="K409" t="str">
        <f ca="1">IFERROR(__xludf.DUMMYFUNCTION("""COMPUTED_VALUE"""),"Swift Delivery")</f>
        <v>Swift Delivery</v>
      </c>
      <c r="L409" t="str">
        <f ca="1">IFERROR(__xludf.DUMMYFUNCTION("""COMPUTED_VALUE"""),"Y")</f>
        <v>Y</v>
      </c>
      <c r="M409" t="str">
        <f ca="1">IFERROR(__xludf.DUMMYFUNCTION("""COMPUTED_VALUE"""),"Jb-290")</f>
        <v>Jb-290</v>
      </c>
    </row>
    <row r="410" spans="1:13" ht="12.5" x14ac:dyDescent="0.25">
      <c r="A410" t="str">
        <f ca="1">IFERROR(__xludf.DUMMYFUNCTION("""COMPUTED_VALUE"""),"Husin")</f>
        <v>Husin</v>
      </c>
      <c r="B410" t="str">
        <f ca="1">IFERROR(__xludf.DUMMYFUNCTION("""COMPUTED_VALUE"""),"Yohan")</f>
        <v>Yohan</v>
      </c>
      <c r="C410" t="str">
        <f ca="1">IFERROR(__xludf.DUMMYFUNCTION("""COMPUTED_VALUE"""),"Husin@gmailx.com")</f>
        <v>Husin@gmailx.com</v>
      </c>
      <c r="D410" t="str">
        <f ca="1">IFERROR(__xludf.DUMMYFUNCTION("""COMPUTED_VALUE"""),"Subulussalam")</f>
        <v>Subulussalam</v>
      </c>
      <c r="E410" s="12">
        <f ca="1">IFERROR(__xludf.DUMMYFUNCTION("""COMPUTED_VALUE"""),42999)</f>
        <v>42999</v>
      </c>
      <c r="F410" t="str">
        <f ca="1">IFERROR(__xludf.DUMMYFUNCTION("""COMPUTED_VALUE"""),"KP0925SG")</f>
        <v>KP0925SG</v>
      </c>
      <c r="G410" s="11">
        <f ca="1">IFERROR(__xludf.DUMMYFUNCTION("""COMPUTED_VALUE"""),75000000)</f>
        <v>75000000</v>
      </c>
      <c r="H410">
        <f ca="1">IFERROR(__xludf.DUMMYFUNCTION("""COMPUTED_VALUE"""),36466)</f>
        <v>36466</v>
      </c>
      <c r="I410">
        <f ca="1">IFERROR(__xludf.DUMMYFUNCTION("""COMPUTED_VALUE"""),5)</f>
        <v>5</v>
      </c>
      <c r="J410">
        <f ca="1">IFERROR(__xludf.DUMMYFUNCTION("""COMPUTED_VALUE"""),4)</f>
        <v>4</v>
      </c>
      <c r="K410" t="str">
        <f ca="1">IFERROR(__xludf.DUMMYFUNCTION("""COMPUTED_VALUE"""),"JENT")</f>
        <v>JENT</v>
      </c>
      <c r="L410" t="str">
        <f ca="1">IFERROR(__xludf.DUMMYFUNCTION("""COMPUTED_VALUE"""),"Y")</f>
        <v>Y</v>
      </c>
      <c r="M410" t="str">
        <f ca="1">IFERROR(__xludf.DUMMYFUNCTION("""COMPUTED_VALUE"""),"Qg-101")</f>
        <v>Qg-101</v>
      </c>
    </row>
    <row r="411" spans="1:13" ht="12.5" x14ac:dyDescent="0.25">
      <c r="A411" t="str">
        <f ca="1">IFERROR(__xludf.DUMMYFUNCTION("""COMPUTED_VALUE"""),"Ari")</f>
        <v>Ari</v>
      </c>
      <c r="B411" t="str">
        <f ca="1">IFERROR(__xludf.DUMMYFUNCTION("""COMPUTED_VALUE"""),"Nugraha")</f>
        <v>Nugraha</v>
      </c>
      <c r="C411" t="str">
        <f ca="1">IFERROR(__xludf.DUMMYFUNCTION("""COMPUTED_VALUE"""),"Nugraha@ymailx.com")</f>
        <v>Nugraha@ymailx.com</v>
      </c>
      <c r="D411" t="str">
        <f ca="1">IFERROR(__xludf.DUMMYFUNCTION("""COMPUTED_VALUE"""),"Mataram")</f>
        <v>Mataram</v>
      </c>
      <c r="E411" s="12">
        <f ca="1">IFERROR(__xludf.DUMMYFUNCTION("""COMPUTED_VALUE"""),42996)</f>
        <v>42996</v>
      </c>
      <c r="F411" t="str">
        <f ca="1">IFERROR(__xludf.DUMMYFUNCTION("""COMPUTED_VALUE"""),"KP0925SG")</f>
        <v>KP0925SG</v>
      </c>
      <c r="G411" s="11">
        <f ca="1">IFERROR(__xludf.DUMMYFUNCTION("""COMPUTED_VALUE"""),150000000)</f>
        <v>150000000</v>
      </c>
      <c r="H411">
        <f ca="1">IFERROR(__xludf.DUMMYFUNCTION("""COMPUTED_VALUE"""),35861)</f>
        <v>35861</v>
      </c>
      <c r="I411">
        <f ca="1">IFERROR(__xludf.DUMMYFUNCTION("""COMPUTED_VALUE"""),10)</f>
        <v>10</v>
      </c>
      <c r="J411" t="str">
        <f ca="1">IFERROR(__xludf.DUMMYFUNCTION("""COMPUTED_VALUE"""),"N/A")</f>
        <v>N/A</v>
      </c>
      <c r="K411" t="str">
        <f ca="1">IFERROR(__xludf.DUMMYFUNCTION("""COMPUTED_VALUE"""),"JENT")</f>
        <v>JENT</v>
      </c>
      <c r="L411" t="str">
        <f ca="1">IFERROR(__xludf.DUMMYFUNCTION("""COMPUTED_VALUE"""),"Y")</f>
        <v>Y</v>
      </c>
      <c r="M411" t="str">
        <f ca="1">IFERROR(__xludf.DUMMYFUNCTION("""COMPUTED_VALUE"""),"Nm-183")</f>
        <v>Nm-183</v>
      </c>
    </row>
    <row r="412" spans="1:13" ht="12.5" x14ac:dyDescent="0.25">
      <c r="A412" t="str">
        <f ca="1">IFERROR(__xludf.DUMMYFUNCTION("""COMPUTED_VALUE"""),"Pudjiastuti")</f>
        <v>Pudjiastuti</v>
      </c>
      <c r="B412" t="str">
        <f ca="1">IFERROR(__xludf.DUMMYFUNCTION("""COMPUTED_VALUE"""),"Fatina")</f>
        <v>Fatina</v>
      </c>
      <c r="C412" t="str">
        <f ca="1">IFERROR(__xludf.DUMMYFUNCTION("""COMPUTED_VALUE"""),"Pudjiastuti@mex.com")</f>
        <v>Pudjiastuti@mex.com</v>
      </c>
      <c r="D412" t="str">
        <f ca="1">IFERROR(__xludf.DUMMYFUNCTION("""COMPUTED_VALUE"""),"Tebingtinggi")</f>
        <v>Tebingtinggi</v>
      </c>
      <c r="E412" s="12">
        <f ca="1">IFERROR(__xludf.DUMMYFUNCTION("""COMPUTED_VALUE"""),42996)</f>
        <v>42996</v>
      </c>
      <c r="F412" t="str">
        <f ca="1">IFERROR(__xludf.DUMMYFUNCTION("""COMPUTED_VALUE"""),"KP0050AG")</f>
        <v>KP0050AG</v>
      </c>
      <c r="G412" s="11">
        <f ca="1">IFERROR(__xludf.DUMMYFUNCTION("""COMPUTED_VALUE"""),48750000)</f>
        <v>48750000</v>
      </c>
      <c r="H412">
        <f ca="1">IFERROR(__xludf.DUMMYFUNCTION("""COMPUTED_VALUE"""),35802)</f>
        <v>35802</v>
      </c>
      <c r="I412">
        <f ca="1">IFERROR(__xludf.DUMMYFUNCTION("""COMPUTED_VALUE"""),3)</f>
        <v>3</v>
      </c>
      <c r="J412">
        <f ca="1">IFERROR(__xludf.DUMMYFUNCTION("""COMPUTED_VALUE"""),5)</f>
        <v>5</v>
      </c>
      <c r="K412" t="str">
        <f ca="1">IFERROR(__xludf.DUMMYFUNCTION("""COMPUTED_VALUE"""),"Pru Logistic")</f>
        <v>Pru Logistic</v>
      </c>
      <c r="L412" t="str">
        <f ca="1">IFERROR(__xludf.DUMMYFUNCTION("""COMPUTED_VALUE"""),"N")</f>
        <v>N</v>
      </c>
      <c r="M412" t="str">
        <f ca="1">IFERROR(__xludf.DUMMYFUNCTION("""COMPUTED_VALUE"""),"Fg-662")</f>
        <v>Fg-662</v>
      </c>
    </row>
    <row r="413" spans="1:13" ht="12.5" x14ac:dyDescent="0.25">
      <c r="A413" t="str">
        <f ca="1">IFERROR(__xludf.DUMMYFUNCTION("""COMPUTED_VALUE"""),"Romo")</f>
        <v>Romo</v>
      </c>
      <c r="B413" t="str">
        <f ca="1">IFERROR(__xludf.DUMMYFUNCTION("""COMPUTED_VALUE"""),"Januarti")</f>
        <v>Januarti</v>
      </c>
      <c r="C413" t="str">
        <f ca="1">IFERROR(__xludf.DUMMYFUNCTION("""COMPUTED_VALUE"""),"Romo@ymailx.com")</f>
        <v>Romo@ymailx.com</v>
      </c>
      <c r="D413" t="str">
        <f ca="1">IFERROR(__xludf.DUMMYFUNCTION("""COMPUTED_VALUE"""),"Balikpapan")</f>
        <v>Balikpapan</v>
      </c>
      <c r="E413" s="12">
        <f ca="1">IFERROR(__xludf.DUMMYFUNCTION("""COMPUTED_VALUE"""),42995)</f>
        <v>42995</v>
      </c>
      <c r="F413" t="str">
        <f ca="1">IFERROR(__xludf.DUMMYFUNCTION("""COMPUTED_VALUE"""),"KP0150BH")</f>
        <v>KP0150BH</v>
      </c>
      <c r="G413" s="11">
        <f ca="1">IFERROR(__xludf.DUMMYFUNCTION("""COMPUTED_VALUE"""),189000000)</f>
        <v>189000000</v>
      </c>
      <c r="H413">
        <f ca="1">IFERROR(__xludf.DUMMYFUNCTION("""COMPUTED_VALUE"""),35006)</f>
        <v>35006</v>
      </c>
      <c r="I413">
        <f ca="1">IFERROR(__xludf.DUMMYFUNCTION("""COMPUTED_VALUE"""),7)</f>
        <v>7</v>
      </c>
      <c r="J413">
        <f ca="1">IFERROR(__xludf.DUMMYFUNCTION("""COMPUTED_VALUE"""),4)</f>
        <v>4</v>
      </c>
      <c r="K413" t="str">
        <f ca="1">IFERROR(__xludf.DUMMYFUNCTION("""COMPUTED_VALUE"""),"JENT")</f>
        <v>JENT</v>
      </c>
      <c r="L413" t="str">
        <f ca="1">IFERROR(__xludf.DUMMYFUNCTION("""COMPUTED_VALUE"""),"N")</f>
        <v>N</v>
      </c>
      <c r="M413" t="str">
        <f ca="1">IFERROR(__xludf.DUMMYFUNCTION("""COMPUTED_VALUE"""),"Ic-993")</f>
        <v>Ic-993</v>
      </c>
    </row>
    <row r="414" spans="1:13" ht="12.5" x14ac:dyDescent="0.25">
      <c r="A414" t="str">
        <f ca="1">IFERROR(__xludf.DUMMYFUNCTION("""COMPUTED_VALUE"""),"Herumanlo")</f>
        <v>Herumanlo</v>
      </c>
      <c r="B414" t="str">
        <f ca="1">IFERROR(__xludf.DUMMYFUNCTION("""COMPUTED_VALUE"""),"Sjah")</f>
        <v>Sjah</v>
      </c>
      <c r="C414" t="str">
        <f ca="1">IFERROR(__xludf.DUMMYFUNCTION("""COMPUTED_VALUE"""),"Herumanlo@ymailx.com")</f>
        <v>Herumanlo@ymailx.com</v>
      </c>
      <c r="D414" t="str">
        <f ca="1">IFERROR(__xludf.DUMMYFUNCTION("""COMPUTED_VALUE"""),"Bekasi")</f>
        <v>Bekasi</v>
      </c>
      <c r="E414" s="12">
        <f ca="1">IFERROR(__xludf.DUMMYFUNCTION("""COMPUTED_VALUE"""),42995)</f>
        <v>42995</v>
      </c>
      <c r="F414" t="str">
        <f ca="1">IFERROR(__xludf.DUMMYFUNCTION("""COMPUTED_VALUE"""),"KP0225BB")</f>
        <v>KP0225BB</v>
      </c>
      <c r="G414" s="11">
        <f ca="1">IFERROR(__xludf.DUMMYFUNCTION("""COMPUTED_VALUE"""),30000000)</f>
        <v>30000000</v>
      </c>
      <c r="H414">
        <f ca="1">IFERROR(__xludf.DUMMYFUNCTION("""COMPUTED_VALUE"""),36472)</f>
        <v>36472</v>
      </c>
      <c r="I414">
        <f ca="1">IFERROR(__xludf.DUMMYFUNCTION("""COMPUTED_VALUE"""),3)</f>
        <v>3</v>
      </c>
      <c r="J414">
        <f ca="1">IFERROR(__xludf.DUMMYFUNCTION("""COMPUTED_VALUE"""),4)</f>
        <v>4</v>
      </c>
      <c r="K414" t="str">
        <f ca="1">IFERROR(__xludf.DUMMYFUNCTION("""COMPUTED_VALUE"""),"Wakanda Express")</f>
        <v>Wakanda Express</v>
      </c>
      <c r="L414" t="str">
        <f ca="1">IFERROR(__xludf.DUMMYFUNCTION("""COMPUTED_VALUE"""),"Y")</f>
        <v>Y</v>
      </c>
      <c r="M414" t="str">
        <f ca="1">IFERROR(__xludf.DUMMYFUNCTION("""COMPUTED_VALUE"""),"Kh-409")</f>
        <v>Kh-409</v>
      </c>
    </row>
    <row r="415" spans="1:13" ht="12.5" x14ac:dyDescent="0.25">
      <c r="A415" t="str">
        <f ca="1">IFERROR(__xludf.DUMMYFUNCTION("""COMPUTED_VALUE"""),"Elly")</f>
        <v>Elly</v>
      </c>
      <c r="B415" t="str">
        <f ca="1">IFERROR(__xludf.DUMMYFUNCTION("""COMPUTED_VALUE"""),"Gunawan")</f>
        <v>Gunawan</v>
      </c>
      <c r="C415" t="str">
        <f ca="1">IFERROR(__xludf.DUMMYFUNCTION("""COMPUTED_VALUE"""),"Elly@ymailx.com")</f>
        <v>Elly@ymailx.com</v>
      </c>
      <c r="D415" t="str">
        <f ca="1">IFERROR(__xludf.DUMMYFUNCTION("""COMPUTED_VALUE"""),"Serang")</f>
        <v>Serang</v>
      </c>
      <c r="E415" s="12">
        <f ca="1">IFERROR(__xludf.DUMMYFUNCTION("""COMPUTED_VALUE"""),42991)</f>
        <v>42991</v>
      </c>
      <c r="F415" t="str">
        <f ca="1">IFERROR(__xludf.DUMMYFUNCTION("""COMPUTED_VALUE"""),"KP0625AF")</f>
        <v>KP0625AF</v>
      </c>
      <c r="G415" s="11">
        <f ca="1">IFERROR(__xludf.DUMMYFUNCTION("""COMPUTED_VALUE"""),108000000)</f>
        <v>108000000</v>
      </c>
      <c r="H415">
        <f ca="1">IFERROR(__xludf.DUMMYFUNCTION("""COMPUTED_VALUE"""),35740)</f>
        <v>35740</v>
      </c>
      <c r="I415">
        <f ca="1">IFERROR(__xludf.DUMMYFUNCTION("""COMPUTED_VALUE"""),9)</f>
        <v>9</v>
      </c>
      <c r="J415">
        <f ca="1">IFERROR(__xludf.DUMMYFUNCTION("""COMPUTED_VALUE"""),5)</f>
        <v>5</v>
      </c>
      <c r="K415" t="str">
        <f ca="1">IFERROR(__xludf.DUMMYFUNCTION("""COMPUTED_VALUE"""),"Wakanda Express")</f>
        <v>Wakanda Express</v>
      </c>
      <c r="L415" t="str">
        <f ca="1">IFERROR(__xludf.DUMMYFUNCTION("""COMPUTED_VALUE"""),"Y")</f>
        <v>Y</v>
      </c>
      <c r="M415" t="str">
        <f ca="1">IFERROR(__xludf.DUMMYFUNCTION("""COMPUTED_VALUE"""),"Ik-500")</f>
        <v>Ik-500</v>
      </c>
    </row>
    <row r="416" spans="1:13" ht="12.5" x14ac:dyDescent="0.25">
      <c r="A416" t="str">
        <f ca="1">IFERROR(__xludf.DUMMYFUNCTION("""COMPUTED_VALUE"""),"Suharman")</f>
        <v>Suharman</v>
      </c>
      <c r="B416" t="str">
        <f ca="1">IFERROR(__xludf.DUMMYFUNCTION("""COMPUTED_VALUE"""),"Ida")</f>
        <v>Ida</v>
      </c>
      <c r="C416" t="str">
        <f ca="1">IFERROR(__xludf.DUMMYFUNCTION("""COMPUTED_VALUE"""),"Suharman@livex.com")</f>
        <v>Suharman@livex.com</v>
      </c>
      <c r="D416" t="str">
        <f ca="1">IFERROR(__xludf.DUMMYFUNCTION("""COMPUTED_VALUE"""),"Pontianak")</f>
        <v>Pontianak</v>
      </c>
      <c r="E416" s="12">
        <f ca="1">IFERROR(__xludf.DUMMYFUNCTION("""COMPUTED_VALUE"""),42991)</f>
        <v>42991</v>
      </c>
      <c r="F416" t="str">
        <f ca="1">IFERROR(__xludf.DUMMYFUNCTION("""COMPUTED_VALUE"""),"KP0625AF")</f>
        <v>KP0625AF</v>
      </c>
      <c r="G416" s="11">
        <f ca="1">IFERROR(__xludf.DUMMYFUNCTION("""COMPUTED_VALUE"""),108000000)</f>
        <v>108000000</v>
      </c>
      <c r="H416">
        <f ca="1">IFERROR(__xludf.DUMMYFUNCTION("""COMPUTED_VALUE"""),36258)</f>
        <v>36258</v>
      </c>
      <c r="I416">
        <f ca="1">IFERROR(__xludf.DUMMYFUNCTION("""COMPUTED_VALUE"""),9)</f>
        <v>9</v>
      </c>
      <c r="J416" t="str">
        <f ca="1">IFERROR(__xludf.DUMMYFUNCTION("""COMPUTED_VALUE"""),"N/A")</f>
        <v>N/A</v>
      </c>
      <c r="K416" t="str">
        <f ca="1">IFERROR(__xludf.DUMMYFUNCTION("""COMPUTED_VALUE"""),"JENT")</f>
        <v>JENT</v>
      </c>
      <c r="L416" t="str">
        <f ca="1">IFERROR(__xludf.DUMMYFUNCTION("""COMPUTED_VALUE"""),"N")</f>
        <v>N</v>
      </c>
      <c r="M416" t="str">
        <f ca="1">IFERROR(__xludf.DUMMYFUNCTION("""COMPUTED_VALUE"""),"Ce-880")</f>
        <v>Ce-880</v>
      </c>
    </row>
    <row r="417" spans="1:13" ht="12.5" x14ac:dyDescent="0.25">
      <c r="A417" t="str">
        <f ca="1">IFERROR(__xludf.DUMMYFUNCTION("""COMPUTED_VALUE"""),"Fan")</f>
        <v>Fan</v>
      </c>
      <c r="B417" t="str">
        <f ca="1">IFERROR(__xludf.DUMMYFUNCTION("""COMPUTED_VALUE"""),"Soetemo")</f>
        <v>Soetemo</v>
      </c>
      <c r="C417" t="str">
        <f ca="1">IFERROR(__xludf.DUMMYFUNCTION("""COMPUTED_VALUE"""),"Fan@outlookx.com")</f>
        <v>Fan@outlookx.com</v>
      </c>
      <c r="D417" t="str">
        <f ca="1">IFERROR(__xludf.DUMMYFUNCTION("""COMPUTED_VALUE"""),"Madiun")</f>
        <v>Madiun</v>
      </c>
      <c r="E417" s="12">
        <f ca="1">IFERROR(__xludf.DUMMYFUNCTION("""COMPUTED_VALUE"""),43017)</f>
        <v>43017</v>
      </c>
      <c r="F417" t="str">
        <f ca="1">IFERROR(__xludf.DUMMYFUNCTION("""COMPUTED_VALUE"""),"KP0750AJ")</f>
        <v>KP0750AJ</v>
      </c>
      <c r="G417" s="11">
        <f ca="1">IFERROR(__xludf.DUMMYFUNCTION("""COMPUTED_VALUE"""),108000000)</f>
        <v>108000000</v>
      </c>
      <c r="H417">
        <f ca="1">IFERROR(__xludf.DUMMYFUNCTION("""COMPUTED_VALUE"""),35008)</f>
        <v>35008</v>
      </c>
      <c r="I417">
        <f ca="1">IFERROR(__xludf.DUMMYFUNCTION("""COMPUTED_VALUE"""),6)</f>
        <v>6</v>
      </c>
      <c r="J417">
        <f ca="1">IFERROR(__xludf.DUMMYFUNCTION("""COMPUTED_VALUE"""),3)</f>
        <v>3</v>
      </c>
      <c r="K417" t="str">
        <f ca="1">IFERROR(__xludf.DUMMYFUNCTION("""COMPUTED_VALUE"""),"Swift Delivery")</f>
        <v>Swift Delivery</v>
      </c>
      <c r="L417" t="str">
        <f ca="1">IFERROR(__xludf.DUMMYFUNCTION("""COMPUTED_VALUE"""),"Y")</f>
        <v>Y</v>
      </c>
      <c r="M417" t="str">
        <f ca="1">IFERROR(__xludf.DUMMYFUNCTION("""COMPUTED_VALUE"""),"Cd-123")</f>
        <v>Cd-123</v>
      </c>
    </row>
    <row r="418" spans="1:13" ht="12.5" x14ac:dyDescent="0.25">
      <c r="A418" t="str">
        <f ca="1">IFERROR(__xludf.DUMMYFUNCTION("""COMPUTED_VALUE"""),"Kitty")</f>
        <v>Kitty</v>
      </c>
      <c r="B418" t="str">
        <f ca="1">IFERROR(__xludf.DUMMYFUNCTION("""COMPUTED_VALUE"""),"Hadi")</f>
        <v>Hadi</v>
      </c>
      <c r="C418" t="str">
        <f ca="1">IFERROR(__xludf.DUMMYFUNCTION("""COMPUTED_VALUE"""),"Kitty@gmailx.com")</f>
        <v>Kitty@gmailx.com</v>
      </c>
      <c r="D418" t="str">
        <f ca="1">IFERROR(__xludf.DUMMYFUNCTION("""COMPUTED_VALUE"""),"Bukittinggi")</f>
        <v>Bukittinggi</v>
      </c>
      <c r="E418" s="12">
        <f ca="1">IFERROR(__xludf.DUMMYFUNCTION("""COMPUTED_VALUE"""),42987)</f>
        <v>42987</v>
      </c>
      <c r="F418" t="str">
        <f ca="1">IFERROR(__xludf.DUMMYFUNCTION("""COMPUTED_VALUE"""),"KP0925SG")</f>
        <v>KP0925SG</v>
      </c>
      <c r="G418" s="11">
        <f ca="1">IFERROR(__xludf.DUMMYFUNCTION("""COMPUTED_VALUE"""),90000000)</f>
        <v>90000000</v>
      </c>
      <c r="H418">
        <f ca="1">IFERROR(__xludf.DUMMYFUNCTION("""COMPUTED_VALUE"""),36676)</f>
        <v>36676</v>
      </c>
      <c r="I418">
        <f ca="1">IFERROR(__xludf.DUMMYFUNCTION("""COMPUTED_VALUE"""),6)</f>
        <v>6</v>
      </c>
      <c r="J418">
        <f ca="1">IFERROR(__xludf.DUMMYFUNCTION("""COMPUTED_VALUE"""),4)</f>
        <v>4</v>
      </c>
      <c r="K418" t="str">
        <f ca="1">IFERROR(__xludf.DUMMYFUNCTION("""COMPUTED_VALUE"""),"JENT")</f>
        <v>JENT</v>
      </c>
      <c r="L418" t="str">
        <f ca="1">IFERROR(__xludf.DUMMYFUNCTION("""COMPUTED_VALUE"""),"Y")</f>
        <v>Y</v>
      </c>
      <c r="M418" t="str">
        <f ca="1">IFERROR(__xludf.DUMMYFUNCTION("""COMPUTED_VALUE"""),"Br-559")</f>
        <v>Br-559</v>
      </c>
    </row>
    <row r="419" spans="1:13" ht="12.5" x14ac:dyDescent="0.25">
      <c r="A419" t="str">
        <f ca="1">IFERROR(__xludf.DUMMYFUNCTION("""COMPUTED_VALUE"""),"James")</f>
        <v>James</v>
      </c>
      <c r="B419" t="str">
        <f ca="1">IFERROR(__xludf.DUMMYFUNCTION("""COMPUTED_VALUE"""),"Gunawan")</f>
        <v>Gunawan</v>
      </c>
      <c r="C419" t="str">
        <f ca="1">IFERROR(__xludf.DUMMYFUNCTION("""COMPUTED_VALUE"""),"James@ymailx.com")</f>
        <v>James@ymailx.com</v>
      </c>
      <c r="D419" t="str">
        <f ca="1">IFERROR(__xludf.DUMMYFUNCTION("""COMPUTED_VALUE"""),"Langsa")</f>
        <v>Langsa</v>
      </c>
      <c r="E419" s="12">
        <f ca="1">IFERROR(__xludf.DUMMYFUNCTION("""COMPUTED_VALUE"""),42987)</f>
        <v>42987</v>
      </c>
      <c r="F419" t="str">
        <f ca="1">IFERROR(__xludf.DUMMYFUNCTION("""COMPUTED_VALUE"""),"KP0225BB")</f>
        <v>KP0225BB</v>
      </c>
      <c r="G419" s="11">
        <f ca="1">IFERROR(__xludf.DUMMYFUNCTION("""COMPUTED_VALUE"""),30000000)</f>
        <v>30000000</v>
      </c>
      <c r="H419">
        <f ca="1">IFERROR(__xludf.DUMMYFUNCTION("""COMPUTED_VALUE"""),36326)</f>
        <v>36326</v>
      </c>
      <c r="I419">
        <f ca="1">IFERROR(__xludf.DUMMYFUNCTION("""COMPUTED_VALUE"""),3)</f>
        <v>3</v>
      </c>
      <c r="J419" t="str">
        <f ca="1">IFERROR(__xludf.DUMMYFUNCTION("""COMPUTED_VALUE"""),"N/A")</f>
        <v>N/A</v>
      </c>
      <c r="K419" t="str">
        <f ca="1">IFERROR(__xludf.DUMMYFUNCTION("""COMPUTED_VALUE"""),"JENT")</f>
        <v>JENT</v>
      </c>
      <c r="L419" t="str">
        <f ca="1">IFERROR(__xludf.DUMMYFUNCTION("""COMPUTED_VALUE"""),"Y")</f>
        <v>Y</v>
      </c>
      <c r="M419" t="str">
        <f ca="1">IFERROR(__xludf.DUMMYFUNCTION("""COMPUTED_VALUE"""),"Hd-101")</f>
        <v>Hd-101</v>
      </c>
    </row>
    <row r="420" spans="1:13" ht="12.5" x14ac:dyDescent="0.25">
      <c r="A420" t="str">
        <f ca="1">IFERROR(__xludf.DUMMYFUNCTION("""COMPUTED_VALUE"""),"Ima")</f>
        <v>Ima</v>
      </c>
      <c r="B420" t="str">
        <f ca="1">IFERROR(__xludf.DUMMYFUNCTION("""COMPUTED_VALUE"""),"Wiriadinata")</f>
        <v>Wiriadinata</v>
      </c>
      <c r="C420" t="str">
        <f ca="1">IFERROR(__xludf.DUMMYFUNCTION("""COMPUTED_VALUE"""),"WIRIADINATA@ymailx.com")</f>
        <v>WIRIADINATA@ymailx.com</v>
      </c>
      <c r="D420" t="str">
        <f ca="1">IFERROR(__xludf.DUMMYFUNCTION("""COMPUTED_VALUE"""),"Cilegon")</f>
        <v>Cilegon</v>
      </c>
      <c r="E420" s="12">
        <f ca="1">IFERROR(__xludf.DUMMYFUNCTION("""COMPUTED_VALUE"""),42956)</f>
        <v>42956</v>
      </c>
      <c r="F420" t="str">
        <f ca="1">IFERROR(__xludf.DUMMYFUNCTION("""COMPUTED_VALUE"""),"KP0850FB")</f>
        <v>KP0850FB</v>
      </c>
      <c r="G420" s="11">
        <f ca="1">IFERROR(__xludf.DUMMYFUNCTION("""COMPUTED_VALUE"""),126000000)</f>
        <v>126000000</v>
      </c>
      <c r="H420">
        <f ca="1">IFERROR(__xludf.DUMMYFUNCTION("""COMPUTED_VALUE"""),36010)</f>
        <v>36010</v>
      </c>
      <c r="I420">
        <f ca="1">IFERROR(__xludf.DUMMYFUNCTION("""COMPUTED_VALUE"""),6)</f>
        <v>6</v>
      </c>
      <c r="J420" t="str">
        <f ca="1">IFERROR(__xludf.DUMMYFUNCTION("""COMPUTED_VALUE"""),"N/A")</f>
        <v>N/A</v>
      </c>
      <c r="K420" t="str">
        <f ca="1">IFERROR(__xludf.DUMMYFUNCTION("""COMPUTED_VALUE"""),"JENT")</f>
        <v>JENT</v>
      </c>
      <c r="L420" t="str">
        <f ca="1">IFERROR(__xludf.DUMMYFUNCTION("""COMPUTED_VALUE"""),"Y")</f>
        <v>Y</v>
      </c>
      <c r="M420" t="str">
        <f ca="1">IFERROR(__xludf.DUMMYFUNCTION("""COMPUTED_VALUE"""),"Fp-500")</f>
        <v>Fp-500</v>
      </c>
    </row>
    <row r="421" spans="1:13" ht="12.5" x14ac:dyDescent="0.25">
      <c r="A421" t="str">
        <f ca="1">IFERROR(__xludf.DUMMYFUNCTION("""COMPUTED_VALUE"""),"Pradeep")</f>
        <v>Pradeep</v>
      </c>
      <c r="B421" t="str">
        <f ca="1">IFERROR(__xludf.DUMMYFUNCTION("""COMPUTED_VALUE"""),"Wirawan")</f>
        <v>Wirawan</v>
      </c>
      <c r="C421" t="str">
        <f ca="1">IFERROR(__xludf.DUMMYFUNCTION("""COMPUTED_VALUE"""),"Wirawan@rocketmailx.com")</f>
        <v>Wirawan@rocketmailx.com</v>
      </c>
      <c r="D421" t="str">
        <f ca="1">IFERROR(__xludf.DUMMYFUNCTION("""COMPUTED_VALUE"""),"Mataram")</f>
        <v>Mataram</v>
      </c>
      <c r="E421" s="12">
        <f ca="1">IFERROR(__xludf.DUMMYFUNCTION("""COMPUTED_VALUE"""),42895)</f>
        <v>42895</v>
      </c>
      <c r="F421" t="str">
        <f ca="1">IFERROR(__xludf.DUMMYFUNCTION("""COMPUTED_VALUE"""),"KP0850FB")</f>
        <v>KP0850FB</v>
      </c>
      <c r="G421" s="11">
        <f ca="1">IFERROR(__xludf.DUMMYFUNCTION("""COMPUTED_VALUE"""),63000000)</f>
        <v>63000000</v>
      </c>
      <c r="H421">
        <f ca="1">IFERROR(__xludf.DUMMYFUNCTION("""COMPUTED_VALUE"""),35247)</f>
        <v>35247</v>
      </c>
      <c r="I421">
        <f ca="1">IFERROR(__xludf.DUMMYFUNCTION("""COMPUTED_VALUE"""),3)</f>
        <v>3</v>
      </c>
      <c r="J421" t="str">
        <f ca="1">IFERROR(__xludf.DUMMYFUNCTION("""COMPUTED_VALUE"""),"N/A")</f>
        <v>N/A</v>
      </c>
      <c r="K421" t="str">
        <f ca="1">IFERROR(__xludf.DUMMYFUNCTION("""COMPUTED_VALUE"""),"Wakanda Express")</f>
        <v>Wakanda Express</v>
      </c>
      <c r="L421" t="str">
        <f ca="1">IFERROR(__xludf.DUMMYFUNCTION("""COMPUTED_VALUE"""),"N")</f>
        <v>N</v>
      </c>
      <c r="M421" t="str">
        <f ca="1">IFERROR(__xludf.DUMMYFUNCTION("""COMPUTED_VALUE"""),"Wh-183")</f>
        <v>Wh-183</v>
      </c>
    </row>
    <row r="422" spans="1:13" ht="12.5" x14ac:dyDescent="0.25">
      <c r="A422" t="str">
        <f ca="1">IFERROR(__xludf.DUMMYFUNCTION("""COMPUTED_VALUE"""),"Hermani")</f>
        <v>Hermani</v>
      </c>
      <c r="B422" t="str">
        <f ca="1">IFERROR(__xludf.DUMMYFUNCTION("""COMPUTED_VALUE"""),"Ravi")</f>
        <v>Ravi</v>
      </c>
      <c r="C422" t="str">
        <f ca="1">IFERROR(__xludf.DUMMYFUNCTION("""COMPUTED_VALUE"""),"Ravi@ymailx.com")</f>
        <v>Ravi@ymailx.com</v>
      </c>
      <c r="D422" t="str">
        <f ca="1">IFERROR(__xludf.DUMMYFUNCTION("""COMPUTED_VALUE"""),"Pasuruan")</f>
        <v>Pasuruan</v>
      </c>
      <c r="E422" s="12">
        <f ca="1">IFERROR(__xludf.DUMMYFUNCTION("""COMPUTED_VALUE"""),42864)</f>
        <v>42864</v>
      </c>
      <c r="F422" t="str">
        <f ca="1">IFERROR(__xludf.DUMMYFUNCTION("""COMPUTED_VALUE"""),"KP0225BB")</f>
        <v>KP0225BB</v>
      </c>
      <c r="G422" s="11">
        <f ca="1">IFERROR(__xludf.DUMMYFUNCTION("""COMPUTED_VALUE"""),80000000)</f>
        <v>80000000</v>
      </c>
      <c r="H422">
        <f ca="1">IFERROR(__xludf.DUMMYFUNCTION("""COMPUTED_VALUE"""),36454)</f>
        <v>36454</v>
      </c>
      <c r="I422">
        <f ca="1">IFERROR(__xludf.DUMMYFUNCTION("""COMPUTED_VALUE"""),8)</f>
        <v>8</v>
      </c>
      <c r="J422" t="str">
        <f ca="1">IFERROR(__xludf.DUMMYFUNCTION("""COMPUTED_VALUE"""),"N/A")</f>
        <v>N/A</v>
      </c>
      <c r="K422" t="str">
        <f ca="1">IFERROR(__xludf.DUMMYFUNCTION("""COMPUTED_VALUE"""),"Cepat Kirim")</f>
        <v>Cepat Kirim</v>
      </c>
      <c r="L422" t="str">
        <f ca="1">IFERROR(__xludf.DUMMYFUNCTION("""COMPUTED_VALUE"""),"Y")</f>
        <v>Y</v>
      </c>
      <c r="M422" t="str">
        <f ca="1">IFERROR(__xludf.DUMMYFUNCTION("""COMPUTED_VALUE"""),"Fl-123")</f>
        <v>Fl-123</v>
      </c>
    </row>
    <row r="423" spans="1:13" ht="12.5" x14ac:dyDescent="0.25">
      <c r="A423" t="str">
        <f ca="1">IFERROR(__xludf.DUMMYFUNCTION("""COMPUTED_VALUE"""),"Robin")</f>
        <v>Robin</v>
      </c>
      <c r="B423" t="str">
        <f ca="1">IFERROR(__xludf.DUMMYFUNCTION("""COMPUTED_VALUE"""),"Rochimat")</f>
        <v>Rochimat</v>
      </c>
      <c r="C423" t="str">
        <f ca="1">IFERROR(__xludf.DUMMYFUNCTION("""COMPUTED_VALUE"""),"Robin@gmailx.com")</f>
        <v>Robin@gmailx.com</v>
      </c>
      <c r="D423" t="str">
        <f ca="1">IFERROR(__xludf.DUMMYFUNCTION("""COMPUTED_VALUE"""),"Padang")</f>
        <v>Padang</v>
      </c>
      <c r="E423" s="12">
        <f ca="1">IFERROR(__xludf.DUMMYFUNCTION("""COMPUTED_VALUE"""),42803)</f>
        <v>42803</v>
      </c>
      <c r="F423" t="str">
        <f ca="1">IFERROR(__xludf.DUMMYFUNCTION("""COMPUTED_VALUE"""),"KP0150BH")</f>
        <v>KP0150BH</v>
      </c>
      <c r="G423" s="11">
        <f ca="1">IFERROR(__xludf.DUMMYFUNCTION("""COMPUTED_VALUE"""),189000000)</f>
        <v>189000000</v>
      </c>
      <c r="H423">
        <f ca="1">IFERROR(__xludf.DUMMYFUNCTION("""COMPUTED_VALUE"""),35714)</f>
        <v>35714</v>
      </c>
      <c r="I423">
        <f ca="1">IFERROR(__xludf.DUMMYFUNCTION("""COMPUTED_VALUE"""),7)</f>
        <v>7</v>
      </c>
      <c r="J423">
        <f ca="1">IFERROR(__xludf.DUMMYFUNCTION("""COMPUTED_VALUE"""),4)</f>
        <v>4</v>
      </c>
      <c r="K423" t="str">
        <f ca="1">IFERROR(__xludf.DUMMYFUNCTION("""COMPUTED_VALUE"""),"Swift Delivery")</f>
        <v>Swift Delivery</v>
      </c>
      <c r="L423" t="str">
        <f ca="1">IFERROR(__xludf.DUMMYFUNCTION("""COMPUTED_VALUE"""),"N")</f>
        <v>N</v>
      </c>
      <c r="M423" t="str">
        <f ca="1">IFERROR(__xludf.DUMMYFUNCTION("""COMPUTED_VALUE"""),"Eg-559")</f>
        <v>Eg-559</v>
      </c>
    </row>
    <row r="424" spans="1:13" ht="12.5" x14ac:dyDescent="0.25">
      <c r="A424" t="str">
        <f ca="1">IFERROR(__xludf.DUMMYFUNCTION("""COMPUTED_VALUE"""),"Liem")</f>
        <v>Liem</v>
      </c>
      <c r="B424" t="str">
        <f ca="1">IFERROR(__xludf.DUMMYFUNCTION("""COMPUTED_VALUE"""),"Hamzah")</f>
        <v>Hamzah</v>
      </c>
      <c r="C424" t="str">
        <f ca="1">IFERROR(__xludf.DUMMYFUNCTION("""COMPUTED_VALUE"""),"Liem@ymailx.com")</f>
        <v>Liem@ymailx.com</v>
      </c>
      <c r="D424" t="str">
        <f ca="1">IFERROR(__xludf.DUMMYFUNCTION("""COMPUTED_VALUE"""),"Padang Sidempuan")</f>
        <v>Padang Sidempuan</v>
      </c>
      <c r="E424" s="12">
        <f ca="1">IFERROR(__xludf.DUMMYFUNCTION("""COMPUTED_VALUE"""),42775)</f>
        <v>42775</v>
      </c>
      <c r="F424" t="str">
        <f ca="1">IFERROR(__xludf.DUMMYFUNCTION("""COMPUTED_VALUE"""),"KP0350CF")</f>
        <v>KP0350CF</v>
      </c>
      <c r="G424" s="11">
        <f ca="1">IFERROR(__xludf.DUMMYFUNCTION("""COMPUTED_VALUE"""),105000000)</f>
        <v>105000000</v>
      </c>
      <c r="H424">
        <f ca="1">IFERROR(__xludf.DUMMYFUNCTION("""COMPUTED_VALUE"""),36145)</f>
        <v>36145</v>
      </c>
      <c r="I424">
        <f ca="1">IFERROR(__xludf.DUMMYFUNCTION("""COMPUTED_VALUE"""),3)</f>
        <v>3</v>
      </c>
      <c r="J424" t="str">
        <f ca="1">IFERROR(__xludf.DUMMYFUNCTION("""COMPUTED_VALUE"""),"N/A")</f>
        <v>N/A</v>
      </c>
      <c r="K424" t="str">
        <f ca="1">IFERROR(__xludf.DUMMYFUNCTION("""COMPUTED_VALUE"""),"JENT")</f>
        <v>JENT</v>
      </c>
      <c r="L424" t="str">
        <f ca="1">IFERROR(__xludf.DUMMYFUNCTION("""COMPUTED_VALUE"""),"Y")</f>
        <v>Y</v>
      </c>
      <c r="M424" t="str">
        <f ca="1">IFERROR(__xludf.DUMMYFUNCTION("""COMPUTED_VALUE"""),"Tr-662")</f>
        <v>Tr-662</v>
      </c>
    </row>
    <row r="425" spans="1:13" ht="12.5" x14ac:dyDescent="0.25">
      <c r="A425" t="str">
        <f ca="1">IFERROR(__xludf.DUMMYFUNCTION("""COMPUTED_VALUE"""),"Ahmad")</f>
        <v>Ahmad</v>
      </c>
      <c r="B425" t="str">
        <f ca="1">IFERROR(__xludf.DUMMYFUNCTION("""COMPUTED_VALUE"""),"Usman")</f>
        <v>Usman</v>
      </c>
      <c r="C425" t="str">
        <f ca="1">IFERROR(__xludf.DUMMYFUNCTION("""COMPUTED_VALUE"""),"Ahmad@ymailx.com")</f>
        <v>Ahmad@ymailx.com</v>
      </c>
      <c r="D425" t="str">
        <f ca="1">IFERROR(__xludf.DUMMYFUNCTION("""COMPUTED_VALUE"""),"Malang")</f>
        <v>Malang</v>
      </c>
      <c r="E425" s="12">
        <f ca="1">IFERROR(__xludf.DUMMYFUNCTION("""COMPUTED_VALUE"""),42775)</f>
        <v>42775</v>
      </c>
      <c r="F425" t="str">
        <f ca="1">IFERROR(__xludf.DUMMYFUNCTION("""COMPUTED_VALUE"""),"KP0925SG")</f>
        <v>KP0925SG</v>
      </c>
      <c r="G425" s="11">
        <f ca="1">IFERROR(__xludf.DUMMYFUNCTION("""COMPUTED_VALUE"""),30000000)</f>
        <v>30000000</v>
      </c>
      <c r="H425">
        <f ca="1">IFERROR(__xludf.DUMMYFUNCTION("""COMPUTED_VALUE"""),36721)</f>
        <v>36721</v>
      </c>
      <c r="I425">
        <f ca="1">IFERROR(__xludf.DUMMYFUNCTION("""COMPUTED_VALUE"""),2)</f>
        <v>2</v>
      </c>
      <c r="J425" t="str">
        <f ca="1">IFERROR(__xludf.DUMMYFUNCTION("""COMPUTED_VALUE"""),"N/A")</f>
        <v>N/A</v>
      </c>
      <c r="K425" t="str">
        <f ca="1">IFERROR(__xludf.DUMMYFUNCTION("""COMPUTED_VALUE"""),"Wakanda Express")</f>
        <v>Wakanda Express</v>
      </c>
      <c r="L425" t="str">
        <f ca="1">IFERROR(__xludf.DUMMYFUNCTION("""COMPUTED_VALUE"""),"Y")</f>
        <v>Y</v>
      </c>
      <c r="M425" t="str">
        <f ca="1">IFERROR(__xludf.DUMMYFUNCTION("""COMPUTED_VALUE"""),"Ng-123")</f>
        <v>Ng-123</v>
      </c>
    </row>
    <row r="426" spans="1:13" ht="12.5" x14ac:dyDescent="0.25">
      <c r="A426" t="str">
        <f ca="1">IFERROR(__xludf.DUMMYFUNCTION("""COMPUTED_VALUE"""),"Elline")</f>
        <v>Elline</v>
      </c>
      <c r="B426" t="str">
        <f ca="1">IFERROR(__xludf.DUMMYFUNCTION("""COMPUTED_VALUE"""),"Mckay")</f>
        <v>Mckay</v>
      </c>
      <c r="C426" t="str">
        <f ca="1">IFERROR(__xludf.DUMMYFUNCTION("""COMPUTED_VALUE"""),"Elline@outlookx.com")</f>
        <v>Elline@outlookx.com</v>
      </c>
      <c r="D426" t="str">
        <f ca="1">IFERROR(__xludf.DUMMYFUNCTION("""COMPUTED_VALUE"""),"Cirebon")</f>
        <v>Cirebon</v>
      </c>
      <c r="E426" s="12">
        <f ca="1">IFERROR(__xludf.DUMMYFUNCTION("""COMPUTED_VALUE"""),42775)</f>
        <v>42775</v>
      </c>
      <c r="F426" t="str">
        <f ca="1">IFERROR(__xludf.DUMMYFUNCTION("""COMPUTED_VALUE"""),"KP0625AF")</f>
        <v>KP0625AF</v>
      </c>
      <c r="G426" s="11">
        <f ca="1">IFERROR(__xludf.DUMMYFUNCTION("""COMPUTED_VALUE"""),24000000)</f>
        <v>24000000</v>
      </c>
      <c r="H426">
        <f ca="1">IFERROR(__xludf.DUMMYFUNCTION("""COMPUTED_VALUE"""),36942)</f>
        <v>36942</v>
      </c>
      <c r="I426">
        <f ca="1">IFERROR(__xludf.DUMMYFUNCTION("""COMPUTED_VALUE"""),2)</f>
        <v>2</v>
      </c>
      <c r="J426">
        <f ca="1">IFERROR(__xludf.DUMMYFUNCTION("""COMPUTED_VALUE"""),4)</f>
        <v>4</v>
      </c>
      <c r="K426" t="str">
        <f ca="1">IFERROR(__xludf.DUMMYFUNCTION("""COMPUTED_VALUE"""),"Swift Delivery")</f>
        <v>Swift Delivery</v>
      </c>
      <c r="L426" t="str">
        <f ca="1">IFERROR(__xludf.DUMMYFUNCTION("""COMPUTED_VALUE"""),"Y")</f>
        <v>Y</v>
      </c>
      <c r="M426" t="str">
        <f ca="1">IFERROR(__xludf.DUMMYFUNCTION("""COMPUTED_VALUE"""),"Gg-409")</f>
        <v>Gg-409</v>
      </c>
    </row>
    <row r="427" spans="1:13" ht="12.5" x14ac:dyDescent="0.25">
      <c r="A427" t="str">
        <f ca="1">IFERROR(__xludf.DUMMYFUNCTION("""COMPUTED_VALUE"""),"Jan")</f>
        <v>Jan</v>
      </c>
      <c r="B427" t="str">
        <f ca="1">IFERROR(__xludf.DUMMYFUNCTION("""COMPUTED_VALUE"""),"Ferdinand")</f>
        <v>Ferdinand</v>
      </c>
      <c r="C427" t="str">
        <f ca="1">IFERROR(__xludf.DUMMYFUNCTION("""COMPUTED_VALUE"""),"Ferdinand@gmailx.com")</f>
        <v>Ferdinand@gmailx.com</v>
      </c>
      <c r="D427" t="str">
        <f ca="1">IFERROR(__xludf.DUMMYFUNCTION("""COMPUTED_VALUE"""),"Binjai")</f>
        <v>Binjai</v>
      </c>
      <c r="E427" s="12">
        <f ca="1">IFERROR(__xludf.DUMMYFUNCTION("""COMPUTED_VALUE"""),42775)</f>
        <v>42775</v>
      </c>
      <c r="F427" t="str">
        <f ca="1">IFERROR(__xludf.DUMMYFUNCTION("""COMPUTED_VALUE"""),"KP0625AF")</f>
        <v>KP0625AF</v>
      </c>
      <c r="G427" s="11">
        <f ca="1">IFERROR(__xludf.DUMMYFUNCTION("""COMPUTED_VALUE"""),36000000)</f>
        <v>36000000</v>
      </c>
      <c r="H427">
        <f ca="1">IFERROR(__xludf.DUMMYFUNCTION("""COMPUTED_VALUE"""),35870)</f>
        <v>35870</v>
      </c>
      <c r="I427">
        <f ca="1">IFERROR(__xludf.DUMMYFUNCTION("""COMPUTED_VALUE"""),3)</f>
        <v>3</v>
      </c>
      <c r="J427">
        <f ca="1">IFERROR(__xludf.DUMMYFUNCTION("""COMPUTED_VALUE"""),5)</f>
        <v>5</v>
      </c>
      <c r="K427" t="str">
        <f ca="1">IFERROR(__xludf.DUMMYFUNCTION("""COMPUTED_VALUE"""),"JENT")</f>
        <v>JENT</v>
      </c>
      <c r="L427" t="str">
        <f ca="1">IFERROR(__xludf.DUMMYFUNCTION("""COMPUTED_VALUE"""),"Y")</f>
        <v>Y</v>
      </c>
      <c r="M427" t="str">
        <f ca="1">IFERROR(__xludf.DUMMYFUNCTION("""COMPUTED_VALUE"""),"Au-662")</f>
        <v>Au-662</v>
      </c>
    </row>
    <row r="428" spans="1:13" ht="12.5" x14ac:dyDescent="0.25">
      <c r="A428" t="str">
        <f ca="1">IFERROR(__xludf.DUMMYFUNCTION("""COMPUTED_VALUE"""),"Devin")</f>
        <v>Devin</v>
      </c>
      <c r="B428" t="str">
        <f ca="1">IFERROR(__xludf.DUMMYFUNCTION("""COMPUTED_VALUE"""),"Victoria")</f>
        <v>Victoria</v>
      </c>
      <c r="C428" t="str">
        <f ca="1">IFERROR(__xludf.DUMMYFUNCTION("""COMPUTED_VALUE"""),"Victoria@gmailx.com")</f>
        <v>Victoria@gmailx.com</v>
      </c>
      <c r="D428" t="str">
        <f ca="1">IFERROR(__xludf.DUMMYFUNCTION("""COMPUTED_VALUE"""),"Langsa")</f>
        <v>Langsa</v>
      </c>
      <c r="E428" s="12">
        <f ca="1">IFERROR(__xludf.DUMMYFUNCTION("""COMPUTED_VALUE"""),42775)</f>
        <v>42775</v>
      </c>
      <c r="F428" t="str">
        <f ca="1">IFERROR(__xludf.DUMMYFUNCTION("""COMPUTED_VALUE"""),"KP0925SG")</f>
        <v>KP0925SG</v>
      </c>
      <c r="G428" s="11">
        <f ca="1">IFERROR(__xludf.DUMMYFUNCTION("""COMPUTED_VALUE"""),90000000)</f>
        <v>90000000</v>
      </c>
      <c r="H428">
        <f ca="1">IFERROR(__xludf.DUMMYFUNCTION("""COMPUTED_VALUE"""),35687)</f>
        <v>35687</v>
      </c>
      <c r="I428">
        <f ca="1">IFERROR(__xludf.DUMMYFUNCTION("""COMPUTED_VALUE"""),6)</f>
        <v>6</v>
      </c>
      <c r="J428" t="str">
        <f ca="1">IFERROR(__xludf.DUMMYFUNCTION("""COMPUTED_VALUE"""),"N/A")</f>
        <v>N/A</v>
      </c>
      <c r="K428" t="str">
        <f ca="1">IFERROR(__xludf.DUMMYFUNCTION("""COMPUTED_VALUE"""),"Wakanda Express")</f>
        <v>Wakanda Express</v>
      </c>
      <c r="L428" t="str">
        <f ca="1">IFERROR(__xludf.DUMMYFUNCTION("""COMPUTED_VALUE"""),"Y")</f>
        <v>Y</v>
      </c>
      <c r="M428" t="str">
        <f ca="1">IFERROR(__xludf.DUMMYFUNCTION("""COMPUTED_VALUE"""),"Bg-101")</f>
        <v>Bg-101</v>
      </c>
    </row>
    <row r="429" spans="1:13" ht="12.5" x14ac:dyDescent="0.25">
      <c r="A429" t="str">
        <f ca="1">IFERROR(__xludf.DUMMYFUNCTION("""COMPUTED_VALUE"""),"Razief")</f>
        <v>Razief</v>
      </c>
      <c r="B429" t="str">
        <f ca="1">IFERROR(__xludf.DUMMYFUNCTION("""COMPUTED_VALUE"""),"Abelarde")</f>
        <v>Abelarde</v>
      </c>
      <c r="C429" t="str">
        <f ca="1">IFERROR(__xludf.DUMMYFUNCTION("""COMPUTED_VALUE"""),"Abelarde@livex.com")</f>
        <v>Abelarde@livex.com</v>
      </c>
      <c r="D429" t="str">
        <f ca="1">IFERROR(__xludf.DUMMYFUNCTION("""COMPUTED_VALUE"""),"Meulaboh")</f>
        <v>Meulaboh</v>
      </c>
      <c r="E429" s="12">
        <f ca="1">IFERROR(__xludf.DUMMYFUNCTION("""COMPUTED_VALUE"""),42744)</f>
        <v>42744</v>
      </c>
      <c r="F429" t="str">
        <f ca="1">IFERROR(__xludf.DUMMYFUNCTION("""COMPUTED_VALUE"""),"KP0225BB")</f>
        <v>KP0225BB</v>
      </c>
      <c r="G429" s="11">
        <f ca="1">IFERROR(__xludf.DUMMYFUNCTION("""COMPUTED_VALUE"""),80000000)</f>
        <v>80000000</v>
      </c>
      <c r="H429">
        <f ca="1">IFERROR(__xludf.DUMMYFUNCTION("""COMPUTED_VALUE"""),35596)</f>
        <v>35596</v>
      </c>
      <c r="I429">
        <f ca="1">IFERROR(__xludf.DUMMYFUNCTION("""COMPUTED_VALUE"""),8)</f>
        <v>8</v>
      </c>
      <c r="J429" t="str">
        <f ca="1">IFERROR(__xludf.DUMMYFUNCTION("""COMPUTED_VALUE"""),"N/A")</f>
        <v>N/A</v>
      </c>
      <c r="K429" t="str">
        <f ca="1">IFERROR(__xludf.DUMMYFUNCTION("""COMPUTED_VALUE"""),"Pru Logistic")</f>
        <v>Pru Logistic</v>
      </c>
      <c r="L429" t="str">
        <f ca="1">IFERROR(__xludf.DUMMYFUNCTION("""COMPUTED_VALUE"""),"N")</f>
        <v>N</v>
      </c>
      <c r="M429" t="str">
        <f ca="1">IFERROR(__xludf.DUMMYFUNCTION("""COMPUTED_VALUE"""),"Ed-101")</f>
        <v>Ed-101</v>
      </c>
    </row>
    <row r="430" spans="1:13" ht="12.5" x14ac:dyDescent="0.25">
      <c r="A430" t="str">
        <f ca="1">IFERROR(__xludf.DUMMYFUNCTION("""COMPUTED_VALUE"""),"Antonius")</f>
        <v>Antonius</v>
      </c>
      <c r="B430" t="str">
        <f ca="1">IFERROR(__xludf.DUMMYFUNCTION("""COMPUTED_VALUE"""),"Azhari")</f>
        <v>Azhari</v>
      </c>
      <c r="C430" t="str">
        <f ca="1">IFERROR(__xludf.DUMMYFUNCTION("""COMPUTED_VALUE"""),"Azhari@ymailx.com")</f>
        <v>Azhari@ymailx.com</v>
      </c>
      <c r="D430" t="str">
        <f ca="1">IFERROR(__xludf.DUMMYFUNCTION("""COMPUTED_VALUE"""),"Banda Aceh")</f>
        <v>Banda Aceh</v>
      </c>
      <c r="E430" s="12">
        <f ca="1">IFERROR(__xludf.DUMMYFUNCTION("""COMPUTED_VALUE"""),42975)</f>
        <v>42975</v>
      </c>
      <c r="F430" t="str">
        <f ca="1">IFERROR(__xludf.DUMMYFUNCTION("""COMPUTED_VALUE"""),"KP0850FB")</f>
        <v>KP0850FB</v>
      </c>
      <c r="G430" s="11">
        <f ca="1">IFERROR(__xludf.DUMMYFUNCTION("""COMPUTED_VALUE"""),189000000)</f>
        <v>189000000</v>
      </c>
      <c r="H430">
        <f ca="1">IFERROR(__xludf.DUMMYFUNCTION("""COMPUTED_VALUE"""),35127)</f>
        <v>35127</v>
      </c>
      <c r="I430">
        <f ca="1">IFERROR(__xludf.DUMMYFUNCTION("""COMPUTED_VALUE"""),9)</f>
        <v>9</v>
      </c>
      <c r="J430">
        <f ca="1">IFERROR(__xludf.DUMMYFUNCTION("""COMPUTED_VALUE"""),5)</f>
        <v>5</v>
      </c>
      <c r="K430" t="str">
        <f ca="1">IFERROR(__xludf.DUMMYFUNCTION("""COMPUTED_VALUE"""),"Pru Logistic")</f>
        <v>Pru Logistic</v>
      </c>
      <c r="L430" t="str">
        <f ca="1">IFERROR(__xludf.DUMMYFUNCTION("""COMPUTED_VALUE"""),"Y")</f>
        <v>Y</v>
      </c>
      <c r="M430" t="str">
        <f ca="1">IFERROR(__xludf.DUMMYFUNCTION("""COMPUTED_VALUE"""),"Ok-101")</f>
        <v>Ok-101</v>
      </c>
    </row>
    <row r="431" spans="1:13" ht="12.5" x14ac:dyDescent="0.25">
      <c r="A431" t="str">
        <f ca="1">IFERROR(__xludf.DUMMYFUNCTION("""COMPUTED_VALUE"""),"Alan")</f>
        <v>Alan</v>
      </c>
      <c r="B431" t="str">
        <f ca="1">IFERROR(__xludf.DUMMYFUNCTION("""COMPUTED_VALUE"""),"Tioniwar")</f>
        <v>Tioniwar</v>
      </c>
      <c r="C431" t="str">
        <f ca="1">IFERROR(__xludf.DUMMYFUNCTION("""COMPUTED_VALUE"""),"Tioniwar@livex.com")</f>
        <v>Tioniwar@livex.com</v>
      </c>
      <c r="D431" t="str">
        <f ca="1">IFERROR(__xludf.DUMMYFUNCTION("""COMPUTED_VALUE"""),"Samarinda")</f>
        <v>Samarinda</v>
      </c>
      <c r="E431" s="12">
        <f ca="1">IFERROR(__xludf.DUMMYFUNCTION("""COMPUTED_VALUE"""),42975)</f>
        <v>42975</v>
      </c>
      <c r="F431" t="str">
        <f ca="1">IFERROR(__xludf.DUMMYFUNCTION("""COMPUTED_VALUE"""),"KP0350CF")</f>
        <v>KP0350CF</v>
      </c>
      <c r="G431" s="11">
        <f ca="1">IFERROR(__xludf.DUMMYFUNCTION("""COMPUTED_VALUE"""),70000000)</f>
        <v>70000000</v>
      </c>
      <c r="H431">
        <f ca="1">IFERROR(__xludf.DUMMYFUNCTION("""COMPUTED_VALUE"""),36844)</f>
        <v>36844</v>
      </c>
      <c r="I431">
        <f ca="1">IFERROR(__xludf.DUMMYFUNCTION("""COMPUTED_VALUE"""),2)</f>
        <v>2</v>
      </c>
      <c r="J431">
        <f ca="1">IFERROR(__xludf.DUMMYFUNCTION("""COMPUTED_VALUE"""),4)</f>
        <v>4</v>
      </c>
      <c r="K431" t="str">
        <f ca="1">IFERROR(__xludf.DUMMYFUNCTION("""COMPUTED_VALUE"""),"Wakanda Express")</f>
        <v>Wakanda Express</v>
      </c>
      <c r="L431" t="str">
        <f ca="1">IFERROR(__xludf.DUMMYFUNCTION("""COMPUTED_VALUE"""),"Y")</f>
        <v>Y</v>
      </c>
      <c r="M431" t="str">
        <f ca="1">IFERROR(__xludf.DUMMYFUNCTION("""COMPUTED_VALUE"""),"Ps-993")</f>
        <v>Ps-993</v>
      </c>
    </row>
    <row r="432" spans="1:13" ht="12.5" x14ac:dyDescent="0.25">
      <c r="A432" t="str">
        <f ca="1">IFERROR(__xludf.DUMMYFUNCTION("""COMPUTED_VALUE"""),"Madampath")</f>
        <v>Madampath</v>
      </c>
      <c r="B432" t="str">
        <f ca="1">IFERROR(__xludf.DUMMYFUNCTION("""COMPUTED_VALUE"""),"Arief")</f>
        <v>Arief</v>
      </c>
      <c r="C432" t="str">
        <f ca="1">IFERROR(__xludf.DUMMYFUNCTION("""COMPUTED_VALUE"""),"Madampath@icloudx.com")</f>
        <v>Madampath@icloudx.com</v>
      </c>
      <c r="D432" t="str">
        <f ca="1">IFERROR(__xludf.DUMMYFUNCTION("""COMPUTED_VALUE"""),"Yogyakarta")</f>
        <v>Yogyakarta</v>
      </c>
      <c r="E432" s="12">
        <f ca="1">IFERROR(__xludf.DUMMYFUNCTION("""COMPUTED_VALUE"""),42973)</f>
        <v>42973</v>
      </c>
      <c r="F432" t="str">
        <f ca="1">IFERROR(__xludf.DUMMYFUNCTION("""COMPUTED_VALUE"""),"KP0625AF")</f>
        <v>KP0625AF</v>
      </c>
      <c r="G432" s="11">
        <f ca="1">IFERROR(__xludf.DUMMYFUNCTION("""COMPUTED_VALUE"""),120000000)</f>
        <v>120000000</v>
      </c>
      <c r="H432">
        <f ca="1">IFERROR(__xludf.DUMMYFUNCTION("""COMPUTED_VALUE"""),35485)</f>
        <v>35485</v>
      </c>
      <c r="I432">
        <f ca="1">IFERROR(__xludf.DUMMYFUNCTION("""COMPUTED_VALUE"""),10)</f>
        <v>10</v>
      </c>
      <c r="J432">
        <f ca="1">IFERROR(__xludf.DUMMYFUNCTION("""COMPUTED_VALUE"""),4)</f>
        <v>4</v>
      </c>
      <c r="K432" t="str">
        <f ca="1">IFERROR(__xludf.DUMMYFUNCTION("""COMPUTED_VALUE"""),"Pru Logistic")</f>
        <v>Pru Logistic</v>
      </c>
      <c r="L432" t="str">
        <f ca="1">IFERROR(__xludf.DUMMYFUNCTION("""COMPUTED_VALUE"""),"Y")</f>
        <v>Y</v>
      </c>
      <c r="M432" t="str">
        <f ca="1">IFERROR(__xludf.DUMMYFUNCTION("""COMPUTED_VALUE"""),"Aq-444")</f>
        <v>Aq-444</v>
      </c>
    </row>
    <row r="433" spans="1:13" ht="12.5" x14ac:dyDescent="0.25">
      <c r="A433" t="str">
        <f ca="1">IFERROR(__xludf.DUMMYFUNCTION("""COMPUTED_VALUE"""),"Roger")</f>
        <v>Roger</v>
      </c>
      <c r="B433" t="str">
        <f ca="1">IFERROR(__xludf.DUMMYFUNCTION("""COMPUTED_VALUE"""),"Suliawan")</f>
        <v>Suliawan</v>
      </c>
      <c r="C433" t="str">
        <f ca="1">IFERROR(__xludf.DUMMYFUNCTION("""COMPUTED_VALUE"""),"Roger@ymailx.com")</f>
        <v>Roger@ymailx.com</v>
      </c>
      <c r="D433" t="str">
        <f ca="1">IFERROR(__xludf.DUMMYFUNCTION("""COMPUTED_VALUE"""),"Jakarta Pusat")</f>
        <v>Jakarta Pusat</v>
      </c>
      <c r="E433" s="12">
        <f ca="1">IFERROR(__xludf.DUMMYFUNCTION("""COMPUTED_VALUE"""),42972)</f>
        <v>42972</v>
      </c>
      <c r="F433" t="str">
        <f ca="1">IFERROR(__xludf.DUMMYFUNCTION("""COMPUTED_VALUE"""),"KP0425CB")</f>
        <v>KP0425CB</v>
      </c>
      <c r="G433" s="11">
        <f ca="1">IFERROR(__xludf.DUMMYFUNCTION("""COMPUTED_VALUE"""),163500000)</f>
        <v>163500000</v>
      </c>
      <c r="H433">
        <f ca="1">IFERROR(__xludf.DUMMYFUNCTION("""COMPUTED_VALUE"""),35371)</f>
        <v>35371</v>
      </c>
      <c r="I433">
        <f ca="1">IFERROR(__xludf.DUMMYFUNCTION("""COMPUTED_VALUE"""),6)</f>
        <v>6</v>
      </c>
      <c r="J433">
        <f ca="1">IFERROR(__xludf.DUMMYFUNCTION("""COMPUTED_VALUE"""),4)</f>
        <v>4</v>
      </c>
      <c r="K433" t="str">
        <f ca="1">IFERROR(__xludf.DUMMYFUNCTION("""COMPUTED_VALUE"""),"Cepat Kirim")</f>
        <v>Cepat Kirim</v>
      </c>
      <c r="L433" t="str">
        <f ca="1">IFERROR(__xludf.DUMMYFUNCTION("""COMPUTED_VALUE"""),"N")</f>
        <v>N</v>
      </c>
      <c r="M433" t="str">
        <f ca="1">IFERROR(__xludf.DUMMYFUNCTION("""COMPUTED_VALUE"""),"Bj-333")</f>
        <v>Bj-333</v>
      </c>
    </row>
    <row r="434" spans="1:13" ht="12.5" x14ac:dyDescent="0.25">
      <c r="A434" t="str">
        <f ca="1">IFERROR(__xludf.DUMMYFUNCTION("""COMPUTED_VALUE"""),"Elsa")</f>
        <v>Elsa</v>
      </c>
      <c r="B434" t="str">
        <f ca="1">IFERROR(__xludf.DUMMYFUNCTION("""COMPUTED_VALUE"""),"Mogi")</f>
        <v>Mogi</v>
      </c>
      <c r="C434" t="str">
        <f ca="1">IFERROR(__xludf.DUMMYFUNCTION("""COMPUTED_VALUE"""),"Elsa@livex.com")</f>
        <v>Elsa@livex.com</v>
      </c>
      <c r="D434" t="str">
        <f ca="1">IFERROR(__xludf.DUMMYFUNCTION("""COMPUTED_VALUE"""),"Tanjungbalai")</f>
        <v>Tanjungbalai</v>
      </c>
      <c r="E434" s="12">
        <f ca="1">IFERROR(__xludf.DUMMYFUNCTION("""COMPUTED_VALUE"""),42971)</f>
        <v>42971</v>
      </c>
      <c r="F434" t="str">
        <f ca="1">IFERROR(__xludf.DUMMYFUNCTION("""COMPUTED_VALUE"""),"KP0625AF")</f>
        <v>KP0625AF</v>
      </c>
      <c r="G434" s="11">
        <f ca="1">IFERROR(__xludf.DUMMYFUNCTION("""COMPUTED_VALUE"""),48000000)</f>
        <v>48000000</v>
      </c>
      <c r="H434">
        <f ca="1">IFERROR(__xludf.DUMMYFUNCTION("""COMPUTED_VALUE"""),36790)</f>
        <v>36790</v>
      </c>
      <c r="I434">
        <f ca="1">IFERROR(__xludf.DUMMYFUNCTION("""COMPUTED_VALUE"""),4)</f>
        <v>4</v>
      </c>
      <c r="J434">
        <f ca="1">IFERROR(__xludf.DUMMYFUNCTION("""COMPUTED_VALUE"""),2)</f>
        <v>2</v>
      </c>
      <c r="K434" t="str">
        <f ca="1">IFERROR(__xludf.DUMMYFUNCTION("""COMPUTED_VALUE"""),"Pru Logistic")</f>
        <v>Pru Logistic</v>
      </c>
      <c r="L434" t="str">
        <f ca="1">IFERROR(__xludf.DUMMYFUNCTION("""COMPUTED_VALUE"""),"Y")</f>
        <v>Y</v>
      </c>
      <c r="M434" t="str">
        <f ca="1">IFERROR(__xludf.DUMMYFUNCTION("""COMPUTED_VALUE"""),"Wi-662")</f>
        <v>Wi-662</v>
      </c>
    </row>
    <row r="435" spans="1:13" ht="12.5" x14ac:dyDescent="0.25">
      <c r="A435" t="str">
        <f ca="1">IFERROR(__xludf.DUMMYFUNCTION("""COMPUTED_VALUE"""),"Budijuwono")</f>
        <v>Budijuwono</v>
      </c>
      <c r="B435" t="str">
        <f ca="1">IFERROR(__xludf.DUMMYFUNCTION("""COMPUTED_VALUE"""),"Prasetyo")</f>
        <v>Prasetyo</v>
      </c>
      <c r="C435" t="str">
        <f ca="1">IFERROR(__xludf.DUMMYFUNCTION("""COMPUTED_VALUE"""),"BUDIJUWONO@livex.com")</f>
        <v>BUDIJUWONO@livex.com</v>
      </c>
      <c r="D435" t="str">
        <f ca="1">IFERROR(__xludf.DUMMYFUNCTION("""COMPUTED_VALUE"""),"Padang")</f>
        <v>Padang</v>
      </c>
      <c r="E435" s="12">
        <f ca="1">IFERROR(__xludf.DUMMYFUNCTION("""COMPUTED_VALUE"""),42969)</f>
        <v>42969</v>
      </c>
      <c r="F435" t="str">
        <f ca="1">IFERROR(__xludf.DUMMYFUNCTION("""COMPUTED_VALUE"""),"KP0750AJ")</f>
        <v>KP0750AJ</v>
      </c>
      <c r="G435" s="11">
        <f ca="1">IFERROR(__xludf.DUMMYFUNCTION("""COMPUTED_VALUE"""),36000000)</f>
        <v>36000000</v>
      </c>
      <c r="H435">
        <f ca="1">IFERROR(__xludf.DUMMYFUNCTION("""COMPUTED_VALUE"""),35887)</f>
        <v>35887</v>
      </c>
      <c r="I435">
        <f ca="1">IFERROR(__xludf.DUMMYFUNCTION("""COMPUTED_VALUE"""),2)</f>
        <v>2</v>
      </c>
      <c r="J435" t="str">
        <f ca="1">IFERROR(__xludf.DUMMYFUNCTION("""COMPUTED_VALUE"""),"N/A")</f>
        <v>N/A</v>
      </c>
      <c r="K435" t="str">
        <f ca="1">IFERROR(__xludf.DUMMYFUNCTION("""COMPUTED_VALUE"""),"Swift Delivery")</f>
        <v>Swift Delivery</v>
      </c>
      <c r="L435" t="str">
        <f ca="1">IFERROR(__xludf.DUMMYFUNCTION("""COMPUTED_VALUE"""),"Y")</f>
        <v>Y</v>
      </c>
      <c r="M435" t="str">
        <f ca="1">IFERROR(__xludf.DUMMYFUNCTION("""COMPUTED_VALUE"""),"Tn-559")</f>
        <v>Tn-559</v>
      </c>
    </row>
    <row r="436" spans="1:13" ht="12.5" x14ac:dyDescent="0.25">
      <c r="A436" t="str">
        <f ca="1">IFERROR(__xludf.DUMMYFUNCTION("""COMPUTED_VALUE"""),"Peter")</f>
        <v>Peter</v>
      </c>
      <c r="B436" t="str">
        <f ca="1">IFERROR(__xludf.DUMMYFUNCTION("""COMPUTED_VALUE"""),"Equity")</f>
        <v>Equity</v>
      </c>
      <c r="C436" t="str">
        <f ca="1">IFERROR(__xludf.DUMMYFUNCTION("""COMPUTED_VALUE"""),"EQUITY@outlookx.com")</f>
        <v>EQUITY@outlookx.com</v>
      </c>
      <c r="D436" t="str">
        <f ca="1">IFERROR(__xludf.DUMMYFUNCTION("""COMPUTED_VALUE"""),"Jakarta Timur")</f>
        <v>Jakarta Timur</v>
      </c>
      <c r="E436" s="12">
        <f ca="1">IFERROR(__xludf.DUMMYFUNCTION("""COMPUTED_VALUE"""),42966)</f>
        <v>42966</v>
      </c>
      <c r="F436" t="str">
        <f ca="1">IFERROR(__xludf.DUMMYFUNCTION("""COMPUTED_VALUE"""),"KP0625AF")</f>
        <v>KP0625AF</v>
      </c>
      <c r="G436" s="11">
        <f ca="1">IFERROR(__xludf.DUMMYFUNCTION("""COMPUTED_VALUE"""),48000000)</f>
        <v>48000000</v>
      </c>
      <c r="H436">
        <f ca="1">IFERROR(__xludf.DUMMYFUNCTION("""COMPUTED_VALUE"""),35517)</f>
        <v>35517</v>
      </c>
      <c r="I436">
        <f ca="1">IFERROR(__xludf.DUMMYFUNCTION("""COMPUTED_VALUE"""),4)</f>
        <v>4</v>
      </c>
      <c r="J436" t="str">
        <f ca="1">IFERROR(__xludf.DUMMYFUNCTION("""COMPUTED_VALUE"""),"N/A")</f>
        <v>N/A</v>
      </c>
      <c r="K436" t="str">
        <f ca="1">IFERROR(__xludf.DUMMYFUNCTION("""COMPUTED_VALUE"""),"Swift Delivery")</f>
        <v>Swift Delivery</v>
      </c>
      <c r="L436" t="str">
        <f ca="1">IFERROR(__xludf.DUMMYFUNCTION("""COMPUTED_VALUE"""),"N")</f>
        <v>N</v>
      </c>
      <c r="M436" t="str">
        <f ca="1">IFERROR(__xludf.DUMMYFUNCTION("""COMPUTED_VALUE"""),"Xh-333")</f>
        <v>Xh-333</v>
      </c>
    </row>
    <row r="437" spans="1:13" ht="12.5" x14ac:dyDescent="0.25">
      <c r="A437" t="str">
        <f ca="1">IFERROR(__xludf.DUMMYFUNCTION("""COMPUTED_VALUE"""),"Philip")</f>
        <v>Philip</v>
      </c>
      <c r="B437" t="str">
        <f ca="1">IFERROR(__xludf.DUMMYFUNCTION("""COMPUTED_VALUE"""),"Perkantoran")</f>
        <v>Perkantoran</v>
      </c>
      <c r="C437" t="str">
        <f ca="1">IFERROR(__xludf.DUMMYFUNCTION("""COMPUTED_VALUE"""),"PHILIP@livex.com")</f>
        <v>PHILIP@livex.com</v>
      </c>
      <c r="D437" t="str">
        <f ca="1">IFERROR(__xludf.DUMMYFUNCTION("""COMPUTED_VALUE"""),"Tual")</f>
        <v>Tual</v>
      </c>
      <c r="E437" s="12">
        <f ca="1">IFERROR(__xludf.DUMMYFUNCTION("""COMPUTED_VALUE"""),42966)</f>
        <v>42966</v>
      </c>
      <c r="F437" t="str">
        <f ca="1">IFERROR(__xludf.DUMMYFUNCTION("""COMPUTED_VALUE"""),"KP0425CB")</f>
        <v>KP0425CB</v>
      </c>
      <c r="G437" s="11">
        <f ca="1">IFERROR(__xludf.DUMMYFUNCTION("""COMPUTED_VALUE"""),81750000)</f>
        <v>81750000</v>
      </c>
      <c r="H437">
        <f ca="1">IFERROR(__xludf.DUMMYFUNCTION("""COMPUTED_VALUE"""),36832)</f>
        <v>36832</v>
      </c>
      <c r="I437">
        <f ca="1">IFERROR(__xludf.DUMMYFUNCTION("""COMPUTED_VALUE"""),3)</f>
        <v>3</v>
      </c>
      <c r="J437">
        <f ca="1">IFERROR(__xludf.DUMMYFUNCTION("""COMPUTED_VALUE"""),4)</f>
        <v>4</v>
      </c>
      <c r="K437" t="str">
        <f ca="1">IFERROR(__xludf.DUMMYFUNCTION("""COMPUTED_VALUE"""),"Pru Logistic")</f>
        <v>Pru Logistic</v>
      </c>
      <c r="L437" t="str">
        <f ca="1">IFERROR(__xludf.DUMMYFUNCTION("""COMPUTED_VALUE"""),"N")</f>
        <v>N</v>
      </c>
      <c r="M437" t="str">
        <f ca="1">IFERROR(__xludf.DUMMYFUNCTION("""COMPUTED_VALUE"""),"Rn-171")</f>
        <v>Rn-171</v>
      </c>
    </row>
    <row r="438" spans="1:13" ht="12.5" x14ac:dyDescent="0.25">
      <c r="A438" t="str">
        <f ca="1">IFERROR(__xludf.DUMMYFUNCTION("""COMPUTED_VALUE"""),"Ferry")</f>
        <v>Ferry</v>
      </c>
      <c r="B438" t="str">
        <f ca="1">IFERROR(__xludf.DUMMYFUNCTION("""COMPUTED_VALUE"""),"Ramchand")</f>
        <v>Ramchand</v>
      </c>
      <c r="C438" t="str">
        <f ca="1">IFERROR(__xludf.DUMMYFUNCTION("""COMPUTED_VALUE"""),"Ferry@gmailx.com")</f>
        <v>Ferry@gmailx.com</v>
      </c>
      <c r="D438" t="str">
        <f ca="1">IFERROR(__xludf.DUMMYFUNCTION("""COMPUTED_VALUE"""),"Tanjungbalai")</f>
        <v>Tanjungbalai</v>
      </c>
      <c r="E438" s="12">
        <f ca="1">IFERROR(__xludf.DUMMYFUNCTION("""COMPUTED_VALUE"""),42966)</f>
        <v>42966</v>
      </c>
      <c r="F438" t="str">
        <f ca="1">IFERROR(__xludf.DUMMYFUNCTION("""COMPUTED_VALUE"""),"KP0625AF")</f>
        <v>KP0625AF</v>
      </c>
      <c r="G438" s="11">
        <f ca="1">IFERROR(__xludf.DUMMYFUNCTION("""COMPUTED_VALUE"""),108000000)</f>
        <v>108000000</v>
      </c>
      <c r="H438">
        <f ca="1">IFERROR(__xludf.DUMMYFUNCTION("""COMPUTED_VALUE"""),35899)</f>
        <v>35899</v>
      </c>
      <c r="I438">
        <f ca="1">IFERROR(__xludf.DUMMYFUNCTION("""COMPUTED_VALUE"""),9)</f>
        <v>9</v>
      </c>
      <c r="J438">
        <f ca="1">IFERROR(__xludf.DUMMYFUNCTION("""COMPUTED_VALUE"""),3)</f>
        <v>3</v>
      </c>
      <c r="K438" t="str">
        <f ca="1">IFERROR(__xludf.DUMMYFUNCTION("""COMPUTED_VALUE"""),"Cepat Kirim")</f>
        <v>Cepat Kirim</v>
      </c>
      <c r="L438" t="str">
        <f ca="1">IFERROR(__xludf.DUMMYFUNCTION("""COMPUTED_VALUE"""),"Y")</f>
        <v>Y</v>
      </c>
      <c r="M438" t="str">
        <f ca="1">IFERROR(__xludf.DUMMYFUNCTION("""COMPUTED_VALUE"""),"Eh-662")</f>
        <v>Eh-662</v>
      </c>
    </row>
    <row r="439" spans="1:13" ht="12.5" x14ac:dyDescent="0.25">
      <c r="A439" t="str">
        <f ca="1">IFERROR(__xludf.DUMMYFUNCTION("""COMPUTED_VALUE"""),"Vivian")</f>
        <v>Vivian</v>
      </c>
      <c r="B439" t="str">
        <f ca="1">IFERROR(__xludf.DUMMYFUNCTION("""COMPUTED_VALUE"""),"Kent")</f>
        <v>Kent</v>
      </c>
      <c r="C439" t="str">
        <f ca="1">IFERROR(__xludf.DUMMYFUNCTION("""COMPUTED_VALUE"""),"Kent@icloudx.com")</f>
        <v>Kent@icloudx.com</v>
      </c>
      <c r="D439" t="str">
        <f ca="1">IFERROR(__xludf.DUMMYFUNCTION("""COMPUTED_VALUE"""),"Tanjungbalai")</f>
        <v>Tanjungbalai</v>
      </c>
      <c r="E439" s="12">
        <f ca="1">IFERROR(__xludf.DUMMYFUNCTION("""COMPUTED_VALUE"""),42966)</f>
        <v>42966</v>
      </c>
      <c r="F439" t="str">
        <f ca="1">IFERROR(__xludf.DUMMYFUNCTION("""COMPUTED_VALUE"""),"KP0350CF")</f>
        <v>KP0350CF</v>
      </c>
      <c r="G439" s="11">
        <f ca="1">IFERROR(__xludf.DUMMYFUNCTION("""COMPUTED_VALUE"""),280000000)</f>
        <v>280000000</v>
      </c>
      <c r="H439">
        <f ca="1">IFERROR(__xludf.DUMMYFUNCTION("""COMPUTED_VALUE"""),36235)</f>
        <v>36235</v>
      </c>
      <c r="I439">
        <f ca="1">IFERROR(__xludf.DUMMYFUNCTION("""COMPUTED_VALUE"""),8)</f>
        <v>8</v>
      </c>
      <c r="J439">
        <f ca="1">IFERROR(__xludf.DUMMYFUNCTION("""COMPUTED_VALUE"""),4)</f>
        <v>4</v>
      </c>
      <c r="K439" t="str">
        <f ca="1">IFERROR(__xludf.DUMMYFUNCTION("""COMPUTED_VALUE"""),"#N/A")</f>
        <v>#N/A</v>
      </c>
      <c r="L439" t="str">
        <f ca="1">IFERROR(__xludf.DUMMYFUNCTION("""COMPUTED_VALUE"""),"N")</f>
        <v>N</v>
      </c>
      <c r="M439" t="str">
        <f ca="1">IFERROR(__xludf.DUMMYFUNCTION("""COMPUTED_VALUE"""),"Qa-662")</f>
        <v>Qa-662</v>
      </c>
    </row>
    <row r="440" spans="1:13" ht="12.5" x14ac:dyDescent="0.25">
      <c r="A440" t="str">
        <f ca="1">IFERROR(__xludf.DUMMYFUNCTION("""COMPUTED_VALUE"""),"Kompleks")</f>
        <v>Kompleks</v>
      </c>
      <c r="B440" t="str">
        <f ca="1">IFERROR(__xludf.DUMMYFUNCTION("""COMPUTED_VALUE"""),"Rusming")</f>
        <v>Rusming</v>
      </c>
      <c r="C440" t="str">
        <f ca="1">IFERROR(__xludf.DUMMYFUNCTION("""COMPUTED_VALUE"""),"Kompleks@ymailx.com")</f>
        <v>Kompleks@ymailx.com</v>
      </c>
      <c r="D440" t="str">
        <f ca="1">IFERROR(__xludf.DUMMYFUNCTION("""COMPUTED_VALUE"""),"Depok")</f>
        <v>Depok</v>
      </c>
      <c r="E440" s="12">
        <f ca="1">IFERROR(__xludf.DUMMYFUNCTION("""COMPUTED_VALUE"""),42964)</f>
        <v>42964</v>
      </c>
      <c r="F440" t="str">
        <f ca="1">IFERROR(__xludf.DUMMYFUNCTION("""COMPUTED_VALUE"""),"KP0850FB")</f>
        <v>KP0850FB</v>
      </c>
      <c r="G440" s="11">
        <f ca="1">IFERROR(__xludf.DUMMYFUNCTION("""COMPUTED_VALUE"""),126000000)</f>
        <v>126000000</v>
      </c>
      <c r="H440">
        <f ca="1">IFERROR(__xludf.DUMMYFUNCTION("""COMPUTED_VALUE"""),35448)</f>
        <v>35448</v>
      </c>
      <c r="I440">
        <f ca="1">IFERROR(__xludf.DUMMYFUNCTION("""COMPUTED_VALUE"""),6)</f>
        <v>6</v>
      </c>
      <c r="J440" t="str">
        <f ca="1">IFERROR(__xludf.DUMMYFUNCTION("""COMPUTED_VALUE"""),"N/A")</f>
        <v>N/A</v>
      </c>
      <c r="K440" t="str">
        <f ca="1">IFERROR(__xludf.DUMMYFUNCTION("""COMPUTED_VALUE"""),"Wakanda Express")</f>
        <v>Wakanda Express</v>
      </c>
      <c r="L440" t="str">
        <f ca="1">IFERROR(__xludf.DUMMYFUNCTION("""COMPUTED_VALUE"""),"Y")</f>
        <v>Y</v>
      </c>
      <c r="M440" t="str">
        <f ca="1">IFERROR(__xludf.DUMMYFUNCTION("""COMPUTED_VALUE"""),"Zr-409")</f>
        <v>Zr-409</v>
      </c>
    </row>
    <row r="441" spans="1:13" ht="12.5" x14ac:dyDescent="0.25">
      <c r="A441" t="str">
        <f ca="1">IFERROR(__xludf.DUMMYFUNCTION("""COMPUTED_VALUE"""),"Sugun")</f>
        <v>Sugun</v>
      </c>
      <c r="B441" t="str">
        <f ca="1">IFERROR(__xludf.DUMMYFUNCTION("""COMPUTED_VALUE"""),"Donald")</f>
        <v>Donald</v>
      </c>
      <c r="C441" t="str">
        <f ca="1">IFERROR(__xludf.DUMMYFUNCTION("""COMPUTED_VALUE"""),"Sugun@mex.com")</f>
        <v>Sugun@mex.com</v>
      </c>
      <c r="D441" t="str">
        <f ca="1">IFERROR(__xludf.DUMMYFUNCTION("""COMPUTED_VALUE"""),"Bontang")</f>
        <v>Bontang</v>
      </c>
      <c r="E441" s="12">
        <f ca="1">IFERROR(__xludf.DUMMYFUNCTION("""COMPUTED_VALUE"""),42963)</f>
        <v>42963</v>
      </c>
      <c r="F441" t="str">
        <f ca="1">IFERROR(__xludf.DUMMYFUNCTION("""COMPUTED_VALUE"""),"KP0425CB")</f>
        <v>KP0425CB</v>
      </c>
      <c r="G441" s="11">
        <f ca="1">IFERROR(__xludf.DUMMYFUNCTION("""COMPUTED_VALUE"""),136250000)</f>
        <v>136250000</v>
      </c>
      <c r="H441">
        <f ca="1">IFERROR(__xludf.DUMMYFUNCTION("""COMPUTED_VALUE"""),36320)</f>
        <v>36320</v>
      </c>
      <c r="I441">
        <f ca="1">IFERROR(__xludf.DUMMYFUNCTION("""COMPUTED_VALUE"""),5)</f>
        <v>5</v>
      </c>
      <c r="J441" t="str">
        <f ca="1">IFERROR(__xludf.DUMMYFUNCTION("""COMPUTED_VALUE"""),"N/A")</f>
        <v>N/A</v>
      </c>
      <c r="K441" t="str">
        <f ca="1">IFERROR(__xludf.DUMMYFUNCTION("""COMPUTED_VALUE"""),"Wakanda Express")</f>
        <v>Wakanda Express</v>
      </c>
      <c r="L441" t="str">
        <f ca="1">IFERROR(__xludf.DUMMYFUNCTION("""COMPUTED_VALUE"""),"N")</f>
        <v>N</v>
      </c>
      <c r="M441" t="str">
        <f ca="1">IFERROR(__xludf.DUMMYFUNCTION("""COMPUTED_VALUE"""),"Jc-993")</f>
        <v>Jc-993</v>
      </c>
    </row>
    <row r="442" spans="1:13" ht="12.5" x14ac:dyDescent="0.25">
      <c r="A442" t="str">
        <f ca="1">IFERROR(__xludf.DUMMYFUNCTION("""COMPUTED_VALUE"""),"Reimer")</f>
        <v>Reimer</v>
      </c>
      <c r="B442" t="str">
        <f ca="1">IFERROR(__xludf.DUMMYFUNCTION("""COMPUTED_VALUE"""),"Rahman")</f>
        <v>Rahman</v>
      </c>
      <c r="C442" t="str">
        <f ca="1">IFERROR(__xludf.DUMMYFUNCTION("""COMPUTED_VALUE"""),"Reimer@ymailx.com")</f>
        <v>Reimer@ymailx.com</v>
      </c>
      <c r="D442" t="str">
        <f ca="1">IFERROR(__xludf.DUMMYFUNCTION("""COMPUTED_VALUE"""),"Pariaman")</f>
        <v>Pariaman</v>
      </c>
      <c r="E442" s="12">
        <f ca="1">IFERROR(__xludf.DUMMYFUNCTION("""COMPUTED_VALUE"""),42963)</f>
        <v>42963</v>
      </c>
      <c r="F442" t="str">
        <f ca="1">IFERROR(__xludf.DUMMYFUNCTION("""COMPUTED_VALUE"""),"KP0350CF")</f>
        <v>KP0350CF</v>
      </c>
      <c r="G442" s="11">
        <f ca="1">IFERROR(__xludf.DUMMYFUNCTION("""COMPUTED_VALUE"""),70000000)</f>
        <v>70000000</v>
      </c>
      <c r="H442">
        <f ca="1">IFERROR(__xludf.DUMMYFUNCTION("""COMPUTED_VALUE"""),36546)</f>
        <v>36546</v>
      </c>
      <c r="I442">
        <f ca="1">IFERROR(__xludf.DUMMYFUNCTION("""COMPUTED_VALUE"""),2)</f>
        <v>2</v>
      </c>
      <c r="J442" t="str">
        <f ca="1">IFERROR(__xludf.DUMMYFUNCTION("""COMPUTED_VALUE"""),"N/A")</f>
        <v>N/A</v>
      </c>
      <c r="K442" t="str">
        <f ca="1">IFERROR(__xludf.DUMMYFUNCTION("""COMPUTED_VALUE"""),"Cepat Kirim")</f>
        <v>Cepat Kirim</v>
      </c>
      <c r="L442" t="str">
        <f ca="1">IFERROR(__xludf.DUMMYFUNCTION("""COMPUTED_VALUE"""),"N")</f>
        <v>N</v>
      </c>
      <c r="M442" t="str">
        <f ca="1">IFERROR(__xludf.DUMMYFUNCTION("""COMPUTED_VALUE"""),"Fm-559")</f>
        <v>Fm-559</v>
      </c>
    </row>
    <row r="443" spans="1:13" ht="12.5" x14ac:dyDescent="0.25">
      <c r="A443" t="str">
        <f ca="1">IFERROR(__xludf.DUMMYFUNCTION("""COMPUTED_VALUE"""),"Danny")</f>
        <v>Danny</v>
      </c>
      <c r="B443" t="str">
        <f ca="1">IFERROR(__xludf.DUMMYFUNCTION("""COMPUTED_VALUE"""),"Budhi")</f>
        <v>Budhi</v>
      </c>
      <c r="C443" t="str">
        <f ca="1">IFERROR(__xludf.DUMMYFUNCTION("""COMPUTED_VALUE"""),"Budhi@ymailx.com")</f>
        <v>Budhi@ymailx.com</v>
      </c>
      <c r="D443" t="str">
        <f ca="1">IFERROR(__xludf.DUMMYFUNCTION("""COMPUTED_VALUE"""),"Makassar")</f>
        <v>Makassar</v>
      </c>
      <c r="E443" s="12">
        <f ca="1">IFERROR(__xludf.DUMMYFUNCTION("""COMPUTED_VALUE"""),42961)</f>
        <v>42961</v>
      </c>
      <c r="F443" t="str">
        <f ca="1">IFERROR(__xludf.DUMMYFUNCTION("""COMPUTED_VALUE"""),"KP0850FB")</f>
        <v>KP0850FB</v>
      </c>
      <c r="G443" s="11">
        <f ca="1">IFERROR(__xludf.DUMMYFUNCTION("""COMPUTED_VALUE"""),189000000)</f>
        <v>189000000</v>
      </c>
      <c r="H443">
        <f ca="1">IFERROR(__xludf.DUMMYFUNCTION("""COMPUTED_VALUE"""),35633)</f>
        <v>35633</v>
      </c>
      <c r="I443">
        <f ca="1">IFERROR(__xludf.DUMMYFUNCTION("""COMPUTED_VALUE"""),9)</f>
        <v>9</v>
      </c>
      <c r="J443">
        <f ca="1">IFERROR(__xludf.DUMMYFUNCTION("""COMPUTED_VALUE"""),4)</f>
        <v>4</v>
      </c>
      <c r="K443" t="str">
        <f ca="1">IFERROR(__xludf.DUMMYFUNCTION("""COMPUTED_VALUE"""),"JENT")</f>
        <v>JENT</v>
      </c>
      <c r="L443" t="str">
        <f ca="1">IFERROR(__xludf.DUMMYFUNCTION("""COMPUTED_VALUE"""),"Y")</f>
        <v>Y</v>
      </c>
      <c r="M443" t="str">
        <f ca="1">IFERROR(__xludf.DUMMYFUNCTION("""COMPUTED_VALUE"""),"Rx-290")</f>
        <v>Rx-290</v>
      </c>
    </row>
    <row r="444" spans="1:13" ht="12.5" x14ac:dyDescent="0.25">
      <c r="A444" t="str">
        <f ca="1">IFERROR(__xludf.DUMMYFUNCTION("""COMPUTED_VALUE"""),"Aminoto")</f>
        <v>Aminoto</v>
      </c>
      <c r="B444" t="str">
        <f ca="1">IFERROR(__xludf.DUMMYFUNCTION("""COMPUTED_VALUE"""),"Siswanto")</f>
        <v>Siswanto</v>
      </c>
      <c r="C444" t="str">
        <f ca="1">IFERROR(__xludf.DUMMYFUNCTION("""COMPUTED_VALUE"""),"Siswanto@ymailx.com")</f>
        <v>Siswanto@ymailx.com</v>
      </c>
      <c r="D444" t="str">
        <f ca="1">IFERROR(__xludf.DUMMYFUNCTION("""COMPUTED_VALUE"""),"Metro")</f>
        <v>Metro</v>
      </c>
      <c r="E444" s="12">
        <f ca="1">IFERROR(__xludf.DUMMYFUNCTION("""COMPUTED_VALUE"""),43016)</f>
        <v>43016</v>
      </c>
      <c r="F444" t="str">
        <f ca="1">IFERROR(__xludf.DUMMYFUNCTION("""COMPUTED_VALUE"""),"KP0350CF")</f>
        <v>KP0350CF</v>
      </c>
      <c r="G444" s="11">
        <f ca="1">IFERROR(__xludf.DUMMYFUNCTION("""COMPUTED_VALUE"""),140000000)</f>
        <v>140000000</v>
      </c>
      <c r="H444">
        <f ca="1">IFERROR(__xludf.DUMMYFUNCTION("""COMPUTED_VALUE"""),35250)</f>
        <v>35250</v>
      </c>
      <c r="I444">
        <f ca="1">IFERROR(__xludf.DUMMYFUNCTION("""COMPUTED_VALUE"""),4)</f>
        <v>4</v>
      </c>
      <c r="J444" t="str">
        <f ca="1">IFERROR(__xludf.DUMMYFUNCTION("""COMPUTED_VALUE"""),"N/A")</f>
        <v>N/A</v>
      </c>
      <c r="K444" t="str">
        <f ca="1">IFERROR(__xludf.DUMMYFUNCTION("""COMPUTED_VALUE"""),"JENT")</f>
        <v>JENT</v>
      </c>
      <c r="L444" t="str">
        <f ca="1">IFERROR(__xludf.DUMMYFUNCTION("""COMPUTED_VALUE"""),"Y")</f>
        <v>Y</v>
      </c>
      <c r="M444" t="str">
        <f ca="1">IFERROR(__xludf.DUMMYFUNCTION("""COMPUTED_VALUE"""),"Ec-150")</f>
        <v>Ec-150</v>
      </c>
    </row>
    <row r="445" spans="1:13" ht="12.5" x14ac:dyDescent="0.25">
      <c r="A445" t="str">
        <f ca="1">IFERROR(__xludf.DUMMYFUNCTION("""COMPUTED_VALUE"""),"Sacheen")</f>
        <v>Sacheen</v>
      </c>
      <c r="B445" t="str">
        <f ca="1">IFERROR(__xludf.DUMMYFUNCTION("""COMPUTED_VALUE"""),"Aminah")</f>
        <v>Aminah</v>
      </c>
      <c r="C445" t="str">
        <f ca="1">IFERROR(__xludf.DUMMYFUNCTION("""COMPUTED_VALUE"""),"Aminah@mex.com")</f>
        <v>Aminah@mex.com</v>
      </c>
      <c r="D445" t="str">
        <f ca="1">IFERROR(__xludf.DUMMYFUNCTION("""COMPUTED_VALUE"""),"Palopo")</f>
        <v>Palopo</v>
      </c>
      <c r="E445" s="12">
        <f ca="1">IFERROR(__xludf.DUMMYFUNCTION("""COMPUTED_VALUE"""),42986)</f>
        <v>42986</v>
      </c>
      <c r="F445" t="str">
        <f ca="1">IFERROR(__xludf.DUMMYFUNCTION("""COMPUTED_VALUE"""),"KP0350CF")</f>
        <v>KP0350CF</v>
      </c>
      <c r="G445" s="11">
        <f ca="1">IFERROR(__xludf.DUMMYFUNCTION("""COMPUTED_VALUE"""),315000000)</f>
        <v>315000000</v>
      </c>
      <c r="H445">
        <f ca="1">IFERROR(__xludf.DUMMYFUNCTION("""COMPUTED_VALUE"""),35209)</f>
        <v>35209</v>
      </c>
      <c r="I445">
        <f ca="1">IFERROR(__xludf.DUMMYFUNCTION("""COMPUTED_VALUE"""),9)</f>
        <v>9</v>
      </c>
      <c r="J445" t="str">
        <f ca="1">IFERROR(__xludf.DUMMYFUNCTION("""COMPUTED_VALUE"""),"N/A")</f>
        <v>N/A</v>
      </c>
      <c r="K445" t="str">
        <f ca="1">IFERROR(__xludf.DUMMYFUNCTION("""COMPUTED_VALUE"""),"Cepat Kirim")</f>
        <v>Cepat Kirim</v>
      </c>
      <c r="L445" t="str">
        <f ca="1">IFERROR(__xludf.DUMMYFUNCTION("""COMPUTED_VALUE"""),"N")</f>
        <v>N</v>
      </c>
      <c r="M445" t="str">
        <f ca="1">IFERROR(__xludf.DUMMYFUNCTION("""COMPUTED_VALUE"""),"Ov-290")</f>
        <v>Ov-290</v>
      </c>
    </row>
    <row r="446" spans="1:13" ht="12.5" x14ac:dyDescent="0.25">
      <c r="A446" t="str">
        <f ca="1">IFERROR(__xludf.DUMMYFUNCTION("""COMPUTED_VALUE"""),"Henry")</f>
        <v>Henry</v>
      </c>
      <c r="B446" t="str">
        <f ca="1">IFERROR(__xludf.DUMMYFUNCTION("""COMPUTED_VALUE"""),"Limardo")</f>
        <v>Limardo</v>
      </c>
      <c r="C446" t="str">
        <f ca="1">IFERROR(__xludf.DUMMYFUNCTION("""COMPUTED_VALUE"""),"HENRY@gmailx.com")</f>
        <v>HENRY@gmailx.com</v>
      </c>
      <c r="D446" t="str">
        <f ca="1">IFERROR(__xludf.DUMMYFUNCTION("""COMPUTED_VALUE"""),"Ternate")</f>
        <v>Ternate</v>
      </c>
      <c r="E446" s="12">
        <f ca="1">IFERROR(__xludf.DUMMYFUNCTION("""COMPUTED_VALUE"""),42986)</f>
        <v>42986</v>
      </c>
      <c r="F446" t="str">
        <f ca="1">IFERROR(__xludf.DUMMYFUNCTION("""COMPUTED_VALUE"""),"KP0150BH")</f>
        <v>KP0150BH</v>
      </c>
      <c r="G446" s="11">
        <f ca="1">IFERROR(__xludf.DUMMYFUNCTION("""COMPUTED_VALUE"""),108000000)</f>
        <v>108000000</v>
      </c>
      <c r="H446">
        <f ca="1">IFERROR(__xludf.DUMMYFUNCTION("""COMPUTED_VALUE"""),36550)</f>
        <v>36550</v>
      </c>
      <c r="I446">
        <f ca="1">IFERROR(__xludf.DUMMYFUNCTION("""COMPUTED_VALUE"""),4)</f>
        <v>4</v>
      </c>
      <c r="J446" t="str">
        <f ca="1">IFERROR(__xludf.DUMMYFUNCTION("""COMPUTED_VALUE"""),"N/A")</f>
        <v>N/A</v>
      </c>
      <c r="K446" t="str">
        <f ca="1">IFERROR(__xludf.DUMMYFUNCTION("""COMPUTED_VALUE"""),"JENT")</f>
        <v>JENT</v>
      </c>
      <c r="L446" t="str">
        <f ca="1">IFERROR(__xludf.DUMMYFUNCTION("""COMPUTED_VALUE"""),"Y")</f>
        <v>Y</v>
      </c>
      <c r="M446" t="str">
        <f ca="1">IFERROR(__xludf.DUMMYFUNCTION("""COMPUTED_VALUE"""),"Fh-160")</f>
        <v>Fh-160</v>
      </c>
    </row>
    <row r="447" spans="1:13" ht="12.5" x14ac:dyDescent="0.25">
      <c r="A447" t="str">
        <f ca="1">IFERROR(__xludf.DUMMYFUNCTION("""COMPUTED_VALUE"""),"Indra")</f>
        <v>Indra</v>
      </c>
      <c r="B447" t="str">
        <f ca="1">IFERROR(__xludf.DUMMYFUNCTION("""COMPUTED_VALUE"""),"Kentjanawati")</f>
        <v>Kentjanawati</v>
      </c>
      <c r="C447" t="str">
        <f ca="1">IFERROR(__xludf.DUMMYFUNCTION("""COMPUTED_VALUE"""),"Kentjanawati@gmailx.com")</f>
        <v>Kentjanawati@gmailx.com</v>
      </c>
      <c r="D447" t="str">
        <f ca="1">IFERROR(__xludf.DUMMYFUNCTION("""COMPUTED_VALUE"""),"Subulussalam")</f>
        <v>Subulussalam</v>
      </c>
      <c r="E447" s="12">
        <f ca="1">IFERROR(__xludf.DUMMYFUNCTION("""COMPUTED_VALUE"""),42955)</f>
        <v>42955</v>
      </c>
      <c r="F447" t="str">
        <f ca="1">IFERROR(__xludf.DUMMYFUNCTION("""COMPUTED_VALUE"""),"KP0225BB")</f>
        <v>KP0225BB</v>
      </c>
      <c r="G447" s="11">
        <f ca="1">IFERROR(__xludf.DUMMYFUNCTION("""COMPUTED_VALUE"""),40000000)</f>
        <v>40000000</v>
      </c>
      <c r="H447">
        <f ca="1">IFERROR(__xludf.DUMMYFUNCTION("""COMPUTED_VALUE"""),36617)</f>
        <v>36617</v>
      </c>
      <c r="I447">
        <f ca="1">IFERROR(__xludf.DUMMYFUNCTION("""COMPUTED_VALUE"""),4)</f>
        <v>4</v>
      </c>
      <c r="J447">
        <f ca="1">IFERROR(__xludf.DUMMYFUNCTION("""COMPUTED_VALUE"""),4)</f>
        <v>4</v>
      </c>
      <c r="K447" t="str">
        <f ca="1">IFERROR(__xludf.DUMMYFUNCTION("""COMPUTED_VALUE"""),"Swift Delivery")</f>
        <v>Swift Delivery</v>
      </c>
      <c r="L447" t="str">
        <f ca="1">IFERROR(__xludf.DUMMYFUNCTION("""COMPUTED_VALUE"""),"Y")</f>
        <v>Y</v>
      </c>
      <c r="M447" t="str">
        <f ca="1">IFERROR(__xludf.DUMMYFUNCTION("""COMPUTED_VALUE"""),"Xj-101")</f>
        <v>Xj-101</v>
      </c>
    </row>
    <row r="448" spans="1:13" ht="12.5" x14ac:dyDescent="0.25">
      <c r="A448" t="str">
        <f ca="1">IFERROR(__xludf.DUMMYFUNCTION("""COMPUTED_VALUE"""),"Jamin")</f>
        <v>Jamin</v>
      </c>
      <c r="B448" t="str">
        <f ca="1">IFERROR(__xludf.DUMMYFUNCTION("""COMPUTED_VALUE"""),"Gelael")</f>
        <v>Gelael</v>
      </c>
      <c r="C448" t="str">
        <f ca="1">IFERROR(__xludf.DUMMYFUNCTION("""COMPUTED_VALUE"""),"Gelael@gmailx.com")</f>
        <v>Gelael@gmailx.com</v>
      </c>
      <c r="D448" t="str">
        <f ca="1">IFERROR(__xludf.DUMMYFUNCTION("""COMPUTED_VALUE"""),"Pekanbaru")</f>
        <v>Pekanbaru</v>
      </c>
      <c r="E448" s="12">
        <f ca="1">IFERROR(__xludf.DUMMYFUNCTION("""COMPUTED_VALUE"""),42924)</f>
        <v>42924</v>
      </c>
      <c r="F448" t="str">
        <f ca="1">IFERROR(__xludf.DUMMYFUNCTION("""COMPUTED_VALUE"""),"KP0750AJ")</f>
        <v>KP0750AJ</v>
      </c>
      <c r="G448" s="11">
        <f ca="1">IFERROR(__xludf.DUMMYFUNCTION("""COMPUTED_VALUE"""),90000000)</f>
        <v>90000000</v>
      </c>
      <c r="H448">
        <f ca="1">IFERROR(__xludf.DUMMYFUNCTION("""COMPUTED_VALUE"""),36389)</f>
        <v>36389</v>
      </c>
      <c r="I448">
        <f ca="1">IFERROR(__xludf.DUMMYFUNCTION("""COMPUTED_VALUE"""),5)</f>
        <v>5</v>
      </c>
      <c r="J448">
        <f ca="1">IFERROR(__xludf.DUMMYFUNCTION("""COMPUTED_VALUE"""),3)</f>
        <v>3</v>
      </c>
      <c r="K448" t="str">
        <f ca="1">IFERROR(__xludf.DUMMYFUNCTION("""COMPUTED_VALUE"""),"Wakanda Express")</f>
        <v>Wakanda Express</v>
      </c>
      <c r="L448" t="str">
        <f ca="1">IFERROR(__xludf.DUMMYFUNCTION("""COMPUTED_VALUE"""),"Y")</f>
        <v>Y</v>
      </c>
      <c r="M448" t="str">
        <f ca="1">IFERROR(__xludf.DUMMYFUNCTION("""COMPUTED_VALUE"""),"Lp-222")</f>
        <v>Lp-222</v>
      </c>
    </row>
    <row r="449" spans="1:13" ht="12.5" x14ac:dyDescent="0.25">
      <c r="A449" t="str">
        <f ca="1">IFERROR(__xludf.DUMMYFUNCTION("""COMPUTED_VALUE"""),"Fas")</f>
        <v>Fas</v>
      </c>
      <c r="B449" t="str">
        <f ca="1">IFERROR(__xludf.DUMMYFUNCTION("""COMPUTED_VALUE"""),"Pramudyo")</f>
        <v>Pramudyo</v>
      </c>
      <c r="C449" t="str">
        <f ca="1">IFERROR(__xludf.DUMMYFUNCTION("""COMPUTED_VALUE"""),"Pramudyo@icloudx.com")</f>
        <v>Pramudyo@icloudx.com</v>
      </c>
      <c r="D449" t="str">
        <f ca="1">IFERROR(__xludf.DUMMYFUNCTION("""COMPUTED_VALUE"""),"Kediri")</f>
        <v>Kediri</v>
      </c>
      <c r="E449" s="12">
        <f ca="1">IFERROR(__xludf.DUMMYFUNCTION("""COMPUTED_VALUE"""),42924)</f>
        <v>42924</v>
      </c>
      <c r="F449" t="str">
        <f ca="1">IFERROR(__xludf.DUMMYFUNCTION("""COMPUTED_VALUE"""),"KP0625AF")</f>
        <v>KP0625AF</v>
      </c>
      <c r="G449" s="11">
        <f ca="1">IFERROR(__xludf.DUMMYFUNCTION("""COMPUTED_VALUE"""),60000000)</f>
        <v>60000000</v>
      </c>
      <c r="H449">
        <f ca="1">IFERROR(__xludf.DUMMYFUNCTION("""COMPUTED_VALUE"""),36008)</f>
        <v>36008</v>
      </c>
      <c r="I449">
        <f ca="1">IFERROR(__xludf.DUMMYFUNCTION("""COMPUTED_VALUE"""),5)</f>
        <v>5</v>
      </c>
      <c r="J449" t="str">
        <f ca="1">IFERROR(__xludf.DUMMYFUNCTION("""COMPUTED_VALUE"""),"N/A")</f>
        <v>N/A</v>
      </c>
      <c r="K449" t="str">
        <f ca="1">IFERROR(__xludf.DUMMYFUNCTION("""COMPUTED_VALUE"""),"Wakanda Express")</f>
        <v>Wakanda Express</v>
      </c>
      <c r="L449" t="str">
        <f ca="1">IFERROR(__xludf.DUMMYFUNCTION("""COMPUTED_VALUE"""),"Y")</f>
        <v>Y</v>
      </c>
      <c r="M449" t="str">
        <f ca="1">IFERROR(__xludf.DUMMYFUNCTION("""COMPUTED_VALUE"""),"Qs-123")</f>
        <v>Qs-123</v>
      </c>
    </row>
    <row r="450" spans="1:13" ht="12.5" x14ac:dyDescent="0.25">
      <c r="A450" t="str">
        <f ca="1">IFERROR(__xludf.DUMMYFUNCTION("""COMPUTED_VALUE"""),"Angus")</f>
        <v>Angus</v>
      </c>
      <c r="B450" t="str">
        <f ca="1">IFERROR(__xludf.DUMMYFUNCTION("""COMPUTED_VALUE"""),"Kadarachman")</f>
        <v>Kadarachman</v>
      </c>
      <c r="C450" t="str">
        <f ca="1">IFERROR(__xludf.DUMMYFUNCTION("""COMPUTED_VALUE"""),"Kadarachman@livex.com")</f>
        <v>Kadarachman@livex.com</v>
      </c>
      <c r="D450" t="str">
        <f ca="1">IFERROR(__xludf.DUMMYFUNCTION("""COMPUTED_VALUE"""),"Sorong")</f>
        <v>Sorong</v>
      </c>
      <c r="E450" s="12">
        <f ca="1">IFERROR(__xludf.DUMMYFUNCTION("""COMPUTED_VALUE"""),42894)</f>
        <v>42894</v>
      </c>
      <c r="F450" t="str">
        <f ca="1">IFERROR(__xludf.DUMMYFUNCTION("""COMPUTED_VALUE"""),"KP0350CF")</f>
        <v>KP0350CF</v>
      </c>
      <c r="G450" s="11">
        <f ca="1">IFERROR(__xludf.DUMMYFUNCTION("""COMPUTED_VALUE"""),315000000)</f>
        <v>315000000</v>
      </c>
      <c r="H450">
        <f ca="1">IFERROR(__xludf.DUMMYFUNCTION("""COMPUTED_VALUE"""),35335)</f>
        <v>35335</v>
      </c>
      <c r="I450">
        <f ca="1">IFERROR(__xludf.DUMMYFUNCTION("""COMPUTED_VALUE"""),9)</f>
        <v>9</v>
      </c>
      <c r="J450" t="str">
        <f ca="1">IFERROR(__xludf.DUMMYFUNCTION("""COMPUTED_VALUE"""),"N/A")</f>
        <v>N/A</v>
      </c>
      <c r="K450" t="str">
        <f ca="1">IFERROR(__xludf.DUMMYFUNCTION("""COMPUTED_VALUE"""),"Wakanda Express")</f>
        <v>Wakanda Express</v>
      </c>
      <c r="L450" t="str">
        <f ca="1">IFERROR(__xludf.DUMMYFUNCTION("""COMPUTED_VALUE"""),"Y")</f>
        <v>Y</v>
      </c>
      <c r="M450" t="str">
        <f ca="1">IFERROR(__xludf.DUMMYFUNCTION("""COMPUTED_VALUE"""),"Vv-999")</f>
        <v>Vv-999</v>
      </c>
    </row>
    <row r="451" spans="1:13" ht="12.5" x14ac:dyDescent="0.25">
      <c r="A451" t="str">
        <f ca="1">IFERROR(__xludf.DUMMYFUNCTION("""COMPUTED_VALUE"""),"Andy")</f>
        <v>Andy</v>
      </c>
      <c r="B451" t="str">
        <f ca="1">IFERROR(__xludf.DUMMYFUNCTION("""COMPUTED_VALUE"""),"Sulistyorini")</f>
        <v>Sulistyorini</v>
      </c>
      <c r="C451" t="str">
        <f ca="1">IFERROR(__xludf.DUMMYFUNCTION("""COMPUTED_VALUE"""),"Sulistyorini@gmailx.com")</f>
        <v>Sulistyorini@gmailx.com</v>
      </c>
      <c r="D451" t="str">
        <f ca="1">IFERROR(__xludf.DUMMYFUNCTION("""COMPUTED_VALUE"""),"Palangkaraya")</f>
        <v>Palangkaraya</v>
      </c>
      <c r="E451" s="12">
        <f ca="1">IFERROR(__xludf.DUMMYFUNCTION("""COMPUTED_VALUE"""),42894)</f>
        <v>42894</v>
      </c>
      <c r="F451" t="str">
        <f ca="1">IFERROR(__xludf.DUMMYFUNCTION("""COMPUTED_VALUE"""),"KP0750AJ")</f>
        <v>KP0750AJ</v>
      </c>
      <c r="G451" s="11">
        <f ca="1">IFERROR(__xludf.DUMMYFUNCTION("""COMPUTED_VALUE"""),144000000)</f>
        <v>144000000</v>
      </c>
      <c r="H451">
        <f ca="1">IFERROR(__xludf.DUMMYFUNCTION("""COMPUTED_VALUE"""),35882)</f>
        <v>35882</v>
      </c>
      <c r="I451">
        <f ca="1">IFERROR(__xludf.DUMMYFUNCTION("""COMPUTED_VALUE"""),8)</f>
        <v>8</v>
      </c>
      <c r="J451" t="str">
        <f ca="1">IFERROR(__xludf.DUMMYFUNCTION("""COMPUTED_VALUE"""),"N/A")</f>
        <v>N/A</v>
      </c>
      <c r="K451" t="str">
        <f ca="1">IFERROR(__xludf.DUMMYFUNCTION("""COMPUTED_VALUE"""),"Swift Delivery")</f>
        <v>Swift Delivery</v>
      </c>
      <c r="L451" t="str">
        <f ca="1">IFERROR(__xludf.DUMMYFUNCTION("""COMPUTED_VALUE"""),"Y")</f>
        <v>Y</v>
      </c>
      <c r="M451" t="str">
        <f ca="1">IFERROR(__xludf.DUMMYFUNCTION("""COMPUTED_VALUE"""),"Ml-992")</f>
        <v>Ml-992</v>
      </c>
    </row>
    <row r="452" spans="1:13" ht="12.5" x14ac:dyDescent="0.25">
      <c r="A452" t="str">
        <f ca="1">IFERROR(__xludf.DUMMYFUNCTION("""COMPUTED_VALUE"""),"Stephen")</f>
        <v>Stephen</v>
      </c>
      <c r="B452" t="str">
        <f ca="1">IFERROR(__xludf.DUMMYFUNCTION("""COMPUTED_VALUE"""),"Subrata,")</f>
        <v>Subrata,</v>
      </c>
      <c r="C452" t="str">
        <f ca="1">IFERROR(__xludf.DUMMYFUNCTION("""COMPUTED_VALUE"""),"Stephen@rocketmailx.com")</f>
        <v>Stephen@rocketmailx.com</v>
      </c>
      <c r="D452" t="str">
        <f ca="1">IFERROR(__xludf.DUMMYFUNCTION("""COMPUTED_VALUE"""),"Lhokseumawe")</f>
        <v>Lhokseumawe</v>
      </c>
      <c r="E452" s="12">
        <f ca="1">IFERROR(__xludf.DUMMYFUNCTION("""COMPUTED_VALUE"""),42833)</f>
        <v>42833</v>
      </c>
      <c r="F452" t="str">
        <f ca="1">IFERROR(__xludf.DUMMYFUNCTION("""COMPUTED_VALUE"""),"KP0750AJ")</f>
        <v>KP0750AJ</v>
      </c>
      <c r="G452" s="11">
        <f ca="1">IFERROR(__xludf.DUMMYFUNCTION("""COMPUTED_VALUE"""),36000000)</f>
        <v>36000000</v>
      </c>
      <c r="H452">
        <f ca="1">IFERROR(__xludf.DUMMYFUNCTION("""COMPUTED_VALUE"""),35416)</f>
        <v>35416</v>
      </c>
      <c r="I452">
        <f ca="1">IFERROR(__xludf.DUMMYFUNCTION("""COMPUTED_VALUE"""),2)</f>
        <v>2</v>
      </c>
      <c r="J452">
        <f ca="1">IFERROR(__xludf.DUMMYFUNCTION("""COMPUTED_VALUE"""),4)</f>
        <v>4</v>
      </c>
      <c r="K452" t="str">
        <f ca="1">IFERROR(__xludf.DUMMYFUNCTION("""COMPUTED_VALUE"""),"Wakanda Express")</f>
        <v>Wakanda Express</v>
      </c>
      <c r="L452" t="str">
        <f ca="1">IFERROR(__xludf.DUMMYFUNCTION("""COMPUTED_VALUE"""),"N")</f>
        <v>N</v>
      </c>
      <c r="M452" t="str">
        <f ca="1">IFERROR(__xludf.DUMMYFUNCTION("""COMPUTED_VALUE"""),"Wv-101")</f>
        <v>Wv-101</v>
      </c>
    </row>
    <row r="453" spans="1:13" ht="12.5" x14ac:dyDescent="0.25">
      <c r="A453" t="str">
        <f ca="1">IFERROR(__xludf.DUMMYFUNCTION("""COMPUTED_VALUE"""),"Anton")</f>
        <v>Anton</v>
      </c>
      <c r="B453" t="str">
        <f ca="1">IFERROR(__xludf.DUMMYFUNCTION("""COMPUTED_VALUE"""),"Aksa")</f>
        <v>Aksa</v>
      </c>
      <c r="C453" t="str">
        <f ca="1">IFERROR(__xludf.DUMMYFUNCTION("""COMPUTED_VALUE"""),"Anton@ymailx.com")</f>
        <v>Anton@ymailx.com</v>
      </c>
      <c r="D453" t="str">
        <f ca="1">IFERROR(__xludf.DUMMYFUNCTION("""COMPUTED_VALUE"""),"Solok")</f>
        <v>Solok</v>
      </c>
      <c r="E453" s="12">
        <f ca="1">IFERROR(__xludf.DUMMYFUNCTION("""COMPUTED_VALUE"""),42833)</f>
        <v>42833</v>
      </c>
      <c r="F453" t="str">
        <f ca="1">IFERROR(__xludf.DUMMYFUNCTION("""COMPUTED_VALUE"""),"KP0850FB")</f>
        <v>KP0850FB</v>
      </c>
      <c r="G453" s="11">
        <f ca="1">IFERROR(__xludf.DUMMYFUNCTION("""COMPUTED_VALUE"""),210000000)</f>
        <v>210000000</v>
      </c>
      <c r="H453">
        <f ca="1">IFERROR(__xludf.DUMMYFUNCTION("""COMPUTED_VALUE"""),36775)</f>
        <v>36775</v>
      </c>
      <c r="I453">
        <f ca="1">IFERROR(__xludf.DUMMYFUNCTION("""COMPUTED_VALUE"""),10)</f>
        <v>10</v>
      </c>
      <c r="J453">
        <f ca="1">IFERROR(__xludf.DUMMYFUNCTION("""COMPUTED_VALUE"""),3)</f>
        <v>3</v>
      </c>
      <c r="K453" t="str">
        <f ca="1">IFERROR(__xludf.DUMMYFUNCTION("""COMPUTED_VALUE"""),"Cepat Kirim")</f>
        <v>Cepat Kirim</v>
      </c>
      <c r="L453" t="str">
        <f ca="1">IFERROR(__xludf.DUMMYFUNCTION("""COMPUTED_VALUE"""),"Y")</f>
        <v>Y</v>
      </c>
      <c r="M453" t="str">
        <f ca="1">IFERROR(__xludf.DUMMYFUNCTION("""COMPUTED_VALUE"""),"Lb-559")</f>
        <v>Lb-559</v>
      </c>
    </row>
    <row r="454" spans="1:13" ht="12.5" x14ac:dyDescent="0.25">
      <c r="A454" t="str">
        <f ca="1">IFERROR(__xludf.DUMMYFUNCTION("""COMPUTED_VALUE"""),"Kusnadi")</f>
        <v>Kusnadi</v>
      </c>
      <c r="B454" t="str">
        <f ca="1">IFERROR(__xludf.DUMMYFUNCTION("""COMPUTED_VALUE"""),"Xaverius")</f>
        <v>Xaverius</v>
      </c>
      <c r="C454" t="str">
        <f ca="1">IFERROR(__xludf.DUMMYFUNCTION("""COMPUTED_VALUE"""),"Kusnadi@gmailx.com")</f>
        <v>Kusnadi@gmailx.com</v>
      </c>
      <c r="D454" t="str">
        <f ca="1">IFERROR(__xludf.DUMMYFUNCTION("""COMPUTED_VALUE"""),"Langsa")</f>
        <v>Langsa</v>
      </c>
      <c r="E454" s="12">
        <f ca="1">IFERROR(__xludf.DUMMYFUNCTION("""COMPUTED_VALUE"""),42802)</f>
        <v>42802</v>
      </c>
      <c r="F454" t="str">
        <f ca="1">IFERROR(__xludf.DUMMYFUNCTION("""COMPUTED_VALUE"""),"KP0850FB")</f>
        <v>KP0850FB</v>
      </c>
      <c r="G454" s="11">
        <f ca="1">IFERROR(__xludf.DUMMYFUNCTION("""COMPUTED_VALUE"""),168000000)</f>
        <v>168000000</v>
      </c>
      <c r="H454">
        <f ca="1">IFERROR(__xludf.DUMMYFUNCTION("""COMPUTED_VALUE"""),36179)</f>
        <v>36179</v>
      </c>
      <c r="I454">
        <f ca="1">IFERROR(__xludf.DUMMYFUNCTION("""COMPUTED_VALUE"""),8)</f>
        <v>8</v>
      </c>
      <c r="J454" t="str">
        <f ca="1">IFERROR(__xludf.DUMMYFUNCTION("""COMPUTED_VALUE"""),"N/A")</f>
        <v>N/A</v>
      </c>
      <c r="K454" t="str">
        <f ca="1">IFERROR(__xludf.DUMMYFUNCTION("""COMPUTED_VALUE"""),"JENT")</f>
        <v>JENT</v>
      </c>
      <c r="L454" t="str">
        <f ca="1">IFERROR(__xludf.DUMMYFUNCTION("""COMPUTED_VALUE"""),"Y")</f>
        <v>Y</v>
      </c>
      <c r="M454" t="str">
        <f ca="1">IFERROR(__xludf.DUMMYFUNCTION("""COMPUTED_VALUE"""),"Co-101")</f>
        <v>Co-101</v>
      </c>
    </row>
    <row r="455" spans="1:13" ht="12.5" x14ac:dyDescent="0.25">
      <c r="A455" t="str">
        <f ca="1">IFERROR(__xludf.DUMMYFUNCTION("""COMPUTED_VALUE"""),"Djauhara")</f>
        <v>Djauhara</v>
      </c>
      <c r="B455" t="str">
        <f ca="1">IFERROR(__xludf.DUMMYFUNCTION("""COMPUTED_VALUE"""),"Tjandra")</f>
        <v>Tjandra</v>
      </c>
      <c r="C455" t="str">
        <f ca="1">IFERROR(__xludf.DUMMYFUNCTION("""COMPUTED_VALUE"""),"Djauhara@gmailx.com")</f>
        <v>Djauhara@gmailx.com</v>
      </c>
      <c r="D455" t="str">
        <f ca="1">IFERROR(__xludf.DUMMYFUNCTION("""COMPUTED_VALUE"""),"Palembang")</f>
        <v>Palembang</v>
      </c>
      <c r="E455" s="12">
        <f ca="1">IFERROR(__xludf.DUMMYFUNCTION("""COMPUTED_VALUE"""),42774)</f>
        <v>42774</v>
      </c>
      <c r="F455" t="str">
        <f ca="1">IFERROR(__xludf.DUMMYFUNCTION("""COMPUTED_VALUE"""),"KP0225BB")</f>
        <v>KP0225BB</v>
      </c>
      <c r="G455" s="11">
        <f ca="1">IFERROR(__xludf.DUMMYFUNCTION("""COMPUTED_VALUE"""),80000000)</f>
        <v>80000000</v>
      </c>
      <c r="H455">
        <f ca="1">IFERROR(__xludf.DUMMYFUNCTION("""COMPUTED_VALUE"""),36076)</f>
        <v>36076</v>
      </c>
      <c r="I455">
        <f ca="1">IFERROR(__xludf.DUMMYFUNCTION("""COMPUTED_VALUE"""),8)</f>
        <v>8</v>
      </c>
      <c r="J455">
        <f ca="1">IFERROR(__xludf.DUMMYFUNCTION("""COMPUTED_VALUE"""),3)</f>
        <v>3</v>
      </c>
      <c r="K455" t="str">
        <f ca="1">IFERROR(__xludf.DUMMYFUNCTION("""COMPUTED_VALUE"""),"Cepat Kirim")</f>
        <v>Cepat Kirim</v>
      </c>
      <c r="L455" t="str">
        <f ca="1">IFERROR(__xludf.DUMMYFUNCTION("""COMPUTED_VALUE"""),"Y")</f>
        <v>Y</v>
      </c>
      <c r="M455" t="str">
        <f ca="1">IFERROR(__xludf.DUMMYFUNCTION("""COMPUTED_VALUE"""),"Gb-661")</f>
        <v>Gb-661</v>
      </c>
    </row>
    <row r="456" spans="1:13" ht="12.5" x14ac:dyDescent="0.25">
      <c r="A456" t="str">
        <f ca="1">IFERROR(__xludf.DUMMYFUNCTION("""COMPUTED_VALUE"""),"Eko")</f>
        <v>Eko</v>
      </c>
      <c r="B456" t="str">
        <f ca="1">IFERROR(__xludf.DUMMYFUNCTION("""COMPUTED_VALUE"""),"Soat")</f>
        <v>Soat</v>
      </c>
      <c r="C456" t="str">
        <f ca="1">IFERROR(__xludf.DUMMYFUNCTION("""COMPUTED_VALUE"""),"Eko@icloudx.com")</f>
        <v>Eko@icloudx.com</v>
      </c>
      <c r="D456" t="str">
        <f ca="1">IFERROR(__xludf.DUMMYFUNCTION("""COMPUTED_VALUE"""),"Tasikmalaya")</f>
        <v>Tasikmalaya</v>
      </c>
      <c r="E456" s="12">
        <f ca="1">IFERROR(__xludf.DUMMYFUNCTION("""COMPUTED_VALUE"""),42743)</f>
        <v>42743</v>
      </c>
      <c r="F456" t="str">
        <f ca="1">IFERROR(__xludf.DUMMYFUNCTION("""COMPUTED_VALUE"""),"KP0850FB")</f>
        <v>KP0850FB</v>
      </c>
      <c r="G456" s="11">
        <f ca="1">IFERROR(__xludf.DUMMYFUNCTION("""COMPUTED_VALUE"""),189000000)</f>
        <v>189000000</v>
      </c>
      <c r="H456">
        <f ca="1">IFERROR(__xludf.DUMMYFUNCTION("""COMPUTED_VALUE"""),35725)</f>
        <v>35725</v>
      </c>
      <c r="I456">
        <f ca="1">IFERROR(__xludf.DUMMYFUNCTION("""COMPUTED_VALUE"""),9)</f>
        <v>9</v>
      </c>
      <c r="J456" t="str">
        <f ca="1">IFERROR(__xludf.DUMMYFUNCTION("""COMPUTED_VALUE"""),"N/A")</f>
        <v>N/A</v>
      </c>
      <c r="K456" t="str">
        <f ca="1">IFERROR(__xludf.DUMMYFUNCTION("""COMPUTED_VALUE"""),"Cepat Kirim")</f>
        <v>Cepat Kirim</v>
      </c>
      <c r="L456" t="str">
        <f ca="1">IFERROR(__xludf.DUMMYFUNCTION("""COMPUTED_VALUE"""),"Y")</f>
        <v>Y</v>
      </c>
      <c r="M456" t="str">
        <f ca="1">IFERROR(__xludf.DUMMYFUNCTION("""COMPUTED_VALUE"""),"Th-409")</f>
        <v>Th-409</v>
      </c>
    </row>
    <row r="457" spans="1:13" ht="12.5" x14ac:dyDescent="0.25">
      <c r="A457" t="str">
        <f ca="1">IFERROR(__xludf.DUMMYFUNCTION("""COMPUTED_VALUE"""),"Kaizer")</f>
        <v>Kaizer</v>
      </c>
      <c r="B457" t="str">
        <f ca="1">IFERROR(__xludf.DUMMYFUNCTION("""COMPUTED_VALUE"""),"Subianto")</f>
        <v>Subianto</v>
      </c>
      <c r="C457" t="str">
        <f ca="1">IFERROR(__xludf.DUMMYFUNCTION("""COMPUTED_VALUE"""),"Kaizer@gmailx.com")</f>
        <v>Kaizer@gmailx.com</v>
      </c>
      <c r="D457" t="str">
        <f ca="1">IFERROR(__xludf.DUMMYFUNCTION("""COMPUTED_VALUE"""),"Manado")</f>
        <v>Manado</v>
      </c>
      <c r="E457" s="12">
        <f ca="1">IFERROR(__xludf.DUMMYFUNCTION("""COMPUTED_VALUE"""),42944)</f>
        <v>42944</v>
      </c>
      <c r="F457" t="str">
        <f ca="1">IFERROR(__xludf.DUMMYFUNCTION("""COMPUTED_VALUE"""),"KP0750AJ")</f>
        <v>KP0750AJ</v>
      </c>
      <c r="G457" s="11">
        <f ca="1">IFERROR(__xludf.DUMMYFUNCTION("""COMPUTED_VALUE"""),162000000)</f>
        <v>162000000</v>
      </c>
      <c r="H457">
        <f ca="1">IFERROR(__xludf.DUMMYFUNCTION("""COMPUTED_VALUE"""),35742)</f>
        <v>35742</v>
      </c>
      <c r="I457">
        <f ca="1">IFERROR(__xludf.DUMMYFUNCTION("""COMPUTED_VALUE"""),9)</f>
        <v>9</v>
      </c>
      <c r="J457" t="str">
        <f ca="1">IFERROR(__xludf.DUMMYFUNCTION("""COMPUTED_VALUE"""),"N/A")</f>
        <v>N/A</v>
      </c>
      <c r="K457" t="str">
        <f ca="1">IFERROR(__xludf.DUMMYFUNCTION("""COMPUTED_VALUE"""),"Swift Delivery")</f>
        <v>Swift Delivery</v>
      </c>
      <c r="L457" t="str">
        <f ca="1">IFERROR(__xludf.DUMMYFUNCTION("""COMPUTED_VALUE"""),"Y")</f>
        <v>Y</v>
      </c>
      <c r="M457" t="str">
        <f ca="1">IFERROR(__xludf.DUMMYFUNCTION("""COMPUTED_VALUE"""),"Nq-221")</f>
        <v>Nq-221</v>
      </c>
    </row>
    <row r="458" spans="1:13" ht="12.5" x14ac:dyDescent="0.25">
      <c r="A458" t="str">
        <f ca="1">IFERROR(__xludf.DUMMYFUNCTION("""COMPUTED_VALUE"""),"Richard")</f>
        <v>Richard</v>
      </c>
      <c r="B458" t="str">
        <f ca="1">IFERROR(__xludf.DUMMYFUNCTION("""COMPUTED_VALUE"""),"Padilla")</f>
        <v>Padilla</v>
      </c>
      <c r="C458" t="str">
        <f ca="1">IFERROR(__xludf.DUMMYFUNCTION("""COMPUTED_VALUE"""),"Padilla@gmailx.com")</f>
        <v>Padilla@gmailx.com</v>
      </c>
      <c r="D458" t="str">
        <f ca="1">IFERROR(__xludf.DUMMYFUNCTION("""COMPUTED_VALUE"""),"Pontianak")</f>
        <v>Pontianak</v>
      </c>
      <c r="E458" s="12">
        <f ca="1">IFERROR(__xludf.DUMMYFUNCTION("""COMPUTED_VALUE"""),42944)</f>
        <v>42944</v>
      </c>
      <c r="F458" t="str">
        <f ca="1">IFERROR(__xludf.DUMMYFUNCTION("""COMPUTED_VALUE"""),"KP0925SG")</f>
        <v>KP0925SG</v>
      </c>
      <c r="G458" s="11">
        <f ca="1">IFERROR(__xludf.DUMMYFUNCTION("""COMPUTED_VALUE"""),105000000)</f>
        <v>105000000</v>
      </c>
      <c r="H458">
        <f ca="1">IFERROR(__xludf.DUMMYFUNCTION("""COMPUTED_VALUE"""),35239)</f>
        <v>35239</v>
      </c>
      <c r="I458">
        <f ca="1">IFERROR(__xludf.DUMMYFUNCTION("""COMPUTED_VALUE"""),7)</f>
        <v>7</v>
      </c>
      <c r="J458" t="str">
        <f ca="1">IFERROR(__xludf.DUMMYFUNCTION("""COMPUTED_VALUE"""),"N/A")</f>
        <v>N/A</v>
      </c>
      <c r="K458" t="str">
        <f ca="1">IFERROR(__xludf.DUMMYFUNCTION("""COMPUTED_VALUE"""),"Cepat Kirim")</f>
        <v>Cepat Kirim</v>
      </c>
      <c r="L458" t="str">
        <f ca="1">IFERROR(__xludf.DUMMYFUNCTION("""COMPUTED_VALUE"""),"N")</f>
        <v>N</v>
      </c>
      <c r="M458" t="str">
        <f ca="1">IFERROR(__xludf.DUMMYFUNCTION("""COMPUTED_VALUE"""),"La-880")</f>
        <v>La-880</v>
      </c>
    </row>
    <row r="459" spans="1:13" ht="12.5" x14ac:dyDescent="0.25">
      <c r="A459" t="str">
        <f ca="1">IFERROR(__xludf.DUMMYFUNCTION("""COMPUTED_VALUE"""),"Djoni")</f>
        <v>Djoni</v>
      </c>
      <c r="B459" t="str">
        <f ca="1">IFERROR(__xludf.DUMMYFUNCTION("""COMPUTED_VALUE"""),"Kusumawati")</f>
        <v>Kusumawati</v>
      </c>
      <c r="C459" t="str">
        <f ca="1">IFERROR(__xludf.DUMMYFUNCTION("""COMPUTED_VALUE"""),"Djoni@ymailx.com")</f>
        <v>Djoni@ymailx.com</v>
      </c>
      <c r="D459" t="str">
        <f ca="1">IFERROR(__xludf.DUMMYFUNCTION("""COMPUTED_VALUE"""),"Bogor")</f>
        <v>Bogor</v>
      </c>
      <c r="E459" s="12">
        <f ca="1">IFERROR(__xludf.DUMMYFUNCTION("""COMPUTED_VALUE"""),42942)</f>
        <v>42942</v>
      </c>
      <c r="F459" t="str">
        <f ca="1">IFERROR(__xludf.DUMMYFUNCTION("""COMPUTED_VALUE"""),"KP0925SG")</f>
        <v>KP0925SG</v>
      </c>
      <c r="G459" s="11">
        <f ca="1">IFERROR(__xludf.DUMMYFUNCTION("""COMPUTED_VALUE"""),150000000)</f>
        <v>150000000</v>
      </c>
      <c r="H459">
        <f ca="1">IFERROR(__xludf.DUMMYFUNCTION("""COMPUTED_VALUE"""),35080)</f>
        <v>35080</v>
      </c>
      <c r="I459">
        <f ca="1">IFERROR(__xludf.DUMMYFUNCTION("""COMPUTED_VALUE"""),10)</f>
        <v>10</v>
      </c>
      <c r="J459" t="str">
        <f ca="1">IFERROR(__xludf.DUMMYFUNCTION("""COMPUTED_VALUE"""),"N/A")</f>
        <v>N/A</v>
      </c>
      <c r="K459" t="str">
        <f ca="1">IFERROR(__xludf.DUMMYFUNCTION("""COMPUTED_VALUE"""),"JENT")</f>
        <v>JENT</v>
      </c>
      <c r="L459" t="str">
        <f ca="1">IFERROR(__xludf.DUMMYFUNCTION("""COMPUTED_VALUE"""),"Y")</f>
        <v>Y</v>
      </c>
      <c r="M459" t="str">
        <f ca="1">IFERROR(__xludf.DUMMYFUNCTION("""COMPUTED_VALUE"""),"Js-409")</f>
        <v>Js-409</v>
      </c>
    </row>
    <row r="460" spans="1:13" ht="12.5" x14ac:dyDescent="0.25">
      <c r="A460" t="str">
        <f ca="1">IFERROR(__xludf.DUMMYFUNCTION("""COMPUTED_VALUE"""),"Herry")</f>
        <v>Herry</v>
      </c>
      <c r="B460" t="str">
        <f ca="1">IFERROR(__xludf.DUMMYFUNCTION("""COMPUTED_VALUE"""),"Soegiarto")</f>
        <v>Soegiarto</v>
      </c>
      <c r="C460" t="str">
        <f ca="1">IFERROR(__xludf.DUMMYFUNCTION("""COMPUTED_VALUE"""),"Soegiarto@gmailx.com")</f>
        <v>Soegiarto@gmailx.com</v>
      </c>
      <c r="D460" t="str">
        <f ca="1">IFERROR(__xludf.DUMMYFUNCTION("""COMPUTED_VALUE"""),"Metro")</f>
        <v>Metro</v>
      </c>
      <c r="E460" s="12">
        <f ca="1">IFERROR(__xludf.DUMMYFUNCTION("""COMPUTED_VALUE"""),42941)</f>
        <v>42941</v>
      </c>
      <c r="F460" t="str">
        <f ca="1">IFERROR(__xludf.DUMMYFUNCTION("""COMPUTED_VALUE"""),"KP0625AF")</f>
        <v>KP0625AF</v>
      </c>
      <c r="G460" s="11">
        <f ca="1">IFERROR(__xludf.DUMMYFUNCTION("""COMPUTED_VALUE"""),60000000)</f>
        <v>60000000</v>
      </c>
      <c r="H460">
        <f ca="1">IFERROR(__xludf.DUMMYFUNCTION("""COMPUTED_VALUE"""),36065)</f>
        <v>36065</v>
      </c>
      <c r="I460">
        <f ca="1">IFERROR(__xludf.DUMMYFUNCTION("""COMPUTED_VALUE"""),5)</f>
        <v>5</v>
      </c>
      <c r="J460">
        <f ca="1">IFERROR(__xludf.DUMMYFUNCTION("""COMPUTED_VALUE"""),4)</f>
        <v>4</v>
      </c>
      <c r="K460" t="str">
        <f ca="1">IFERROR(__xludf.DUMMYFUNCTION("""COMPUTED_VALUE"""),"Wakanda Express")</f>
        <v>Wakanda Express</v>
      </c>
      <c r="L460" t="str">
        <f ca="1">IFERROR(__xludf.DUMMYFUNCTION("""COMPUTED_VALUE"""),"Y")</f>
        <v>Y</v>
      </c>
      <c r="M460" t="str">
        <f ca="1">IFERROR(__xludf.DUMMYFUNCTION("""COMPUTED_VALUE"""),"Pv-150")</f>
        <v>Pv-150</v>
      </c>
    </row>
    <row r="461" spans="1:13" ht="12.5" x14ac:dyDescent="0.25">
      <c r="A461" t="str">
        <f ca="1">IFERROR(__xludf.DUMMYFUNCTION("""COMPUTED_VALUE"""),"Beata")</f>
        <v>Beata</v>
      </c>
      <c r="B461" t="str">
        <f ca="1">IFERROR(__xludf.DUMMYFUNCTION("""COMPUTED_VALUE"""),"Sumartono")</f>
        <v>Sumartono</v>
      </c>
      <c r="C461" t="str">
        <f ca="1">IFERROR(__xludf.DUMMYFUNCTION("""COMPUTED_VALUE"""),"Sumartono@icloudx.com")</f>
        <v>Sumartono@icloudx.com</v>
      </c>
      <c r="D461" t="str">
        <f ca="1">IFERROR(__xludf.DUMMYFUNCTION("""COMPUTED_VALUE"""),"Palu")</f>
        <v>Palu</v>
      </c>
      <c r="E461" s="12">
        <f ca="1">IFERROR(__xludf.DUMMYFUNCTION("""COMPUTED_VALUE"""),42938)</f>
        <v>42938</v>
      </c>
      <c r="F461" t="str">
        <f ca="1">IFERROR(__xludf.DUMMYFUNCTION("""COMPUTED_VALUE"""),"KP0350CF")</f>
        <v>KP0350CF</v>
      </c>
      <c r="G461" s="11">
        <f ca="1">IFERROR(__xludf.DUMMYFUNCTION("""COMPUTED_VALUE"""),210000000)</f>
        <v>210000000</v>
      </c>
      <c r="H461">
        <f ca="1">IFERROR(__xludf.DUMMYFUNCTION("""COMPUTED_VALUE"""),36707)</f>
        <v>36707</v>
      </c>
      <c r="I461">
        <f ca="1">IFERROR(__xludf.DUMMYFUNCTION("""COMPUTED_VALUE"""),6)</f>
        <v>6</v>
      </c>
      <c r="J461" t="str">
        <f ca="1">IFERROR(__xludf.DUMMYFUNCTION("""COMPUTED_VALUE"""),"N/A")</f>
        <v>N/A</v>
      </c>
      <c r="K461" t="str">
        <f ca="1">IFERROR(__xludf.DUMMYFUNCTION("""COMPUTED_VALUE"""),"Wakanda Express")</f>
        <v>Wakanda Express</v>
      </c>
      <c r="L461" t="str">
        <f ca="1">IFERROR(__xludf.DUMMYFUNCTION("""COMPUTED_VALUE"""),"Y")</f>
        <v>Y</v>
      </c>
      <c r="M461" t="str">
        <f ca="1">IFERROR(__xludf.DUMMYFUNCTION("""COMPUTED_VALUE"""),"Hy-280")</f>
        <v>Hy-280</v>
      </c>
    </row>
    <row r="462" spans="1:13" ht="12.5" x14ac:dyDescent="0.25">
      <c r="A462" t="str">
        <f ca="1">IFERROR(__xludf.DUMMYFUNCTION("""COMPUTED_VALUE"""),"Alex")</f>
        <v>Alex</v>
      </c>
      <c r="B462" t="str">
        <f ca="1">IFERROR(__xludf.DUMMYFUNCTION("""COMPUTED_VALUE"""),"Ganasutrisna")</f>
        <v>Ganasutrisna</v>
      </c>
      <c r="C462" t="str">
        <f ca="1">IFERROR(__xludf.DUMMYFUNCTION("""COMPUTED_VALUE"""),"Alex@livex.com")</f>
        <v>Alex@livex.com</v>
      </c>
      <c r="D462" t="str">
        <f ca="1">IFERROR(__xludf.DUMMYFUNCTION("""COMPUTED_VALUE"""),"Serang")</f>
        <v>Serang</v>
      </c>
      <c r="E462" s="12">
        <f ca="1">IFERROR(__xludf.DUMMYFUNCTION("""COMPUTED_VALUE"""),42938)</f>
        <v>42938</v>
      </c>
      <c r="F462" t="str">
        <f ca="1">IFERROR(__xludf.DUMMYFUNCTION("""COMPUTED_VALUE"""),"KP0850FB")</f>
        <v>KP0850FB</v>
      </c>
      <c r="G462" s="11">
        <f ca="1">IFERROR(__xludf.DUMMYFUNCTION("""COMPUTED_VALUE"""),189000000)</f>
        <v>189000000</v>
      </c>
      <c r="H462">
        <f ca="1">IFERROR(__xludf.DUMMYFUNCTION("""COMPUTED_VALUE"""),35193)</f>
        <v>35193</v>
      </c>
      <c r="I462">
        <f ca="1">IFERROR(__xludf.DUMMYFUNCTION("""COMPUTED_VALUE"""),9)</f>
        <v>9</v>
      </c>
      <c r="J462" t="str">
        <f ca="1">IFERROR(__xludf.DUMMYFUNCTION("""COMPUTED_VALUE"""),"N/A")</f>
        <v>N/A</v>
      </c>
      <c r="K462" t="str">
        <f ca="1">IFERROR(__xludf.DUMMYFUNCTION("""COMPUTED_VALUE"""),"Pru Logistic")</f>
        <v>Pru Logistic</v>
      </c>
      <c r="L462" t="str">
        <f ca="1">IFERROR(__xludf.DUMMYFUNCTION("""COMPUTED_VALUE"""),"Y")</f>
        <v>Y</v>
      </c>
      <c r="M462" t="str">
        <f ca="1">IFERROR(__xludf.DUMMYFUNCTION("""COMPUTED_VALUE"""),"Qm-500")</f>
        <v>Qm-500</v>
      </c>
    </row>
    <row r="463" spans="1:13" ht="12.5" x14ac:dyDescent="0.25">
      <c r="A463" t="str">
        <f ca="1">IFERROR(__xludf.DUMMYFUNCTION("""COMPUTED_VALUE"""),"Nelson")</f>
        <v>Nelson</v>
      </c>
      <c r="B463" t="str">
        <f ca="1">IFERROR(__xludf.DUMMYFUNCTION("""COMPUTED_VALUE"""),"Kuchenbecker")</f>
        <v>Kuchenbecker</v>
      </c>
      <c r="C463" t="str">
        <f ca="1">IFERROR(__xludf.DUMMYFUNCTION("""COMPUTED_VALUE"""),"Kuchenbecker@livex.com")</f>
        <v>Kuchenbecker@livex.com</v>
      </c>
      <c r="D463" t="str">
        <f ca="1">IFERROR(__xludf.DUMMYFUNCTION("""COMPUTED_VALUE"""),"Madiun")</f>
        <v>Madiun</v>
      </c>
      <c r="E463" s="12">
        <f ca="1">IFERROR(__xludf.DUMMYFUNCTION("""COMPUTED_VALUE"""),42937)</f>
        <v>42937</v>
      </c>
      <c r="F463" t="str">
        <f ca="1">IFERROR(__xludf.DUMMYFUNCTION("""COMPUTED_VALUE"""),"KP0850FB")</f>
        <v>KP0850FB</v>
      </c>
      <c r="G463" s="11">
        <f ca="1">IFERROR(__xludf.DUMMYFUNCTION("""COMPUTED_VALUE"""),42000000)</f>
        <v>42000000</v>
      </c>
      <c r="H463">
        <f ca="1">IFERROR(__xludf.DUMMYFUNCTION("""COMPUTED_VALUE"""),35761)</f>
        <v>35761</v>
      </c>
      <c r="I463">
        <f ca="1">IFERROR(__xludf.DUMMYFUNCTION("""COMPUTED_VALUE"""),2)</f>
        <v>2</v>
      </c>
      <c r="J463" t="str">
        <f ca="1">IFERROR(__xludf.DUMMYFUNCTION("""COMPUTED_VALUE"""),"N/A")</f>
        <v>N/A</v>
      </c>
      <c r="K463" t="str">
        <f ca="1">IFERROR(__xludf.DUMMYFUNCTION("""COMPUTED_VALUE"""),"JENT")</f>
        <v>JENT</v>
      </c>
      <c r="L463" t="str">
        <f ca="1">IFERROR(__xludf.DUMMYFUNCTION("""COMPUTED_VALUE"""),"N")</f>
        <v>N</v>
      </c>
      <c r="M463" t="str">
        <f ca="1">IFERROR(__xludf.DUMMYFUNCTION("""COMPUTED_VALUE"""),"Xe-123")</f>
        <v>Xe-123</v>
      </c>
    </row>
    <row r="464" spans="1:13" ht="12.5" x14ac:dyDescent="0.25">
      <c r="A464" t="str">
        <f ca="1">IFERROR(__xludf.DUMMYFUNCTION("""COMPUTED_VALUE"""),"Meslin")</f>
        <v>Meslin</v>
      </c>
      <c r="B464" t="str">
        <f ca="1">IFERROR(__xludf.DUMMYFUNCTION("""COMPUTED_VALUE"""),"Leitch")</f>
        <v>Leitch</v>
      </c>
      <c r="C464" t="str">
        <f ca="1">IFERROR(__xludf.DUMMYFUNCTION("""COMPUTED_VALUE"""),"MESLIN@gmailx.com")</f>
        <v>MESLIN@gmailx.com</v>
      </c>
      <c r="D464" t="str">
        <f ca="1">IFERROR(__xludf.DUMMYFUNCTION("""COMPUTED_VALUE"""),"Pariaman")</f>
        <v>Pariaman</v>
      </c>
      <c r="E464" s="12">
        <f ca="1">IFERROR(__xludf.DUMMYFUNCTION("""COMPUTED_VALUE"""),42936)</f>
        <v>42936</v>
      </c>
      <c r="F464" t="str">
        <f ca="1">IFERROR(__xludf.DUMMYFUNCTION("""COMPUTED_VALUE"""),"KP0625AF")</f>
        <v>KP0625AF</v>
      </c>
      <c r="G464" s="11">
        <f ca="1">IFERROR(__xludf.DUMMYFUNCTION("""COMPUTED_VALUE"""),72000000)</f>
        <v>72000000</v>
      </c>
      <c r="H464">
        <f ca="1">IFERROR(__xludf.DUMMYFUNCTION("""COMPUTED_VALUE"""),35997)</f>
        <v>35997</v>
      </c>
      <c r="I464">
        <f ca="1">IFERROR(__xludf.DUMMYFUNCTION("""COMPUTED_VALUE"""),6)</f>
        <v>6</v>
      </c>
      <c r="J464" t="str">
        <f ca="1">IFERROR(__xludf.DUMMYFUNCTION("""COMPUTED_VALUE"""),"N/A")</f>
        <v>N/A</v>
      </c>
      <c r="K464" t="str">
        <f ca="1">IFERROR(__xludf.DUMMYFUNCTION("""COMPUTED_VALUE"""),"JENT")</f>
        <v>JENT</v>
      </c>
      <c r="L464" t="str">
        <f ca="1">IFERROR(__xludf.DUMMYFUNCTION("""COMPUTED_VALUE"""),"Y")</f>
        <v>Y</v>
      </c>
      <c r="M464" t="str">
        <f ca="1">IFERROR(__xludf.DUMMYFUNCTION("""COMPUTED_VALUE"""),"Jc-559")</f>
        <v>Jc-559</v>
      </c>
    </row>
    <row r="465" spans="1:13" ht="12.5" x14ac:dyDescent="0.25">
      <c r="A465" t="str">
        <f ca="1">IFERROR(__xludf.DUMMYFUNCTION("""COMPUTED_VALUE"""),"Elisabeth")</f>
        <v>Elisabeth</v>
      </c>
      <c r="B465" t="str">
        <f ca="1">IFERROR(__xludf.DUMMYFUNCTION("""COMPUTED_VALUE"""),"Djohari")</f>
        <v>Djohari</v>
      </c>
      <c r="C465" t="str">
        <f ca="1">IFERROR(__xludf.DUMMYFUNCTION("""COMPUTED_VALUE"""),"Elisabeth@ymailx.com")</f>
        <v>Elisabeth@ymailx.com</v>
      </c>
      <c r="D465" t="str">
        <f ca="1">IFERROR(__xludf.DUMMYFUNCTION("""COMPUTED_VALUE"""),"Depok")</f>
        <v>Depok</v>
      </c>
      <c r="E465" s="12">
        <f ca="1">IFERROR(__xludf.DUMMYFUNCTION("""COMPUTED_VALUE"""),42936)</f>
        <v>42936</v>
      </c>
      <c r="F465" t="str">
        <f ca="1">IFERROR(__xludf.DUMMYFUNCTION("""COMPUTED_VALUE"""),"KP0625AF")</f>
        <v>KP0625AF</v>
      </c>
      <c r="G465" s="11">
        <f ca="1">IFERROR(__xludf.DUMMYFUNCTION("""COMPUTED_VALUE"""),48000000)</f>
        <v>48000000</v>
      </c>
      <c r="H465">
        <f ca="1">IFERROR(__xludf.DUMMYFUNCTION("""COMPUTED_VALUE"""),35868)</f>
        <v>35868</v>
      </c>
      <c r="I465">
        <f ca="1">IFERROR(__xludf.DUMMYFUNCTION("""COMPUTED_VALUE"""),4)</f>
        <v>4</v>
      </c>
      <c r="J465" t="str">
        <f ca="1">IFERROR(__xludf.DUMMYFUNCTION("""COMPUTED_VALUE"""),"N/A")</f>
        <v>N/A</v>
      </c>
      <c r="K465" t="str">
        <f ca="1">IFERROR(__xludf.DUMMYFUNCTION("""COMPUTED_VALUE"""),"JENT")</f>
        <v>JENT</v>
      </c>
      <c r="L465" t="str">
        <f ca="1">IFERROR(__xludf.DUMMYFUNCTION("""COMPUTED_VALUE"""),"Y")</f>
        <v>Y</v>
      </c>
      <c r="M465" t="str">
        <f ca="1">IFERROR(__xludf.DUMMYFUNCTION("""COMPUTED_VALUE"""),"Dw-409")</f>
        <v>Dw-409</v>
      </c>
    </row>
    <row r="466" spans="1:13" ht="12.5" x14ac:dyDescent="0.25">
      <c r="A466" t="str">
        <f ca="1">IFERROR(__xludf.DUMMYFUNCTION("""COMPUTED_VALUE"""),"Hari")</f>
        <v>Hari</v>
      </c>
      <c r="B466" t="str">
        <f ca="1">IFERROR(__xludf.DUMMYFUNCTION("""COMPUTED_VALUE"""),"Mulyono")</f>
        <v>Mulyono</v>
      </c>
      <c r="C466" t="str">
        <f ca="1">IFERROR(__xludf.DUMMYFUNCTION("""COMPUTED_VALUE"""),"Mulyono@ymailx.com")</f>
        <v>Mulyono@ymailx.com</v>
      </c>
      <c r="D466" t="str">
        <f ca="1">IFERROR(__xludf.DUMMYFUNCTION("""COMPUTED_VALUE"""),"Bandung")</f>
        <v>Bandung</v>
      </c>
      <c r="E466" s="12">
        <f ca="1">IFERROR(__xludf.DUMMYFUNCTION("""COMPUTED_VALUE"""),42933)</f>
        <v>42933</v>
      </c>
      <c r="F466" t="str">
        <f ca="1">IFERROR(__xludf.DUMMYFUNCTION("""COMPUTED_VALUE"""),"KP0625AF")</f>
        <v>KP0625AF</v>
      </c>
      <c r="G466" s="11">
        <f ca="1">IFERROR(__xludf.DUMMYFUNCTION("""COMPUTED_VALUE"""),96000000)</f>
        <v>96000000</v>
      </c>
      <c r="H466">
        <f ca="1">IFERROR(__xludf.DUMMYFUNCTION("""COMPUTED_VALUE"""),35605)</f>
        <v>35605</v>
      </c>
      <c r="I466">
        <f ca="1">IFERROR(__xludf.DUMMYFUNCTION("""COMPUTED_VALUE"""),8)</f>
        <v>8</v>
      </c>
      <c r="J466">
        <f ca="1">IFERROR(__xludf.DUMMYFUNCTION("""COMPUTED_VALUE"""),4)</f>
        <v>4</v>
      </c>
      <c r="K466" t="str">
        <f ca="1">IFERROR(__xludf.DUMMYFUNCTION("""COMPUTED_VALUE"""),"JENT")</f>
        <v>JENT</v>
      </c>
      <c r="L466" t="str">
        <f ca="1">IFERROR(__xludf.DUMMYFUNCTION("""COMPUTED_VALUE"""),"Y")</f>
        <v>Y</v>
      </c>
      <c r="M466" t="str">
        <f ca="1">IFERROR(__xludf.DUMMYFUNCTION("""COMPUTED_VALUE"""),"Lf-409")</f>
        <v>Lf-409</v>
      </c>
    </row>
    <row r="467" spans="1:13" ht="12.5" x14ac:dyDescent="0.25">
      <c r="A467" t="str">
        <f ca="1">IFERROR(__xludf.DUMMYFUNCTION("""COMPUTED_VALUE"""),"Chu")</f>
        <v>Chu</v>
      </c>
      <c r="B467" t="str">
        <f ca="1">IFERROR(__xludf.DUMMYFUNCTION("""COMPUTED_VALUE"""),"Tirtaguna")</f>
        <v>Tirtaguna</v>
      </c>
      <c r="C467" t="str">
        <f ca="1">IFERROR(__xludf.DUMMYFUNCTION("""COMPUTED_VALUE"""),"Tirtaguna@ymailx.com")</f>
        <v>Tirtaguna@ymailx.com</v>
      </c>
      <c r="D467" t="str">
        <f ca="1">IFERROR(__xludf.DUMMYFUNCTION("""COMPUTED_VALUE"""),"Dumai")</f>
        <v>Dumai</v>
      </c>
      <c r="E467" s="12">
        <f ca="1">IFERROR(__xludf.DUMMYFUNCTION("""COMPUTED_VALUE"""),42931)</f>
        <v>42931</v>
      </c>
      <c r="F467" t="str">
        <f ca="1">IFERROR(__xludf.DUMMYFUNCTION("""COMPUTED_VALUE"""),"KP0925SG")</f>
        <v>KP0925SG</v>
      </c>
      <c r="G467" s="11">
        <f ca="1">IFERROR(__xludf.DUMMYFUNCTION("""COMPUTED_VALUE"""),105000000)</f>
        <v>105000000</v>
      </c>
      <c r="H467">
        <f ca="1">IFERROR(__xludf.DUMMYFUNCTION("""COMPUTED_VALUE"""),36215)</f>
        <v>36215</v>
      </c>
      <c r="I467">
        <f ca="1">IFERROR(__xludf.DUMMYFUNCTION("""COMPUTED_VALUE"""),7)</f>
        <v>7</v>
      </c>
      <c r="J467">
        <f ca="1">IFERROR(__xludf.DUMMYFUNCTION("""COMPUTED_VALUE"""),4)</f>
        <v>4</v>
      </c>
      <c r="K467" t="str">
        <f ca="1">IFERROR(__xludf.DUMMYFUNCTION("""COMPUTED_VALUE"""),"JENT")</f>
        <v>JENT</v>
      </c>
      <c r="L467" t="str">
        <f ca="1">IFERROR(__xludf.DUMMYFUNCTION("""COMPUTED_VALUE"""),"Y")</f>
        <v>Y</v>
      </c>
      <c r="M467" t="str">
        <f ca="1">IFERROR(__xludf.DUMMYFUNCTION("""COMPUTED_VALUE"""),"Er-222")</f>
        <v>Er-222</v>
      </c>
    </row>
    <row r="468" spans="1:13" ht="12.5" x14ac:dyDescent="0.25">
      <c r="A468" t="str">
        <f ca="1">IFERROR(__xludf.DUMMYFUNCTION("""COMPUTED_VALUE"""),"Iwan")</f>
        <v>Iwan</v>
      </c>
      <c r="B468" t="str">
        <f ca="1">IFERROR(__xludf.DUMMYFUNCTION("""COMPUTED_VALUE"""),"Alamsjah")</f>
        <v>Alamsjah</v>
      </c>
      <c r="C468" t="str">
        <f ca="1">IFERROR(__xludf.DUMMYFUNCTION("""COMPUTED_VALUE"""),"Alamsjah@gmailx.com")</f>
        <v>Alamsjah@gmailx.com</v>
      </c>
      <c r="D468" t="str">
        <f ca="1">IFERROR(__xludf.DUMMYFUNCTION("""COMPUTED_VALUE"""),"Palembang")</f>
        <v>Palembang</v>
      </c>
      <c r="E468" s="12">
        <f ca="1">IFERROR(__xludf.DUMMYFUNCTION("""COMPUTED_VALUE"""),42930)</f>
        <v>42930</v>
      </c>
      <c r="F468" t="str">
        <f ca="1">IFERROR(__xludf.DUMMYFUNCTION("""COMPUTED_VALUE"""),"KP0925SG")</f>
        <v>KP0925SG</v>
      </c>
      <c r="G468" s="11">
        <f ca="1">IFERROR(__xludf.DUMMYFUNCTION("""COMPUTED_VALUE"""),45000000)</f>
        <v>45000000</v>
      </c>
      <c r="H468">
        <f ca="1">IFERROR(__xludf.DUMMYFUNCTION("""COMPUTED_VALUE"""),35382)</f>
        <v>35382</v>
      </c>
      <c r="I468">
        <f ca="1">IFERROR(__xludf.DUMMYFUNCTION("""COMPUTED_VALUE"""),3)</f>
        <v>3</v>
      </c>
      <c r="J468" t="str">
        <f ca="1">IFERROR(__xludf.DUMMYFUNCTION("""COMPUTED_VALUE"""),"N/A")</f>
        <v>N/A</v>
      </c>
      <c r="K468" t="str">
        <f ca="1">IFERROR(__xludf.DUMMYFUNCTION("""COMPUTED_VALUE"""),"Wakanda Express")</f>
        <v>Wakanda Express</v>
      </c>
      <c r="L468" t="str">
        <f ca="1">IFERROR(__xludf.DUMMYFUNCTION("""COMPUTED_VALUE"""),"Y")</f>
        <v>Y</v>
      </c>
      <c r="M468" t="str">
        <f ca="1">IFERROR(__xludf.DUMMYFUNCTION("""COMPUTED_VALUE"""),"Bw-661")</f>
        <v>Bw-661</v>
      </c>
    </row>
    <row r="469" spans="1:13" ht="12.5" x14ac:dyDescent="0.25">
      <c r="A469" t="str">
        <f ca="1">IFERROR(__xludf.DUMMYFUNCTION("""COMPUTED_VALUE"""),"Stephen")</f>
        <v>Stephen</v>
      </c>
      <c r="B469" t="str">
        <f ca="1">IFERROR(__xludf.DUMMYFUNCTION("""COMPUTED_VALUE"""),"Effendi")</f>
        <v>Effendi</v>
      </c>
      <c r="C469" t="str">
        <f ca="1">IFERROR(__xludf.DUMMYFUNCTION("""COMPUTED_VALUE"""),"Stephen@gmailx.com")</f>
        <v>Stephen@gmailx.com</v>
      </c>
      <c r="D469" t="str">
        <f ca="1">IFERROR(__xludf.DUMMYFUNCTION("""COMPUTED_VALUE"""),"Lubuklinggau")</f>
        <v>Lubuklinggau</v>
      </c>
      <c r="E469" s="12">
        <f ca="1">IFERROR(__xludf.DUMMYFUNCTION("""COMPUTED_VALUE"""),42985)</f>
        <v>42985</v>
      </c>
      <c r="F469" t="str">
        <f ca="1">IFERROR(__xludf.DUMMYFUNCTION("""COMPUTED_VALUE"""),"KP0925SG")</f>
        <v>KP0925SG</v>
      </c>
      <c r="G469" s="11">
        <f ca="1">IFERROR(__xludf.DUMMYFUNCTION("""COMPUTED_VALUE"""),135000000)</f>
        <v>135000000</v>
      </c>
      <c r="H469">
        <f ca="1">IFERROR(__xludf.DUMMYFUNCTION("""COMPUTED_VALUE"""),35477)</f>
        <v>35477</v>
      </c>
      <c r="I469">
        <f ca="1">IFERROR(__xludf.DUMMYFUNCTION("""COMPUTED_VALUE"""),9)</f>
        <v>9</v>
      </c>
      <c r="J469" t="str">
        <f ca="1">IFERROR(__xludf.DUMMYFUNCTION("""COMPUTED_VALUE"""),"N/A")</f>
        <v>N/A</v>
      </c>
      <c r="K469" t="str">
        <f ca="1">IFERROR(__xludf.DUMMYFUNCTION("""COMPUTED_VALUE"""),"Cepat Kirim")</f>
        <v>Cepat Kirim</v>
      </c>
      <c r="L469" t="str">
        <f ca="1">IFERROR(__xludf.DUMMYFUNCTION("""COMPUTED_VALUE"""),"N")</f>
        <v>N</v>
      </c>
      <c r="M469" t="str">
        <f ca="1">IFERROR(__xludf.DUMMYFUNCTION("""COMPUTED_VALUE"""),"Tl-661")</f>
        <v>Tl-661</v>
      </c>
    </row>
    <row r="470" spans="1:13" ht="12.5" x14ac:dyDescent="0.25">
      <c r="A470" t="str">
        <f ca="1">IFERROR(__xludf.DUMMYFUNCTION("""COMPUTED_VALUE"""),"Arie")</f>
        <v>Arie</v>
      </c>
      <c r="B470" t="str">
        <f ca="1">IFERROR(__xludf.DUMMYFUNCTION("""COMPUTED_VALUE"""),"Sutandy")</f>
        <v>Sutandy</v>
      </c>
      <c r="C470" t="str">
        <f ca="1">IFERROR(__xludf.DUMMYFUNCTION("""COMPUTED_VALUE"""),"Arie@ymailx.com")</f>
        <v>Arie@ymailx.com</v>
      </c>
      <c r="D470" t="str">
        <f ca="1">IFERROR(__xludf.DUMMYFUNCTION("""COMPUTED_VALUE"""),"Palopo")</f>
        <v>Palopo</v>
      </c>
      <c r="E470" s="12">
        <f ca="1">IFERROR(__xludf.DUMMYFUNCTION("""COMPUTED_VALUE"""),42985)</f>
        <v>42985</v>
      </c>
      <c r="F470" t="str">
        <f ca="1">IFERROR(__xludf.DUMMYFUNCTION("""COMPUTED_VALUE"""),"KP0925SG")</f>
        <v>KP0925SG</v>
      </c>
      <c r="G470" s="11">
        <f ca="1">IFERROR(__xludf.DUMMYFUNCTION("""COMPUTED_VALUE"""),30000000)</f>
        <v>30000000</v>
      </c>
      <c r="H470">
        <f ca="1">IFERROR(__xludf.DUMMYFUNCTION("""COMPUTED_VALUE"""),36099)</f>
        <v>36099</v>
      </c>
      <c r="I470">
        <f ca="1">IFERROR(__xludf.DUMMYFUNCTION("""COMPUTED_VALUE"""),2)</f>
        <v>2</v>
      </c>
      <c r="J470">
        <f ca="1">IFERROR(__xludf.DUMMYFUNCTION("""COMPUTED_VALUE"""),4)</f>
        <v>4</v>
      </c>
      <c r="K470" t="str">
        <f ca="1">IFERROR(__xludf.DUMMYFUNCTION("""COMPUTED_VALUE"""),"Swift Delivery")</f>
        <v>Swift Delivery</v>
      </c>
      <c r="L470" t="str">
        <f ca="1">IFERROR(__xludf.DUMMYFUNCTION("""COMPUTED_VALUE"""),"Y")</f>
        <v>Y</v>
      </c>
      <c r="M470" t="str">
        <f ca="1">IFERROR(__xludf.DUMMYFUNCTION("""COMPUTED_VALUE"""),"Db-290")</f>
        <v>Db-290</v>
      </c>
    </row>
    <row r="471" spans="1:13" ht="12.5" x14ac:dyDescent="0.25">
      <c r="A471" t="str">
        <f ca="1">IFERROR(__xludf.DUMMYFUNCTION("""COMPUTED_VALUE"""),"Raymond,")</f>
        <v>Raymond,</v>
      </c>
      <c r="B471" t="str">
        <f ca="1">IFERROR(__xludf.DUMMYFUNCTION("""COMPUTED_VALUE"""),"Angkosubroto")</f>
        <v>Angkosubroto</v>
      </c>
      <c r="C471" t="str">
        <f ca="1">IFERROR(__xludf.DUMMYFUNCTION("""COMPUTED_VALUE"""),"Raymond@mex.com")</f>
        <v>Raymond@mex.com</v>
      </c>
      <c r="D471" t="str">
        <f ca="1">IFERROR(__xludf.DUMMYFUNCTION("""COMPUTED_VALUE"""),"Padangpanjang")</f>
        <v>Padangpanjang</v>
      </c>
      <c r="E471" s="12">
        <f ca="1">IFERROR(__xludf.DUMMYFUNCTION("""COMPUTED_VALUE"""),42862)</f>
        <v>42862</v>
      </c>
      <c r="F471" t="str">
        <f ca="1">IFERROR(__xludf.DUMMYFUNCTION("""COMPUTED_VALUE"""),"KP0625AF")</f>
        <v>KP0625AF</v>
      </c>
      <c r="G471" s="11">
        <f ca="1">IFERROR(__xludf.DUMMYFUNCTION("""COMPUTED_VALUE"""),96000000)</f>
        <v>96000000</v>
      </c>
      <c r="H471">
        <f ca="1">IFERROR(__xludf.DUMMYFUNCTION("""COMPUTED_VALUE"""),36407)</f>
        <v>36407</v>
      </c>
      <c r="I471">
        <f ca="1">IFERROR(__xludf.DUMMYFUNCTION("""COMPUTED_VALUE"""),8)</f>
        <v>8</v>
      </c>
      <c r="J471" t="str">
        <f ca="1">IFERROR(__xludf.DUMMYFUNCTION("""COMPUTED_VALUE"""),"N/A")</f>
        <v>N/A</v>
      </c>
      <c r="K471" t="str">
        <f ca="1">IFERROR(__xludf.DUMMYFUNCTION("""COMPUTED_VALUE"""),"Cepat Kirim")</f>
        <v>Cepat Kirim</v>
      </c>
      <c r="L471" t="str">
        <f ca="1">IFERROR(__xludf.DUMMYFUNCTION("""COMPUTED_VALUE"""),"N")</f>
        <v>N</v>
      </c>
      <c r="M471" t="str">
        <f ca="1">IFERROR(__xludf.DUMMYFUNCTION("""COMPUTED_VALUE"""),"Cy-559")</f>
        <v>Cy-559</v>
      </c>
    </row>
    <row r="472" spans="1:13" ht="12.5" x14ac:dyDescent="0.25">
      <c r="A472" t="str">
        <f ca="1">IFERROR(__xludf.DUMMYFUNCTION("""COMPUTED_VALUE"""),"Rudy")</f>
        <v>Rudy</v>
      </c>
      <c r="B472" t="str">
        <f ca="1">IFERROR(__xludf.DUMMYFUNCTION("""COMPUTED_VALUE"""),"Na")</f>
        <v>Na</v>
      </c>
      <c r="C472" t="str">
        <f ca="1">IFERROR(__xludf.DUMMYFUNCTION("""COMPUTED_VALUE"""),"Na@livex.com")</f>
        <v>Na@livex.com</v>
      </c>
      <c r="D472" t="str">
        <f ca="1">IFERROR(__xludf.DUMMYFUNCTION("""COMPUTED_VALUE"""),"Sabang")</f>
        <v>Sabang</v>
      </c>
      <c r="E472" s="12">
        <f ca="1">IFERROR(__xludf.DUMMYFUNCTION("""COMPUTED_VALUE"""),42862)</f>
        <v>42862</v>
      </c>
      <c r="F472" t="str">
        <f ca="1">IFERROR(__xludf.DUMMYFUNCTION("""COMPUTED_VALUE"""),"KP0150BH")</f>
        <v>KP0150BH</v>
      </c>
      <c r="G472" s="11">
        <f ca="1">IFERROR(__xludf.DUMMYFUNCTION("""COMPUTED_VALUE"""),162000000)</f>
        <v>162000000</v>
      </c>
      <c r="H472">
        <f ca="1">IFERROR(__xludf.DUMMYFUNCTION("""COMPUTED_VALUE"""),35309)</f>
        <v>35309</v>
      </c>
      <c r="I472">
        <f ca="1">IFERROR(__xludf.DUMMYFUNCTION("""COMPUTED_VALUE"""),6)</f>
        <v>6</v>
      </c>
      <c r="J472" t="str">
        <f ca="1">IFERROR(__xludf.DUMMYFUNCTION("""COMPUTED_VALUE"""),"N/A")</f>
        <v>N/A</v>
      </c>
      <c r="K472" t="str">
        <f ca="1">IFERROR(__xludf.DUMMYFUNCTION("""COMPUTED_VALUE"""),"Swift Delivery")</f>
        <v>Swift Delivery</v>
      </c>
      <c r="L472" t="str">
        <f ca="1">IFERROR(__xludf.DUMMYFUNCTION("""COMPUTED_VALUE"""),"N")</f>
        <v>N</v>
      </c>
      <c r="M472" t="str">
        <f ca="1">IFERROR(__xludf.DUMMYFUNCTION("""COMPUTED_VALUE"""),"Aq-101")</f>
        <v>Aq-101</v>
      </c>
    </row>
    <row r="473" spans="1:13" ht="12.5" x14ac:dyDescent="0.25">
      <c r="A473" t="str">
        <f ca="1">IFERROR(__xludf.DUMMYFUNCTION("""COMPUTED_VALUE"""),"Anuj")</f>
        <v>Anuj</v>
      </c>
      <c r="B473" t="str">
        <f ca="1">IFERROR(__xludf.DUMMYFUNCTION("""COMPUTED_VALUE"""),"Kusumawati")</f>
        <v>Kusumawati</v>
      </c>
      <c r="C473" t="str">
        <f ca="1">IFERROR(__xludf.DUMMYFUNCTION("""COMPUTED_VALUE"""),"Anuj@livex.com")</f>
        <v>Anuj@livex.com</v>
      </c>
      <c r="D473" t="str">
        <f ca="1">IFERROR(__xludf.DUMMYFUNCTION("""COMPUTED_VALUE"""),"Makassar")</f>
        <v>Makassar</v>
      </c>
      <c r="E473" s="12">
        <f ca="1">IFERROR(__xludf.DUMMYFUNCTION("""COMPUTED_VALUE"""),42832)</f>
        <v>42832</v>
      </c>
      <c r="F473" t="str">
        <f ca="1">IFERROR(__xludf.DUMMYFUNCTION("""COMPUTED_VALUE"""),"KP0850FB")</f>
        <v>KP0850FB</v>
      </c>
      <c r="G473" s="11">
        <f ca="1">IFERROR(__xludf.DUMMYFUNCTION("""COMPUTED_VALUE"""),189000000)</f>
        <v>189000000</v>
      </c>
      <c r="H473">
        <f ca="1">IFERROR(__xludf.DUMMYFUNCTION("""COMPUTED_VALUE"""),35847)</f>
        <v>35847</v>
      </c>
      <c r="I473">
        <f ca="1">IFERROR(__xludf.DUMMYFUNCTION("""COMPUTED_VALUE"""),9)</f>
        <v>9</v>
      </c>
      <c r="J473" t="str">
        <f ca="1">IFERROR(__xludf.DUMMYFUNCTION("""COMPUTED_VALUE"""),"N/A")</f>
        <v>N/A</v>
      </c>
      <c r="K473" t="str">
        <f ca="1">IFERROR(__xludf.DUMMYFUNCTION("""COMPUTED_VALUE"""),"JENT")</f>
        <v>JENT</v>
      </c>
      <c r="L473" t="str">
        <f ca="1">IFERROR(__xludf.DUMMYFUNCTION("""COMPUTED_VALUE"""),"Y")</f>
        <v>Y</v>
      </c>
      <c r="M473" t="str">
        <f ca="1">IFERROR(__xludf.DUMMYFUNCTION("""COMPUTED_VALUE"""),"Jd-290")</f>
        <v>Jd-290</v>
      </c>
    </row>
    <row r="474" spans="1:13" ht="12.5" x14ac:dyDescent="0.25">
      <c r="A474" t="str">
        <f ca="1">IFERROR(__xludf.DUMMYFUNCTION("""COMPUTED_VALUE"""),"Angus")</f>
        <v>Angus</v>
      </c>
      <c r="B474" t="str">
        <f ca="1">IFERROR(__xludf.DUMMYFUNCTION("""COMPUTED_VALUE"""),"Sik")</f>
        <v>Sik</v>
      </c>
      <c r="C474" t="str">
        <f ca="1">IFERROR(__xludf.DUMMYFUNCTION("""COMPUTED_VALUE"""),"Sik@ymailx.com")</f>
        <v>Sik@ymailx.com</v>
      </c>
      <c r="D474" t="str">
        <f ca="1">IFERROR(__xludf.DUMMYFUNCTION("""COMPUTED_VALUE"""),"Magelang")</f>
        <v>Magelang</v>
      </c>
      <c r="E474" s="12">
        <f ca="1">IFERROR(__xludf.DUMMYFUNCTION("""COMPUTED_VALUE"""),42801)</f>
        <v>42801</v>
      </c>
      <c r="F474" t="str">
        <f ca="1">IFERROR(__xludf.DUMMYFUNCTION("""COMPUTED_VALUE"""),"KP0350CF")</f>
        <v>KP0350CF</v>
      </c>
      <c r="G474" s="11">
        <f ca="1">IFERROR(__xludf.DUMMYFUNCTION("""COMPUTED_VALUE"""),210000000)</f>
        <v>210000000</v>
      </c>
      <c r="H474">
        <f ca="1">IFERROR(__xludf.DUMMYFUNCTION("""COMPUTED_VALUE"""),36564)</f>
        <v>36564</v>
      </c>
      <c r="I474">
        <f ca="1">IFERROR(__xludf.DUMMYFUNCTION("""COMPUTED_VALUE"""),6)</f>
        <v>6</v>
      </c>
      <c r="J474" t="str">
        <f ca="1">IFERROR(__xludf.DUMMYFUNCTION("""COMPUTED_VALUE"""),"N/A")</f>
        <v>N/A</v>
      </c>
      <c r="K474" t="str">
        <f ca="1">IFERROR(__xludf.DUMMYFUNCTION("""COMPUTED_VALUE"""),"Pru Logistic")</f>
        <v>Pru Logistic</v>
      </c>
      <c r="L474" t="str">
        <f ca="1">IFERROR(__xludf.DUMMYFUNCTION("""COMPUTED_VALUE"""),"Y")</f>
        <v>Y</v>
      </c>
      <c r="M474" t="str">
        <f ca="1">IFERROR(__xludf.DUMMYFUNCTION("""COMPUTED_VALUE"""),"Vi-410")</f>
        <v>Vi-410</v>
      </c>
    </row>
    <row r="475" spans="1:13" ht="12.5" x14ac:dyDescent="0.25">
      <c r="A475" t="str">
        <f ca="1">IFERROR(__xludf.DUMMYFUNCTION("""COMPUTED_VALUE"""),"Arman")</f>
        <v>Arman</v>
      </c>
      <c r="B475" t="str">
        <f ca="1">IFERROR(__xludf.DUMMYFUNCTION("""COMPUTED_VALUE"""),"Maya")</f>
        <v>Maya</v>
      </c>
      <c r="C475" t="str">
        <f ca="1">IFERROR(__xludf.DUMMYFUNCTION("""COMPUTED_VALUE"""),"Arman@livex.com")</f>
        <v>Arman@livex.com</v>
      </c>
      <c r="D475" t="str">
        <f ca="1">IFERROR(__xludf.DUMMYFUNCTION("""COMPUTED_VALUE"""),"Tebingtinggi")</f>
        <v>Tebingtinggi</v>
      </c>
      <c r="E475" s="12">
        <f ca="1">IFERROR(__xludf.DUMMYFUNCTION("""COMPUTED_VALUE"""),42801)</f>
        <v>42801</v>
      </c>
      <c r="F475" t="str">
        <f ca="1">IFERROR(__xludf.DUMMYFUNCTION("""COMPUTED_VALUE"""),"KP0350CF")</f>
        <v>KP0350CF</v>
      </c>
      <c r="G475" s="11">
        <f ca="1">IFERROR(__xludf.DUMMYFUNCTION("""COMPUTED_VALUE"""),70000000)</f>
        <v>70000000</v>
      </c>
      <c r="H475">
        <f ca="1">IFERROR(__xludf.DUMMYFUNCTION("""COMPUTED_VALUE"""),36111)</f>
        <v>36111</v>
      </c>
      <c r="I475">
        <f ca="1">IFERROR(__xludf.DUMMYFUNCTION("""COMPUTED_VALUE"""),2)</f>
        <v>2</v>
      </c>
      <c r="J475" t="str">
        <f ca="1">IFERROR(__xludf.DUMMYFUNCTION("""COMPUTED_VALUE"""),"N/A")</f>
        <v>N/A</v>
      </c>
      <c r="K475" t="str">
        <f ca="1">IFERROR(__xludf.DUMMYFUNCTION("""COMPUTED_VALUE"""),"Cepat Kirim")</f>
        <v>Cepat Kirim</v>
      </c>
      <c r="L475" t="str">
        <f ca="1">IFERROR(__xludf.DUMMYFUNCTION("""COMPUTED_VALUE"""),"Y")</f>
        <v>Y</v>
      </c>
      <c r="M475" t="str">
        <f ca="1">IFERROR(__xludf.DUMMYFUNCTION("""COMPUTED_VALUE"""),"Zj-662")</f>
        <v>Zj-662</v>
      </c>
    </row>
    <row r="476" spans="1:13" ht="12.5" x14ac:dyDescent="0.25">
      <c r="A476" t="str">
        <f ca="1">IFERROR(__xludf.DUMMYFUNCTION("""COMPUTED_VALUE"""),"Gahet")</f>
        <v>Gahet</v>
      </c>
      <c r="B476" t="str">
        <f ca="1">IFERROR(__xludf.DUMMYFUNCTION("""COMPUTED_VALUE"""),"Frederik")</f>
        <v>Frederik</v>
      </c>
      <c r="C476" t="str">
        <f ca="1">IFERROR(__xludf.DUMMYFUNCTION("""COMPUTED_VALUE"""),"Gahet@outlookx.com")</f>
        <v>Gahet@outlookx.com</v>
      </c>
      <c r="D476" t="str">
        <f ca="1">IFERROR(__xludf.DUMMYFUNCTION("""COMPUTED_VALUE"""),"Padang")</f>
        <v>Padang</v>
      </c>
      <c r="E476" s="12">
        <f ca="1">IFERROR(__xludf.DUMMYFUNCTION("""COMPUTED_VALUE"""),42742)</f>
        <v>42742</v>
      </c>
      <c r="F476" t="str">
        <f ca="1">IFERROR(__xludf.DUMMYFUNCTION("""COMPUTED_VALUE"""),"KP0150BH")</f>
        <v>KP0150BH</v>
      </c>
      <c r="G476" s="11">
        <f ca="1">IFERROR(__xludf.DUMMYFUNCTION("""COMPUTED_VALUE"""),162000000)</f>
        <v>162000000</v>
      </c>
      <c r="H476">
        <f ca="1">IFERROR(__xludf.DUMMYFUNCTION("""COMPUTED_VALUE"""),36193)</f>
        <v>36193</v>
      </c>
      <c r="I476">
        <f ca="1">IFERROR(__xludf.DUMMYFUNCTION("""COMPUTED_VALUE"""),6)</f>
        <v>6</v>
      </c>
      <c r="J476" t="str">
        <f ca="1">IFERROR(__xludf.DUMMYFUNCTION("""COMPUTED_VALUE"""),"N/A")</f>
        <v>N/A</v>
      </c>
      <c r="K476" t="str">
        <f ca="1">IFERROR(__xludf.DUMMYFUNCTION("""COMPUTED_VALUE"""),"Wakanda Express")</f>
        <v>Wakanda Express</v>
      </c>
      <c r="L476" t="str">
        <f ca="1">IFERROR(__xludf.DUMMYFUNCTION("""COMPUTED_VALUE"""),"Y")</f>
        <v>Y</v>
      </c>
      <c r="M476" t="str">
        <f ca="1">IFERROR(__xludf.DUMMYFUNCTION("""COMPUTED_VALUE"""),"Ne-559")</f>
        <v>Ne-559</v>
      </c>
    </row>
    <row r="477" spans="1:13" ht="12.5" x14ac:dyDescent="0.25">
      <c r="A477" t="str">
        <f ca="1">IFERROR(__xludf.DUMMYFUNCTION("""COMPUTED_VALUE"""),"Grant")</f>
        <v>Grant</v>
      </c>
      <c r="B477" t="str">
        <f ca="1">IFERROR(__xludf.DUMMYFUNCTION("""COMPUTED_VALUE"""),"Sutantyo")</f>
        <v>Sutantyo</v>
      </c>
      <c r="C477" t="str">
        <f ca="1">IFERROR(__xludf.DUMMYFUNCTION("""COMPUTED_VALUE"""),"Grant@ymailx.com")</f>
        <v>Grant@ymailx.com</v>
      </c>
      <c r="D477" t="str">
        <f ca="1">IFERROR(__xludf.DUMMYFUNCTION("""COMPUTED_VALUE"""),"Surakarta")</f>
        <v>Surakarta</v>
      </c>
      <c r="E477" s="12">
        <f ca="1">IFERROR(__xludf.DUMMYFUNCTION("""COMPUTED_VALUE"""),42913)</f>
        <v>42913</v>
      </c>
      <c r="F477" t="str">
        <f ca="1">IFERROR(__xludf.DUMMYFUNCTION("""COMPUTED_VALUE"""),"KP0925SG")</f>
        <v>KP0925SG</v>
      </c>
      <c r="G477" s="11">
        <f ca="1">IFERROR(__xludf.DUMMYFUNCTION("""COMPUTED_VALUE"""),120000000)</f>
        <v>120000000</v>
      </c>
      <c r="H477">
        <f ca="1">IFERROR(__xludf.DUMMYFUNCTION("""COMPUTED_VALUE"""),35992)</f>
        <v>35992</v>
      </c>
      <c r="I477">
        <f ca="1">IFERROR(__xludf.DUMMYFUNCTION("""COMPUTED_VALUE"""),8)</f>
        <v>8</v>
      </c>
      <c r="J477">
        <f ca="1">IFERROR(__xludf.DUMMYFUNCTION("""COMPUTED_VALUE"""),2)</f>
        <v>2</v>
      </c>
      <c r="K477" t="str">
        <f ca="1">IFERROR(__xludf.DUMMYFUNCTION("""COMPUTED_VALUE"""),"Pru Logistic")</f>
        <v>Pru Logistic</v>
      </c>
      <c r="L477" t="str">
        <f ca="1">IFERROR(__xludf.DUMMYFUNCTION("""COMPUTED_VALUE"""),"Y")</f>
        <v>Y</v>
      </c>
      <c r="M477" t="str">
        <f ca="1">IFERROR(__xludf.DUMMYFUNCTION("""COMPUTED_VALUE"""),"Ji-410")</f>
        <v>Ji-410</v>
      </c>
    </row>
    <row r="478" spans="1:13" ht="12.5" x14ac:dyDescent="0.25">
      <c r="A478" t="str">
        <f ca="1">IFERROR(__xludf.DUMMYFUNCTION("""COMPUTED_VALUE"""),"Gita")</f>
        <v>Gita</v>
      </c>
      <c r="B478" t="str">
        <f ca="1">IFERROR(__xludf.DUMMYFUNCTION("""COMPUTED_VALUE"""),"Group")</f>
        <v>Group</v>
      </c>
      <c r="C478" t="str">
        <f ca="1">IFERROR(__xludf.DUMMYFUNCTION("""COMPUTED_VALUE"""),"GITA@ymailx.com")</f>
        <v>GITA@ymailx.com</v>
      </c>
      <c r="D478" t="str">
        <f ca="1">IFERROR(__xludf.DUMMYFUNCTION("""COMPUTED_VALUE"""),"Lubuklinggau")</f>
        <v>Lubuklinggau</v>
      </c>
      <c r="E478" s="12">
        <f ca="1">IFERROR(__xludf.DUMMYFUNCTION("""COMPUTED_VALUE"""),42911)</f>
        <v>42911</v>
      </c>
      <c r="F478" t="str">
        <f ca="1">IFERROR(__xludf.DUMMYFUNCTION("""COMPUTED_VALUE"""),"KP0625AF")</f>
        <v>KP0625AF</v>
      </c>
      <c r="G478" s="11">
        <f ca="1">IFERROR(__xludf.DUMMYFUNCTION("""COMPUTED_VALUE"""),60000000)</f>
        <v>60000000</v>
      </c>
      <c r="H478">
        <f ca="1">IFERROR(__xludf.DUMMYFUNCTION("""COMPUTED_VALUE"""),35961)</f>
        <v>35961</v>
      </c>
      <c r="I478">
        <f ca="1">IFERROR(__xludf.DUMMYFUNCTION("""COMPUTED_VALUE"""),5)</f>
        <v>5</v>
      </c>
      <c r="J478" t="str">
        <f ca="1">IFERROR(__xludf.DUMMYFUNCTION("""COMPUTED_VALUE"""),"N/A")</f>
        <v>N/A</v>
      </c>
      <c r="K478" t="str">
        <f ca="1">IFERROR(__xludf.DUMMYFUNCTION("""COMPUTED_VALUE"""),"Swift Delivery")</f>
        <v>Swift Delivery</v>
      </c>
      <c r="L478" t="str">
        <f ca="1">IFERROR(__xludf.DUMMYFUNCTION("""COMPUTED_VALUE"""),"Y")</f>
        <v>Y</v>
      </c>
      <c r="M478" t="str">
        <f ca="1">IFERROR(__xludf.DUMMYFUNCTION("""COMPUTED_VALUE"""),"Dv-661")</f>
        <v>Dv-661</v>
      </c>
    </row>
    <row r="479" spans="1:13" ht="12.5" x14ac:dyDescent="0.25">
      <c r="A479" t="str">
        <f ca="1">IFERROR(__xludf.DUMMYFUNCTION("""COMPUTED_VALUE"""),"Victor")</f>
        <v>Victor</v>
      </c>
      <c r="B479" t="str">
        <f ca="1">IFERROR(__xludf.DUMMYFUNCTION("""COMPUTED_VALUE"""),"Luhur")</f>
        <v>Luhur</v>
      </c>
      <c r="C479" t="str">
        <f ca="1">IFERROR(__xludf.DUMMYFUNCTION("""COMPUTED_VALUE"""),"Luhur@icloudx.com")</f>
        <v>Luhur@icloudx.com</v>
      </c>
      <c r="D479" t="str">
        <f ca="1">IFERROR(__xludf.DUMMYFUNCTION("""COMPUTED_VALUE"""),"Magelang")</f>
        <v>Magelang</v>
      </c>
      <c r="E479" s="12">
        <f ca="1">IFERROR(__xludf.DUMMYFUNCTION("""COMPUTED_VALUE"""),42911)</f>
        <v>42911</v>
      </c>
      <c r="F479" t="str">
        <f ca="1">IFERROR(__xludf.DUMMYFUNCTION("""COMPUTED_VALUE"""),"KP0150BH")</f>
        <v>KP0150BH</v>
      </c>
      <c r="G479" s="11">
        <f ca="1">IFERROR(__xludf.DUMMYFUNCTION("""COMPUTED_VALUE"""),162000000)</f>
        <v>162000000</v>
      </c>
      <c r="H479">
        <f ca="1">IFERROR(__xludf.DUMMYFUNCTION("""COMPUTED_VALUE"""),35480)</f>
        <v>35480</v>
      </c>
      <c r="I479">
        <f ca="1">IFERROR(__xludf.DUMMYFUNCTION("""COMPUTED_VALUE"""),6)</f>
        <v>6</v>
      </c>
      <c r="J479">
        <f ca="1">IFERROR(__xludf.DUMMYFUNCTION("""COMPUTED_VALUE"""),4)</f>
        <v>4</v>
      </c>
      <c r="K479" t="str">
        <f ca="1">IFERROR(__xludf.DUMMYFUNCTION("""COMPUTED_VALUE"""),"#N/A")</f>
        <v>#N/A</v>
      </c>
      <c r="L479" t="str">
        <f ca="1">IFERROR(__xludf.DUMMYFUNCTION("""COMPUTED_VALUE"""),"N")</f>
        <v>N</v>
      </c>
      <c r="M479" t="str">
        <f ca="1">IFERROR(__xludf.DUMMYFUNCTION("""COMPUTED_VALUE"""),"rm-410")</f>
        <v>rm-410</v>
      </c>
    </row>
    <row r="480" spans="1:13" ht="12.5" x14ac:dyDescent="0.25">
      <c r="A480" t="str">
        <f ca="1">IFERROR(__xludf.DUMMYFUNCTION("""COMPUTED_VALUE"""),"Armedta")</f>
        <v>Armedta</v>
      </c>
      <c r="B480" t="str">
        <f ca="1">IFERROR(__xludf.DUMMYFUNCTION("""COMPUTED_VALUE"""),"Christina")</f>
        <v>Christina</v>
      </c>
      <c r="C480" t="str">
        <f ca="1">IFERROR(__xludf.DUMMYFUNCTION("""COMPUTED_VALUE"""),"Christina@livex.com")</f>
        <v>Christina@livex.com</v>
      </c>
      <c r="D480" t="str">
        <f ca="1">IFERROR(__xludf.DUMMYFUNCTION("""COMPUTED_VALUE"""),"Denpasar")</f>
        <v>Denpasar</v>
      </c>
      <c r="E480" s="12">
        <f ca="1">IFERROR(__xludf.DUMMYFUNCTION("""COMPUTED_VALUE"""),42910)</f>
        <v>42910</v>
      </c>
      <c r="F480" t="str">
        <f ca="1">IFERROR(__xludf.DUMMYFUNCTION("""COMPUTED_VALUE"""),"KP0350CF")</f>
        <v>KP0350CF</v>
      </c>
      <c r="G480" s="11">
        <f ca="1">IFERROR(__xludf.DUMMYFUNCTION("""COMPUTED_VALUE"""),175000000)</f>
        <v>175000000</v>
      </c>
      <c r="H480">
        <f ca="1">IFERROR(__xludf.DUMMYFUNCTION("""COMPUTED_VALUE"""),35175)</f>
        <v>35175</v>
      </c>
      <c r="I480">
        <f ca="1">IFERROR(__xludf.DUMMYFUNCTION("""COMPUTED_VALUE"""),5)</f>
        <v>5</v>
      </c>
      <c r="J480" t="str">
        <f ca="1">IFERROR(__xludf.DUMMYFUNCTION("""COMPUTED_VALUE"""),"N/A")</f>
        <v>N/A</v>
      </c>
      <c r="K480" t="str">
        <f ca="1">IFERROR(__xludf.DUMMYFUNCTION("""COMPUTED_VALUE"""),"Wakanda Express")</f>
        <v>Wakanda Express</v>
      </c>
      <c r="L480" t="str">
        <f ca="1">IFERROR(__xludf.DUMMYFUNCTION("""COMPUTED_VALUE"""),"Y")</f>
        <v>Y</v>
      </c>
      <c r="M480" t="str">
        <f ca="1">IFERROR(__xludf.DUMMYFUNCTION("""COMPUTED_VALUE"""),"ve-201")</f>
        <v>ve-201</v>
      </c>
    </row>
    <row r="481" spans="1:13" ht="12.5" x14ac:dyDescent="0.25">
      <c r="A481" t="str">
        <f ca="1">IFERROR(__xludf.DUMMYFUNCTION("""COMPUTED_VALUE"""),"Henny")</f>
        <v>Henny</v>
      </c>
      <c r="B481" t="str">
        <f ca="1">IFERROR(__xludf.DUMMYFUNCTION("""COMPUTED_VALUE"""),"Oen")</f>
        <v>Oen</v>
      </c>
      <c r="C481" t="str">
        <f ca="1">IFERROR(__xludf.DUMMYFUNCTION("""COMPUTED_VALUE"""),"Henny@gmailx.com")</f>
        <v>Henny@gmailx.com</v>
      </c>
      <c r="D481" t="str">
        <f ca="1">IFERROR(__xludf.DUMMYFUNCTION("""COMPUTED_VALUE"""),"Tarakan")</f>
        <v>Tarakan</v>
      </c>
      <c r="E481" s="12">
        <f ca="1">IFERROR(__xludf.DUMMYFUNCTION("""COMPUTED_VALUE"""),42908)</f>
        <v>42908</v>
      </c>
      <c r="F481" t="str">
        <f ca="1">IFERROR(__xludf.DUMMYFUNCTION("""COMPUTED_VALUE"""),"KP0425CB")</f>
        <v>KP0425CB</v>
      </c>
      <c r="G481" s="11">
        <f ca="1">IFERROR(__xludf.DUMMYFUNCTION("""COMPUTED_VALUE"""),190750000)</f>
        <v>190750000</v>
      </c>
      <c r="H481">
        <f ca="1">IFERROR(__xludf.DUMMYFUNCTION("""COMPUTED_VALUE"""),36028)</f>
        <v>36028</v>
      </c>
      <c r="I481">
        <f ca="1">IFERROR(__xludf.DUMMYFUNCTION("""COMPUTED_VALUE"""),7)</f>
        <v>7</v>
      </c>
      <c r="J481" t="str">
        <f ca="1">IFERROR(__xludf.DUMMYFUNCTION("""COMPUTED_VALUE"""),"N/A")</f>
        <v>N/A</v>
      </c>
      <c r="K481" t="str">
        <f ca="1">IFERROR(__xludf.DUMMYFUNCTION("""COMPUTED_VALUE"""),"JENT")</f>
        <v>JENT</v>
      </c>
      <c r="L481" t="str">
        <f ca="1">IFERROR(__xludf.DUMMYFUNCTION("""COMPUTED_VALUE"""),"Y")</f>
        <v>Y</v>
      </c>
      <c r="M481" t="str">
        <f ca="1">IFERROR(__xludf.DUMMYFUNCTION("""COMPUTED_VALUE"""),"cf-994")</f>
        <v>cf-994</v>
      </c>
    </row>
    <row r="482" spans="1:13" ht="12.5" x14ac:dyDescent="0.25">
      <c r="A482" t="str">
        <f ca="1">IFERROR(__xludf.DUMMYFUNCTION("""COMPUTED_VALUE"""),"Radisha")</f>
        <v>Radisha</v>
      </c>
      <c r="B482" t="str">
        <f ca="1">IFERROR(__xludf.DUMMYFUNCTION("""COMPUTED_VALUE"""),"Tjen")</f>
        <v>Tjen</v>
      </c>
      <c r="C482" t="str">
        <f ca="1">IFERROR(__xludf.DUMMYFUNCTION("""COMPUTED_VALUE"""),"Radisha@gmailx.com")</f>
        <v>Radisha@gmailx.com</v>
      </c>
      <c r="D482" t="str">
        <f ca="1">IFERROR(__xludf.DUMMYFUNCTION("""COMPUTED_VALUE"""),"Cirebon")</f>
        <v>Cirebon</v>
      </c>
      <c r="E482" s="12">
        <f ca="1">IFERROR(__xludf.DUMMYFUNCTION("""COMPUTED_VALUE"""),42907)</f>
        <v>42907</v>
      </c>
      <c r="F482" t="str">
        <f ca="1">IFERROR(__xludf.DUMMYFUNCTION("""COMPUTED_VALUE"""),"KP0625AF")</f>
        <v>KP0625AF</v>
      </c>
      <c r="G482" s="11">
        <f ca="1">IFERROR(__xludf.DUMMYFUNCTION("""COMPUTED_VALUE"""),48000000)</f>
        <v>48000000</v>
      </c>
      <c r="H482">
        <f ca="1">IFERROR(__xludf.DUMMYFUNCTION("""COMPUTED_VALUE"""),36447)</f>
        <v>36447</v>
      </c>
      <c r="I482">
        <f ca="1">IFERROR(__xludf.DUMMYFUNCTION("""COMPUTED_VALUE"""),4)</f>
        <v>4</v>
      </c>
      <c r="J482" t="str">
        <f ca="1">IFERROR(__xludf.DUMMYFUNCTION("""COMPUTED_VALUE"""),"N/A")</f>
        <v>N/A</v>
      </c>
      <c r="K482" t="str">
        <f ca="1">IFERROR(__xludf.DUMMYFUNCTION("""COMPUTED_VALUE"""),"Cepat Kirim")</f>
        <v>Cepat Kirim</v>
      </c>
      <c r="L482" t="str">
        <f ca="1">IFERROR(__xludf.DUMMYFUNCTION("""COMPUTED_VALUE"""),"N")</f>
        <v>N</v>
      </c>
      <c r="M482" t="str">
        <f ca="1">IFERROR(__xludf.DUMMYFUNCTION("""COMPUTED_VALUE"""),"jp-409")</f>
        <v>jp-409</v>
      </c>
    </row>
    <row r="483" spans="1:13" ht="12.5" x14ac:dyDescent="0.25">
      <c r="A483" t="str">
        <f ca="1">IFERROR(__xludf.DUMMYFUNCTION("""COMPUTED_VALUE"""),"Lukman")</f>
        <v>Lukman</v>
      </c>
      <c r="B483" t="str">
        <f ca="1">IFERROR(__xludf.DUMMYFUNCTION("""COMPUTED_VALUE"""),"Adelberd")</f>
        <v>Adelberd</v>
      </c>
      <c r="C483" t="str">
        <f ca="1">IFERROR(__xludf.DUMMYFUNCTION("""COMPUTED_VALUE"""),"Lukman@gmailx.com")</f>
        <v>Lukman@gmailx.com</v>
      </c>
      <c r="D483" t="str">
        <f ca="1">IFERROR(__xludf.DUMMYFUNCTION("""COMPUTED_VALUE"""),"Medan")</f>
        <v>Medan</v>
      </c>
      <c r="E483" s="12">
        <f ca="1">IFERROR(__xludf.DUMMYFUNCTION("""COMPUTED_VALUE"""),42907)</f>
        <v>42907</v>
      </c>
      <c r="F483" t="str">
        <f ca="1">IFERROR(__xludf.DUMMYFUNCTION("""COMPUTED_VALUE"""),"KP0925SG")</f>
        <v>KP0925SG</v>
      </c>
      <c r="G483" s="11">
        <f ca="1">IFERROR(__xludf.DUMMYFUNCTION("""COMPUTED_VALUE"""),150000000)</f>
        <v>150000000</v>
      </c>
      <c r="H483">
        <f ca="1">IFERROR(__xludf.DUMMYFUNCTION("""COMPUTED_VALUE"""),35798)</f>
        <v>35798</v>
      </c>
      <c r="I483">
        <f ca="1">IFERROR(__xludf.DUMMYFUNCTION("""COMPUTED_VALUE"""),10)</f>
        <v>10</v>
      </c>
      <c r="J483" t="str">
        <f ca="1">IFERROR(__xludf.DUMMYFUNCTION("""COMPUTED_VALUE"""),"N/A")</f>
        <v>N/A</v>
      </c>
      <c r="K483" t="str">
        <f ca="1">IFERROR(__xludf.DUMMYFUNCTION("""COMPUTED_VALUE"""),"Cepat Kirim")</f>
        <v>Cepat Kirim</v>
      </c>
      <c r="L483" t="str">
        <f ca="1">IFERROR(__xludf.DUMMYFUNCTION("""COMPUTED_VALUE"""),"Y")</f>
        <v>Y</v>
      </c>
      <c r="M483" t="str">
        <f ca="1">IFERROR(__xludf.DUMMYFUNCTION("""COMPUTED_VALUE"""),"ke-662")</f>
        <v>ke-662</v>
      </c>
    </row>
    <row r="484" spans="1:13" ht="12.5" x14ac:dyDescent="0.25">
      <c r="A484" t="str">
        <f ca="1">IFERROR(__xludf.DUMMYFUNCTION("""COMPUTED_VALUE"""),"Mohamad")</f>
        <v>Mohamad</v>
      </c>
      <c r="B484" t="str">
        <f ca="1">IFERROR(__xludf.DUMMYFUNCTION("""COMPUTED_VALUE"""),"Ivan")</f>
        <v>Ivan</v>
      </c>
      <c r="C484" t="str">
        <f ca="1">IFERROR(__xludf.DUMMYFUNCTION("""COMPUTED_VALUE"""),"Ivan@rocketmailx.com")</f>
        <v>Ivan@rocketmailx.com</v>
      </c>
      <c r="D484" t="str">
        <f ca="1">IFERROR(__xludf.DUMMYFUNCTION("""COMPUTED_VALUE"""),"Surabaya")</f>
        <v>Surabaya</v>
      </c>
      <c r="E484" s="12">
        <f ca="1">IFERROR(__xludf.DUMMYFUNCTION("""COMPUTED_VALUE"""),42906)</f>
        <v>42906</v>
      </c>
      <c r="F484" t="str">
        <f ca="1">IFERROR(__xludf.DUMMYFUNCTION("""COMPUTED_VALUE"""),"KP0625AF")</f>
        <v>KP0625AF</v>
      </c>
      <c r="G484" s="11">
        <f ca="1">IFERROR(__xludf.DUMMYFUNCTION("""COMPUTED_VALUE"""),96000000)</f>
        <v>96000000</v>
      </c>
      <c r="H484">
        <f ca="1">IFERROR(__xludf.DUMMYFUNCTION("""COMPUTED_VALUE"""),36647)</f>
        <v>36647</v>
      </c>
      <c r="I484">
        <f ca="1">IFERROR(__xludf.DUMMYFUNCTION("""COMPUTED_VALUE"""),8)</f>
        <v>8</v>
      </c>
      <c r="J484">
        <f ca="1">IFERROR(__xludf.DUMMYFUNCTION("""COMPUTED_VALUE"""),4)</f>
        <v>4</v>
      </c>
      <c r="K484" t="str">
        <f ca="1">IFERROR(__xludf.DUMMYFUNCTION("""COMPUTED_VALUE"""),"Wakanda Express")</f>
        <v>Wakanda Express</v>
      </c>
      <c r="L484" t="str">
        <f ca="1">IFERROR(__xludf.DUMMYFUNCTION("""COMPUTED_VALUE"""),"Y")</f>
        <v>Y</v>
      </c>
      <c r="M484" t="str">
        <f ca="1">IFERROR(__xludf.DUMMYFUNCTION("""COMPUTED_VALUE"""),"we-123")</f>
        <v>we-123</v>
      </c>
    </row>
    <row r="485" spans="1:13" ht="12.5" x14ac:dyDescent="0.25">
      <c r="A485" t="str">
        <f ca="1">IFERROR(__xludf.DUMMYFUNCTION("""COMPUTED_VALUE"""),"Andre")</f>
        <v>Andre</v>
      </c>
      <c r="B485" t="str">
        <f ca="1">IFERROR(__xludf.DUMMYFUNCTION("""COMPUTED_VALUE"""),"Leebrianto")</f>
        <v>Leebrianto</v>
      </c>
      <c r="C485" t="str">
        <f ca="1">IFERROR(__xludf.DUMMYFUNCTION("""COMPUTED_VALUE"""),"Andre@gmailx.com")</f>
        <v>Andre@gmailx.com</v>
      </c>
      <c r="D485" t="str">
        <f ca="1">IFERROR(__xludf.DUMMYFUNCTION("""COMPUTED_VALUE"""),"Metro")</f>
        <v>Metro</v>
      </c>
      <c r="E485" s="12">
        <f ca="1">IFERROR(__xludf.DUMMYFUNCTION("""COMPUTED_VALUE"""),42905)</f>
        <v>42905</v>
      </c>
      <c r="F485" t="str">
        <f ca="1">IFERROR(__xludf.DUMMYFUNCTION("""COMPUTED_VALUE"""),"KP0150BH")</f>
        <v>KP0150BH</v>
      </c>
      <c r="G485" s="11">
        <f ca="1">IFERROR(__xludf.DUMMYFUNCTION("""COMPUTED_VALUE"""),54000000)</f>
        <v>54000000</v>
      </c>
      <c r="H485">
        <f ca="1">IFERROR(__xludf.DUMMYFUNCTION("""COMPUTED_VALUE"""),35574)</f>
        <v>35574</v>
      </c>
      <c r="I485">
        <f ca="1">IFERROR(__xludf.DUMMYFUNCTION("""COMPUTED_VALUE"""),2)</f>
        <v>2</v>
      </c>
      <c r="J485" t="str">
        <f ca="1">IFERROR(__xludf.DUMMYFUNCTION("""COMPUTED_VALUE"""),"N/A")</f>
        <v>N/A</v>
      </c>
      <c r="K485" t="str">
        <f ca="1">IFERROR(__xludf.DUMMYFUNCTION("""COMPUTED_VALUE"""),"JENT")</f>
        <v>JENT</v>
      </c>
      <c r="L485" t="str">
        <f ca="1">IFERROR(__xludf.DUMMYFUNCTION("""COMPUTED_VALUE"""),"Y")</f>
        <v>Y</v>
      </c>
      <c r="M485" t="str">
        <f ca="1">IFERROR(__xludf.DUMMYFUNCTION("""COMPUTED_VALUE"""),"ti-150")</f>
        <v>ti-150</v>
      </c>
    </row>
    <row r="486" spans="1:13" ht="12.5" x14ac:dyDescent="0.25">
      <c r="A486" t="str">
        <f ca="1">IFERROR(__xludf.DUMMYFUNCTION("""COMPUTED_VALUE"""),"Raymond")</f>
        <v>Raymond</v>
      </c>
      <c r="B486" t="str">
        <f ca="1">IFERROR(__xludf.DUMMYFUNCTION("""COMPUTED_VALUE"""),"David")</f>
        <v>David</v>
      </c>
      <c r="C486" t="str">
        <f ca="1">IFERROR(__xludf.DUMMYFUNCTION("""COMPUTED_VALUE"""),"David@rocketmailx.com")</f>
        <v>David@rocketmailx.com</v>
      </c>
      <c r="D486" t="str">
        <f ca="1">IFERROR(__xludf.DUMMYFUNCTION("""COMPUTED_VALUE"""),"Binjai")</f>
        <v>Binjai</v>
      </c>
      <c r="E486" s="12">
        <f ca="1">IFERROR(__xludf.DUMMYFUNCTION("""COMPUTED_VALUE"""),42904)</f>
        <v>42904</v>
      </c>
      <c r="F486" t="str">
        <f ca="1">IFERROR(__xludf.DUMMYFUNCTION("""COMPUTED_VALUE"""),"KP0050AG")</f>
        <v>KP0050AG</v>
      </c>
      <c r="G486" s="11">
        <f ca="1">IFERROR(__xludf.DUMMYFUNCTION("""COMPUTED_VALUE"""),32500000)</f>
        <v>32500000</v>
      </c>
      <c r="H486">
        <f ca="1">IFERROR(__xludf.DUMMYFUNCTION("""COMPUTED_VALUE"""),35915)</f>
        <v>35915</v>
      </c>
      <c r="I486">
        <f ca="1">IFERROR(__xludf.DUMMYFUNCTION("""COMPUTED_VALUE"""),2)</f>
        <v>2</v>
      </c>
      <c r="J486" t="str">
        <f ca="1">IFERROR(__xludf.DUMMYFUNCTION("""COMPUTED_VALUE"""),"N/A")</f>
        <v>N/A</v>
      </c>
      <c r="K486" t="str">
        <f ca="1">IFERROR(__xludf.DUMMYFUNCTION("""COMPUTED_VALUE"""),"JENT")</f>
        <v>JENT</v>
      </c>
      <c r="L486" t="str">
        <f ca="1">IFERROR(__xludf.DUMMYFUNCTION("""COMPUTED_VALUE"""),"N")</f>
        <v>N</v>
      </c>
      <c r="M486" t="str">
        <f ca="1">IFERROR(__xludf.DUMMYFUNCTION("""COMPUTED_VALUE"""),"cf-662")</f>
        <v>cf-662</v>
      </c>
    </row>
    <row r="487" spans="1:13" ht="12.5" x14ac:dyDescent="0.25">
      <c r="A487" t="str">
        <f ca="1">IFERROR(__xludf.DUMMYFUNCTION("""COMPUTED_VALUE"""),"Suhadi")</f>
        <v>Suhadi</v>
      </c>
      <c r="B487" t="str">
        <f ca="1">IFERROR(__xludf.DUMMYFUNCTION("""COMPUTED_VALUE"""),"Muliadi")</f>
        <v>Muliadi</v>
      </c>
      <c r="C487" t="str">
        <f ca="1">IFERROR(__xludf.DUMMYFUNCTION("""COMPUTED_VALUE"""),"Muliadi@icloudx.com")</f>
        <v>Muliadi@icloudx.com</v>
      </c>
      <c r="D487" t="str">
        <f ca="1">IFERROR(__xludf.DUMMYFUNCTION("""COMPUTED_VALUE"""),"Banda Aceh")</f>
        <v>Banda Aceh</v>
      </c>
      <c r="E487" s="12">
        <f ca="1">IFERROR(__xludf.DUMMYFUNCTION("""COMPUTED_VALUE"""),42903)</f>
        <v>42903</v>
      </c>
      <c r="F487" t="str">
        <f ca="1">IFERROR(__xludf.DUMMYFUNCTION("""COMPUTED_VALUE"""),"KP0750AJ")</f>
        <v>KP0750AJ</v>
      </c>
      <c r="G487" s="11">
        <f ca="1">IFERROR(__xludf.DUMMYFUNCTION("""COMPUTED_VALUE"""),36000000)</f>
        <v>36000000</v>
      </c>
      <c r="H487">
        <f ca="1">IFERROR(__xludf.DUMMYFUNCTION("""COMPUTED_VALUE"""),35776)</f>
        <v>35776</v>
      </c>
      <c r="I487">
        <f ca="1">IFERROR(__xludf.DUMMYFUNCTION("""COMPUTED_VALUE"""),2)</f>
        <v>2</v>
      </c>
      <c r="J487">
        <f ca="1">IFERROR(__xludf.DUMMYFUNCTION("""COMPUTED_VALUE"""),2)</f>
        <v>2</v>
      </c>
      <c r="K487" t="str">
        <f ca="1">IFERROR(__xludf.DUMMYFUNCTION("""COMPUTED_VALUE"""),"JENT")</f>
        <v>JENT</v>
      </c>
      <c r="L487" t="str">
        <f ca="1">IFERROR(__xludf.DUMMYFUNCTION("""COMPUTED_VALUE"""),"N")</f>
        <v>N</v>
      </c>
      <c r="M487" t="str">
        <f ca="1">IFERROR(__xludf.DUMMYFUNCTION("""COMPUTED_VALUE"""),"ry-101")</f>
        <v>ry-101</v>
      </c>
    </row>
    <row r="488" spans="1:13" ht="12.5" x14ac:dyDescent="0.25">
      <c r="A488" t="str">
        <f ca="1">IFERROR(__xludf.DUMMYFUNCTION("""COMPUTED_VALUE"""),"Lim")</f>
        <v>Lim</v>
      </c>
      <c r="B488" t="str">
        <f ca="1">IFERROR(__xludf.DUMMYFUNCTION("""COMPUTED_VALUE"""),"Setiono")</f>
        <v>Setiono</v>
      </c>
      <c r="C488" t="str">
        <f ca="1">IFERROR(__xludf.DUMMYFUNCTION("""COMPUTED_VALUE"""),"Lim@gmailx.com")</f>
        <v>Lim@gmailx.com</v>
      </c>
      <c r="D488" t="str">
        <f ca="1">IFERROR(__xludf.DUMMYFUNCTION("""COMPUTED_VALUE"""),"Solok")</f>
        <v>Solok</v>
      </c>
      <c r="E488" s="12">
        <f ca="1">IFERROR(__xludf.DUMMYFUNCTION("""COMPUTED_VALUE"""),42903)</f>
        <v>42903</v>
      </c>
      <c r="F488" t="str">
        <f ca="1">IFERROR(__xludf.DUMMYFUNCTION("""COMPUTED_VALUE"""),"KP0425CB")</f>
        <v>KP0425CB</v>
      </c>
      <c r="G488" s="11">
        <f ca="1">IFERROR(__xludf.DUMMYFUNCTION("""COMPUTED_VALUE"""),54500000)</f>
        <v>54500000</v>
      </c>
      <c r="H488">
        <f ca="1">IFERROR(__xludf.DUMMYFUNCTION("""COMPUTED_VALUE"""),36802)</f>
        <v>36802</v>
      </c>
      <c r="I488">
        <f ca="1">IFERROR(__xludf.DUMMYFUNCTION("""COMPUTED_VALUE"""),2)</f>
        <v>2</v>
      </c>
      <c r="J488" t="str">
        <f ca="1">IFERROR(__xludf.DUMMYFUNCTION("""COMPUTED_VALUE"""),"N/A")</f>
        <v>N/A</v>
      </c>
      <c r="K488" t="str">
        <f ca="1">IFERROR(__xludf.DUMMYFUNCTION("""COMPUTED_VALUE"""),"Swift Delivery")</f>
        <v>Swift Delivery</v>
      </c>
      <c r="L488" t="str">
        <f ca="1">IFERROR(__xludf.DUMMYFUNCTION("""COMPUTED_VALUE"""),"Y")</f>
        <v>Y</v>
      </c>
      <c r="M488" t="str">
        <f ca="1">IFERROR(__xludf.DUMMYFUNCTION("""COMPUTED_VALUE"""),"gt-559")</f>
        <v>gt-559</v>
      </c>
    </row>
    <row r="489" spans="1:13" ht="12.5" x14ac:dyDescent="0.25">
      <c r="A489" t="str">
        <f ca="1">IFERROR(__xludf.DUMMYFUNCTION("""COMPUTED_VALUE"""),"Jyoti")</f>
        <v>Jyoti</v>
      </c>
      <c r="B489" t="str">
        <f ca="1">IFERROR(__xludf.DUMMYFUNCTION("""COMPUTED_VALUE"""),"Wijaya")</f>
        <v>Wijaya</v>
      </c>
      <c r="C489" t="str">
        <f ca="1">IFERROR(__xludf.DUMMYFUNCTION("""COMPUTED_VALUE"""),"Wijaya@gmailx.com")</f>
        <v>Wijaya@gmailx.com</v>
      </c>
      <c r="D489" t="str">
        <f ca="1">IFERROR(__xludf.DUMMYFUNCTION("""COMPUTED_VALUE"""),"Cimahi")</f>
        <v>Cimahi</v>
      </c>
      <c r="E489" s="12">
        <f ca="1">IFERROR(__xludf.DUMMYFUNCTION("""COMPUTED_VALUE"""),42902)</f>
        <v>42902</v>
      </c>
      <c r="F489" t="str">
        <f ca="1">IFERROR(__xludf.DUMMYFUNCTION("""COMPUTED_VALUE"""),"KP0850FB")</f>
        <v>KP0850FB</v>
      </c>
      <c r="G489" s="11">
        <f ca="1">IFERROR(__xludf.DUMMYFUNCTION("""COMPUTED_VALUE"""),147000000)</f>
        <v>147000000</v>
      </c>
      <c r="H489">
        <f ca="1">IFERROR(__xludf.DUMMYFUNCTION("""COMPUTED_VALUE"""),36849)</f>
        <v>36849</v>
      </c>
      <c r="I489">
        <f ca="1">IFERROR(__xludf.DUMMYFUNCTION("""COMPUTED_VALUE"""),7)</f>
        <v>7</v>
      </c>
      <c r="J489">
        <f ca="1">IFERROR(__xludf.DUMMYFUNCTION("""COMPUTED_VALUE"""),4)</f>
        <v>4</v>
      </c>
      <c r="K489" t="str">
        <f ca="1">IFERROR(__xludf.DUMMYFUNCTION("""COMPUTED_VALUE"""),"JENT")</f>
        <v>JENT</v>
      </c>
      <c r="L489" t="str">
        <f ca="1">IFERROR(__xludf.DUMMYFUNCTION("""COMPUTED_VALUE"""),"Y")</f>
        <v>Y</v>
      </c>
      <c r="M489" t="str">
        <f ca="1">IFERROR(__xludf.DUMMYFUNCTION("""COMPUTED_VALUE"""),"ns-409")</f>
        <v>ns-409</v>
      </c>
    </row>
    <row r="490" spans="1:13" ht="12.5" x14ac:dyDescent="0.25">
      <c r="A490" t="str">
        <f ca="1">IFERROR(__xludf.DUMMYFUNCTION("""COMPUTED_VALUE"""),"Jusuf")</f>
        <v>Jusuf</v>
      </c>
      <c r="B490" t="str">
        <f ca="1">IFERROR(__xludf.DUMMYFUNCTION("""COMPUTED_VALUE"""),"Riupassa")</f>
        <v>Riupassa</v>
      </c>
      <c r="C490" t="str">
        <f ca="1">IFERROR(__xludf.DUMMYFUNCTION("""COMPUTED_VALUE"""),"Jusuf@ymailx.com")</f>
        <v>Jusuf@ymailx.com</v>
      </c>
      <c r="D490" t="str">
        <f ca="1">IFERROR(__xludf.DUMMYFUNCTION("""COMPUTED_VALUE"""),"Denpasar")</f>
        <v>Denpasar</v>
      </c>
      <c r="E490" s="12">
        <f ca="1">IFERROR(__xludf.DUMMYFUNCTION("""COMPUTED_VALUE"""),42901)</f>
        <v>42901</v>
      </c>
      <c r="F490" t="str">
        <f ca="1">IFERROR(__xludf.DUMMYFUNCTION("""COMPUTED_VALUE"""),"KP0625AF")</f>
        <v>KP0625AF</v>
      </c>
      <c r="G490" s="11">
        <f ca="1">IFERROR(__xludf.DUMMYFUNCTION("""COMPUTED_VALUE"""),24000000)</f>
        <v>24000000</v>
      </c>
      <c r="H490">
        <f ca="1">IFERROR(__xludf.DUMMYFUNCTION("""COMPUTED_VALUE"""),36465)</f>
        <v>36465</v>
      </c>
      <c r="I490">
        <f ca="1">IFERROR(__xludf.DUMMYFUNCTION("""COMPUTED_VALUE"""),2)</f>
        <v>2</v>
      </c>
      <c r="J490" t="str">
        <f ca="1">IFERROR(__xludf.DUMMYFUNCTION("""COMPUTED_VALUE"""),"N/A")</f>
        <v>N/A</v>
      </c>
      <c r="K490" t="str">
        <f ca="1">IFERROR(__xludf.DUMMYFUNCTION("""COMPUTED_VALUE"""),"Cepat Kirim")</f>
        <v>Cepat Kirim</v>
      </c>
      <c r="L490" t="str">
        <f ca="1">IFERROR(__xludf.DUMMYFUNCTION("""COMPUTED_VALUE"""),"Y")</f>
        <v>Y</v>
      </c>
      <c r="M490" t="str">
        <f ca="1">IFERROR(__xludf.DUMMYFUNCTION("""COMPUTED_VALUE"""),"ov-201")</f>
        <v>ov-201</v>
      </c>
    </row>
    <row r="491" spans="1:13" ht="12.5" x14ac:dyDescent="0.25">
      <c r="A491" t="str">
        <f ca="1">IFERROR(__xludf.DUMMYFUNCTION("""COMPUTED_VALUE"""),"Sufan")</f>
        <v>Sufan</v>
      </c>
      <c r="B491" t="str">
        <f ca="1">IFERROR(__xludf.DUMMYFUNCTION("""COMPUTED_VALUE"""),"Podiman")</f>
        <v>Podiman</v>
      </c>
      <c r="C491" t="str">
        <f ca="1">IFERROR(__xludf.DUMMYFUNCTION("""COMPUTED_VALUE"""),"Sufan@gmailx.com")</f>
        <v>Sufan@gmailx.com</v>
      </c>
      <c r="D491" t="str">
        <f ca="1">IFERROR(__xludf.DUMMYFUNCTION("""COMPUTED_VALUE"""),"Jakarta Selatan")</f>
        <v>Jakarta Selatan</v>
      </c>
      <c r="E491" s="12">
        <f ca="1">IFERROR(__xludf.DUMMYFUNCTION("""COMPUTED_VALUE"""),42899)</f>
        <v>42899</v>
      </c>
      <c r="F491" t="str">
        <f ca="1">IFERROR(__xludf.DUMMYFUNCTION("""COMPUTED_VALUE"""),"KP0850FB")</f>
        <v>KP0850FB</v>
      </c>
      <c r="G491" s="11">
        <f ca="1">IFERROR(__xludf.DUMMYFUNCTION("""COMPUTED_VALUE"""),63000000)</f>
        <v>63000000</v>
      </c>
      <c r="H491">
        <f ca="1">IFERROR(__xludf.DUMMYFUNCTION("""COMPUTED_VALUE"""),36388)</f>
        <v>36388</v>
      </c>
      <c r="I491">
        <f ca="1">IFERROR(__xludf.DUMMYFUNCTION("""COMPUTED_VALUE"""),3)</f>
        <v>3</v>
      </c>
      <c r="J491" t="str">
        <f ca="1">IFERROR(__xludf.DUMMYFUNCTION("""COMPUTED_VALUE"""),"N/A")</f>
        <v>N/A</v>
      </c>
      <c r="K491" t="str">
        <f ca="1">IFERROR(__xludf.DUMMYFUNCTION("""COMPUTED_VALUE"""),"JENT")</f>
        <v>JENT</v>
      </c>
      <c r="L491" t="str">
        <f ca="1">IFERROR(__xludf.DUMMYFUNCTION("""COMPUTED_VALUE"""),"N")</f>
        <v>N</v>
      </c>
      <c r="M491" t="str">
        <f ca="1">IFERROR(__xludf.DUMMYFUNCTION("""COMPUTED_VALUE"""),"nq-333")</f>
        <v>nq-333</v>
      </c>
    </row>
    <row r="492" spans="1:13" ht="12.5" x14ac:dyDescent="0.25">
      <c r="A492" t="str">
        <f ca="1">IFERROR(__xludf.DUMMYFUNCTION("""COMPUTED_VALUE"""),"Aling")</f>
        <v>Aling</v>
      </c>
      <c r="B492" t="str">
        <f ca="1">IFERROR(__xludf.DUMMYFUNCTION("""COMPUTED_VALUE"""),"Naiborhu")</f>
        <v>Naiborhu</v>
      </c>
      <c r="C492" t="str">
        <f ca="1">IFERROR(__xludf.DUMMYFUNCTION("""COMPUTED_VALUE"""),"Aling@ymailx.com")</f>
        <v>Aling@ymailx.com</v>
      </c>
      <c r="D492" t="str">
        <f ca="1">IFERROR(__xludf.DUMMYFUNCTION("""COMPUTED_VALUE"""),"Manado")</f>
        <v>Manado</v>
      </c>
      <c r="E492" s="12">
        <f ca="1">IFERROR(__xludf.DUMMYFUNCTION("""COMPUTED_VALUE"""),43075)</f>
        <v>43075</v>
      </c>
      <c r="F492" t="str">
        <f ca="1">IFERROR(__xludf.DUMMYFUNCTION("""COMPUTED_VALUE"""),"KP0750AJ")</f>
        <v>KP0750AJ</v>
      </c>
      <c r="G492" s="11">
        <f ca="1">IFERROR(__xludf.DUMMYFUNCTION("""COMPUTED_VALUE"""),126000000)</f>
        <v>126000000</v>
      </c>
      <c r="H492">
        <f ca="1">IFERROR(__xludf.DUMMYFUNCTION("""COMPUTED_VALUE"""),35484)</f>
        <v>35484</v>
      </c>
      <c r="I492">
        <f ca="1">IFERROR(__xludf.DUMMYFUNCTION("""COMPUTED_VALUE"""),7)</f>
        <v>7</v>
      </c>
      <c r="J492">
        <f ca="1">IFERROR(__xludf.DUMMYFUNCTION("""COMPUTED_VALUE"""),3)</f>
        <v>3</v>
      </c>
      <c r="K492" t="str">
        <f ca="1">IFERROR(__xludf.DUMMYFUNCTION("""COMPUTED_VALUE"""),"JENT")</f>
        <v>JENT</v>
      </c>
      <c r="L492" t="str">
        <f ca="1">IFERROR(__xludf.DUMMYFUNCTION("""COMPUTED_VALUE"""),"Y")</f>
        <v>Y</v>
      </c>
      <c r="M492" t="str">
        <f ca="1">IFERROR(__xludf.DUMMYFUNCTION("""COMPUTED_VALUE"""),"ya-221")</f>
        <v>ya-221</v>
      </c>
    </row>
    <row r="493" spans="1:13" ht="12.5" x14ac:dyDescent="0.25">
      <c r="A493" t="str">
        <f ca="1">IFERROR(__xludf.DUMMYFUNCTION("""COMPUTED_VALUE"""),"Agus")</f>
        <v>Agus</v>
      </c>
      <c r="B493" t="str">
        <f ca="1">IFERROR(__xludf.DUMMYFUNCTION("""COMPUTED_VALUE"""),"Lianawati")</f>
        <v>Lianawati</v>
      </c>
      <c r="C493" t="str">
        <f ca="1">IFERROR(__xludf.DUMMYFUNCTION("""COMPUTED_VALUE"""),"Agus@gmailx.com")</f>
        <v>Agus@gmailx.com</v>
      </c>
      <c r="D493" t="str">
        <f ca="1">IFERROR(__xludf.DUMMYFUNCTION("""COMPUTED_VALUE"""),"Pasuruan")</f>
        <v>Pasuruan</v>
      </c>
      <c r="E493" s="12">
        <f ca="1">IFERROR(__xludf.DUMMYFUNCTION("""COMPUTED_VALUE"""),43045)</f>
        <v>43045</v>
      </c>
      <c r="F493" t="str">
        <f ca="1">IFERROR(__xludf.DUMMYFUNCTION("""COMPUTED_VALUE"""),"KP0150BH")</f>
        <v>KP0150BH</v>
      </c>
      <c r="G493" s="11">
        <f ca="1">IFERROR(__xludf.DUMMYFUNCTION("""COMPUTED_VALUE"""),243000000)</f>
        <v>243000000</v>
      </c>
      <c r="H493">
        <f ca="1">IFERROR(__xludf.DUMMYFUNCTION("""COMPUTED_VALUE"""),35639)</f>
        <v>35639</v>
      </c>
      <c r="I493">
        <f ca="1">IFERROR(__xludf.DUMMYFUNCTION("""COMPUTED_VALUE"""),9)</f>
        <v>9</v>
      </c>
      <c r="J493">
        <f ca="1">IFERROR(__xludf.DUMMYFUNCTION("""COMPUTED_VALUE"""),4)</f>
        <v>4</v>
      </c>
      <c r="K493" t="str">
        <f ca="1">IFERROR(__xludf.DUMMYFUNCTION("""COMPUTED_VALUE"""),"Swift Delivery")</f>
        <v>Swift Delivery</v>
      </c>
      <c r="L493" t="str">
        <f ca="1">IFERROR(__xludf.DUMMYFUNCTION("""COMPUTED_VALUE"""),"Y")</f>
        <v>Y</v>
      </c>
      <c r="M493" t="str">
        <f ca="1">IFERROR(__xludf.DUMMYFUNCTION("""COMPUTED_VALUE"""),"pg-123")</f>
        <v>pg-123</v>
      </c>
    </row>
    <row r="494" spans="1:13" ht="12.5" x14ac:dyDescent="0.25">
      <c r="A494" t="str">
        <f ca="1">IFERROR(__xludf.DUMMYFUNCTION("""COMPUTED_VALUE"""),"Gunardi")</f>
        <v>Gunardi</v>
      </c>
      <c r="B494" t="str">
        <f ca="1">IFERROR(__xludf.DUMMYFUNCTION("""COMPUTED_VALUE"""),"Lakmudin")</f>
        <v>Lakmudin</v>
      </c>
      <c r="C494" t="str">
        <f ca="1">IFERROR(__xludf.DUMMYFUNCTION("""COMPUTED_VALUE"""),"Lakmudin@ymailx.com")</f>
        <v>Lakmudin@ymailx.com</v>
      </c>
      <c r="D494" t="str">
        <f ca="1">IFERROR(__xludf.DUMMYFUNCTION("""COMPUTED_VALUE"""),"Bogor")</f>
        <v>Bogor</v>
      </c>
      <c r="E494" s="12">
        <f ca="1">IFERROR(__xludf.DUMMYFUNCTION("""COMPUTED_VALUE"""),43045)</f>
        <v>43045</v>
      </c>
      <c r="F494" t="str">
        <f ca="1">IFERROR(__xludf.DUMMYFUNCTION("""COMPUTED_VALUE"""),"KP0425CB")</f>
        <v>KP0425CB</v>
      </c>
      <c r="G494" s="11">
        <f ca="1">IFERROR(__xludf.DUMMYFUNCTION("""COMPUTED_VALUE"""),218000000)</f>
        <v>218000000</v>
      </c>
      <c r="H494">
        <f ca="1">IFERROR(__xludf.DUMMYFUNCTION("""COMPUTED_VALUE"""),35102)</f>
        <v>35102</v>
      </c>
      <c r="I494">
        <f ca="1">IFERROR(__xludf.DUMMYFUNCTION("""COMPUTED_VALUE"""),8)</f>
        <v>8</v>
      </c>
      <c r="J494" t="str">
        <f ca="1">IFERROR(__xludf.DUMMYFUNCTION("""COMPUTED_VALUE"""),"N/A")</f>
        <v>N/A</v>
      </c>
      <c r="K494" t="str">
        <f ca="1">IFERROR(__xludf.DUMMYFUNCTION("""COMPUTED_VALUE"""),"JENT")</f>
        <v>JENT</v>
      </c>
      <c r="L494" t="str">
        <f ca="1">IFERROR(__xludf.DUMMYFUNCTION("""COMPUTED_VALUE"""),"Y")</f>
        <v>Y</v>
      </c>
      <c r="M494" t="str">
        <f ca="1">IFERROR(__xludf.DUMMYFUNCTION("""COMPUTED_VALUE"""),"ll-409")</f>
        <v>ll-409</v>
      </c>
    </row>
    <row r="495" spans="1:13" ht="12.5" x14ac:dyDescent="0.25">
      <c r="A495" t="str">
        <f ca="1">IFERROR(__xludf.DUMMYFUNCTION("""COMPUTED_VALUE"""),"Hosea")</f>
        <v>Hosea</v>
      </c>
      <c r="B495" t="str">
        <f ca="1">IFERROR(__xludf.DUMMYFUNCTION("""COMPUTED_VALUE"""),"Dewi")</f>
        <v>Dewi</v>
      </c>
      <c r="C495" t="str">
        <f ca="1">IFERROR(__xludf.DUMMYFUNCTION("""COMPUTED_VALUE"""),"Dewi@ymailx.com")</f>
        <v>Dewi@ymailx.com</v>
      </c>
      <c r="D495" t="str">
        <f ca="1">IFERROR(__xludf.DUMMYFUNCTION("""COMPUTED_VALUE"""),"Malang")</f>
        <v>Malang</v>
      </c>
      <c r="E495" s="12">
        <f ca="1">IFERROR(__xludf.DUMMYFUNCTION("""COMPUTED_VALUE"""),43014)</f>
        <v>43014</v>
      </c>
      <c r="F495" t="str">
        <f ca="1">IFERROR(__xludf.DUMMYFUNCTION("""COMPUTED_VALUE"""),"KP0050AG")</f>
        <v>KP0050AG</v>
      </c>
      <c r="G495" s="11">
        <f ca="1">IFERROR(__xludf.DUMMYFUNCTION("""COMPUTED_VALUE"""),146250000)</f>
        <v>146250000</v>
      </c>
      <c r="H495">
        <f ca="1">IFERROR(__xludf.DUMMYFUNCTION("""COMPUTED_VALUE"""),36053)</f>
        <v>36053</v>
      </c>
      <c r="I495">
        <f ca="1">IFERROR(__xludf.DUMMYFUNCTION("""COMPUTED_VALUE"""),9)</f>
        <v>9</v>
      </c>
      <c r="J495" t="str">
        <f ca="1">IFERROR(__xludf.DUMMYFUNCTION("""COMPUTED_VALUE"""),"N/A")</f>
        <v>N/A</v>
      </c>
      <c r="K495" t="str">
        <f ca="1">IFERROR(__xludf.DUMMYFUNCTION("""COMPUTED_VALUE"""),"Cepat Kirim")</f>
        <v>Cepat Kirim</v>
      </c>
      <c r="L495" t="str">
        <f ca="1">IFERROR(__xludf.DUMMYFUNCTION("""COMPUTED_VALUE"""),"Y")</f>
        <v>Y</v>
      </c>
      <c r="M495" t="str">
        <f ca="1">IFERROR(__xludf.DUMMYFUNCTION("""COMPUTED_VALUE"""),"jm-123")</f>
        <v>jm-123</v>
      </c>
    </row>
    <row r="496" spans="1:13" ht="12.5" x14ac:dyDescent="0.25">
      <c r="A496" t="str">
        <f ca="1">IFERROR(__xludf.DUMMYFUNCTION("""COMPUTED_VALUE"""),"Poppy")</f>
        <v>Poppy</v>
      </c>
      <c r="B496" t="str">
        <f ca="1">IFERROR(__xludf.DUMMYFUNCTION("""COMPUTED_VALUE"""),"Darmadi")</f>
        <v>Darmadi</v>
      </c>
      <c r="C496" t="str">
        <f ca="1">IFERROR(__xludf.DUMMYFUNCTION("""COMPUTED_VALUE"""),"Poppy@ymailx.com")</f>
        <v>Poppy@ymailx.com</v>
      </c>
      <c r="D496" t="str">
        <f ca="1">IFERROR(__xludf.DUMMYFUNCTION("""COMPUTED_VALUE"""),"Banjarmasin")</f>
        <v>Banjarmasin</v>
      </c>
      <c r="E496" s="12">
        <f ca="1">IFERROR(__xludf.DUMMYFUNCTION("""COMPUTED_VALUE"""),42922)</f>
        <v>42922</v>
      </c>
      <c r="F496" t="str">
        <f ca="1">IFERROR(__xludf.DUMMYFUNCTION("""COMPUTED_VALUE"""),"KP0350CF")</f>
        <v>KP0350CF</v>
      </c>
      <c r="G496" s="11">
        <f ca="1">IFERROR(__xludf.DUMMYFUNCTION("""COMPUTED_VALUE"""),175000000)</f>
        <v>175000000</v>
      </c>
      <c r="H496">
        <f ca="1">IFERROR(__xludf.DUMMYFUNCTION("""COMPUTED_VALUE"""),36533)</f>
        <v>36533</v>
      </c>
      <c r="I496">
        <f ca="1">IFERROR(__xludf.DUMMYFUNCTION("""COMPUTED_VALUE"""),5)</f>
        <v>5</v>
      </c>
      <c r="J496" t="str">
        <f ca="1">IFERROR(__xludf.DUMMYFUNCTION("""COMPUTED_VALUE"""),"N/A")</f>
        <v>N/A</v>
      </c>
      <c r="K496" t="str">
        <f ca="1">IFERROR(__xludf.DUMMYFUNCTION("""COMPUTED_VALUE"""),"JENT")</f>
        <v>JENT</v>
      </c>
      <c r="L496" t="str">
        <f ca="1">IFERROR(__xludf.DUMMYFUNCTION("""COMPUTED_VALUE"""),"N")</f>
        <v>N</v>
      </c>
      <c r="M496" t="str">
        <f ca="1">IFERROR(__xludf.DUMMYFUNCTION("""COMPUTED_VALUE"""),"zy-991")</f>
        <v>zy-991</v>
      </c>
    </row>
    <row r="497" spans="1:13" ht="12.5" x14ac:dyDescent="0.25">
      <c r="A497" t="str">
        <f ca="1">IFERROR(__xludf.DUMMYFUNCTION("""COMPUTED_VALUE"""),"Lina")</f>
        <v>Lina</v>
      </c>
      <c r="B497" t="str">
        <f ca="1">IFERROR(__xludf.DUMMYFUNCTION("""COMPUTED_VALUE"""),"Putra")</f>
        <v>Putra</v>
      </c>
      <c r="C497" t="str">
        <f ca="1">IFERROR(__xludf.DUMMYFUNCTION("""COMPUTED_VALUE"""),"LINA@icloudx.com")</f>
        <v>LINA@icloudx.com</v>
      </c>
      <c r="D497" t="str">
        <f ca="1">IFERROR(__xludf.DUMMYFUNCTION("""COMPUTED_VALUE"""),"Lubuklinggau")</f>
        <v>Lubuklinggau</v>
      </c>
      <c r="E497" s="12">
        <f ca="1">IFERROR(__xludf.DUMMYFUNCTION("""COMPUTED_VALUE"""),42892)</f>
        <v>42892</v>
      </c>
      <c r="F497" t="str">
        <f ca="1">IFERROR(__xludf.DUMMYFUNCTION("""COMPUTED_VALUE"""),"KP0350CF")</f>
        <v>KP0350CF</v>
      </c>
      <c r="G497" s="11">
        <f ca="1">IFERROR(__xludf.DUMMYFUNCTION("""COMPUTED_VALUE"""),105000000)</f>
        <v>105000000</v>
      </c>
      <c r="H497">
        <f ca="1">IFERROR(__xludf.DUMMYFUNCTION("""COMPUTED_VALUE"""),36346)</f>
        <v>36346</v>
      </c>
      <c r="I497">
        <f ca="1">IFERROR(__xludf.DUMMYFUNCTION("""COMPUTED_VALUE"""),3)</f>
        <v>3</v>
      </c>
      <c r="J497">
        <f ca="1">IFERROR(__xludf.DUMMYFUNCTION("""COMPUTED_VALUE"""),4)</f>
        <v>4</v>
      </c>
      <c r="K497" t="str">
        <f ca="1">IFERROR(__xludf.DUMMYFUNCTION("""COMPUTED_VALUE"""),"JENT")</f>
        <v>JENT</v>
      </c>
      <c r="L497" t="str">
        <f ca="1">IFERROR(__xludf.DUMMYFUNCTION("""COMPUTED_VALUE"""),"Y")</f>
        <v>Y</v>
      </c>
      <c r="M497" t="str">
        <f ca="1">IFERROR(__xludf.DUMMYFUNCTION("""COMPUTED_VALUE"""),"co-661")</f>
        <v>co-661</v>
      </c>
    </row>
    <row r="498" spans="1:13" ht="12.5" x14ac:dyDescent="0.25">
      <c r="A498" t="str">
        <f ca="1">IFERROR(__xludf.DUMMYFUNCTION("""COMPUTED_VALUE"""),"Edwin")</f>
        <v>Edwin</v>
      </c>
      <c r="B498" t="str">
        <f ca="1">IFERROR(__xludf.DUMMYFUNCTION("""COMPUTED_VALUE"""),"Tunggul")</f>
        <v>Tunggul</v>
      </c>
      <c r="C498" t="str">
        <f ca="1">IFERROR(__xludf.DUMMYFUNCTION("""COMPUTED_VALUE"""),"Tunggul@ymailx.com")</f>
        <v>Tunggul@ymailx.com</v>
      </c>
      <c r="D498" t="str">
        <f ca="1">IFERROR(__xludf.DUMMYFUNCTION("""COMPUTED_VALUE"""),"Sorong")</f>
        <v>Sorong</v>
      </c>
      <c r="E498" s="12">
        <f ca="1">IFERROR(__xludf.DUMMYFUNCTION("""COMPUTED_VALUE"""),42892)</f>
        <v>42892</v>
      </c>
      <c r="F498" t="str">
        <f ca="1">IFERROR(__xludf.DUMMYFUNCTION("""COMPUTED_VALUE"""),"KP0150BH")</f>
        <v>KP0150BH</v>
      </c>
      <c r="G498" s="11">
        <f ca="1">IFERROR(__xludf.DUMMYFUNCTION("""COMPUTED_VALUE"""),243000000)</f>
        <v>243000000</v>
      </c>
      <c r="H498">
        <f ca="1">IFERROR(__xludf.DUMMYFUNCTION("""COMPUTED_VALUE"""),35535)</f>
        <v>35535</v>
      </c>
      <c r="I498">
        <f ca="1">IFERROR(__xludf.DUMMYFUNCTION("""COMPUTED_VALUE"""),9)</f>
        <v>9</v>
      </c>
      <c r="J498" t="str">
        <f ca="1">IFERROR(__xludf.DUMMYFUNCTION("""COMPUTED_VALUE"""),"N/A")</f>
        <v>N/A</v>
      </c>
      <c r="K498" t="str">
        <f ca="1">IFERROR(__xludf.DUMMYFUNCTION("""COMPUTED_VALUE"""),"Swift Delivery")</f>
        <v>Swift Delivery</v>
      </c>
      <c r="L498" t="str">
        <f ca="1">IFERROR(__xludf.DUMMYFUNCTION("""COMPUTED_VALUE"""),"Y")</f>
        <v>Y</v>
      </c>
      <c r="M498" t="str">
        <f ca="1">IFERROR(__xludf.DUMMYFUNCTION("""COMPUTED_VALUE"""),"rq-999")</f>
        <v>rq-999</v>
      </c>
    </row>
    <row r="499" spans="1:13" ht="12.5" x14ac:dyDescent="0.25">
      <c r="A499" t="str">
        <f ca="1">IFERROR(__xludf.DUMMYFUNCTION("""COMPUTED_VALUE"""),"Mary")</f>
        <v>Mary</v>
      </c>
      <c r="B499" t="str">
        <f ca="1">IFERROR(__xludf.DUMMYFUNCTION("""COMPUTED_VALUE"""),"Sidharta")</f>
        <v>Sidharta</v>
      </c>
      <c r="C499" t="str">
        <f ca="1">IFERROR(__xludf.DUMMYFUNCTION("""COMPUTED_VALUE"""),"Sidharta@outlookx.com")</f>
        <v>Sidharta@outlookx.com</v>
      </c>
      <c r="D499" t="str">
        <f ca="1">IFERROR(__xludf.DUMMYFUNCTION("""COMPUTED_VALUE"""),"Malang")</f>
        <v>Malang</v>
      </c>
      <c r="E499" s="12">
        <f ca="1">IFERROR(__xludf.DUMMYFUNCTION("""COMPUTED_VALUE"""),42861)</f>
        <v>42861</v>
      </c>
      <c r="F499" t="str">
        <f ca="1">IFERROR(__xludf.DUMMYFUNCTION("""COMPUTED_VALUE"""),"KP0350CF")</f>
        <v>KP0350CF</v>
      </c>
      <c r="G499" s="11">
        <f ca="1">IFERROR(__xludf.DUMMYFUNCTION("""COMPUTED_VALUE"""),350000000)</f>
        <v>350000000</v>
      </c>
      <c r="H499">
        <f ca="1">IFERROR(__xludf.DUMMYFUNCTION("""COMPUTED_VALUE"""),35580)</f>
        <v>35580</v>
      </c>
      <c r="I499">
        <f ca="1">IFERROR(__xludf.DUMMYFUNCTION("""COMPUTED_VALUE"""),10)</f>
        <v>10</v>
      </c>
      <c r="J499" t="str">
        <f ca="1">IFERROR(__xludf.DUMMYFUNCTION("""COMPUTED_VALUE"""),"N/A")</f>
        <v>N/A</v>
      </c>
      <c r="K499" t="str">
        <f ca="1">IFERROR(__xludf.DUMMYFUNCTION("""COMPUTED_VALUE"""),"Pru Logistic")</f>
        <v>Pru Logistic</v>
      </c>
      <c r="L499" t="str">
        <f ca="1">IFERROR(__xludf.DUMMYFUNCTION("""COMPUTED_VALUE"""),"Y")</f>
        <v>Y</v>
      </c>
      <c r="M499" t="str">
        <f ca="1">IFERROR(__xludf.DUMMYFUNCTION("""COMPUTED_VALUE"""),"pe-123")</f>
        <v>pe-123</v>
      </c>
    </row>
    <row r="500" spans="1:13" ht="12.5" x14ac:dyDescent="0.25">
      <c r="A500" t="str">
        <f ca="1">IFERROR(__xludf.DUMMYFUNCTION("""COMPUTED_VALUE"""),"Herman")</f>
        <v>Herman</v>
      </c>
      <c r="B500" t="str">
        <f ca="1">IFERROR(__xludf.DUMMYFUNCTION("""COMPUTED_VALUE"""),"Noorsy")</f>
        <v>Noorsy</v>
      </c>
      <c r="C500" t="str">
        <f ca="1">IFERROR(__xludf.DUMMYFUNCTION("""COMPUTED_VALUE"""),"Herman@gmailx.com")</f>
        <v>Herman@gmailx.com</v>
      </c>
      <c r="D500" t="str">
        <f ca="1">IFERROR(__xludf.DUMMYFUNCTION("""COMPUTED_VALUE"""),"Palopo")</f>
        <v>Palopo</v>
      </c>
      <c r="E500" s="12">
        <f ca="1">IFERROR(__xludf.DUMMYFUNCTION("""COMPUTED_VALUE"""),42831)</f>
        <v>42831</v>
      </c>
      <c r="F500" t="str">
        <f ca="1">IFERROR(__xludf.DUMMYFUNCTION("""COMPUTED_VALUE"""),"KP0625AF")</f>
        <v>KP0625AF</v>
      </c>
      <c r="G500" s="11">
        <f ca="1">IFERROR(__xludf.DUMMYFUNCTION("""COMPUTED_VALUE"""),84000000)</f>
        <v>84000000</v>
      </c>
      <c r="H500">
        <f ca="1">IFERROR(__xludf.DUMMYFUNCTION("""COMPUTED_VALUE"""),36762)</f>
        <v>36762</v>
      </c>
      <c r="I500">
        <f ca="1">IFERROR(__xludf.DUMMYFUNCTION("""COMPUTED_VALUE"""),7)</f>
        <v>7</v>
      </c>
      <c r="J500" t="str">
        <f ca="1">IFERROR(__xludf.DUMMYFUNCTION("""COMPUTED_VALUE"""),"N/A")</f>
        <v>N/A</v>
      </c>
      <c r="K500" t="str">
        <f ca="1">IFERROR(__xludf.DUMMYFUNCTION("""COMPUTED_VALUE"""),"JENT")</f>
        <v>JENT</v>
      </c>
      <c r="L500" t="str">
        <f ca="1">IFERROR(__xludf.DUMMYFUNCTION("""COMPUTED_VALUE"""),"Y")</f>
        <v>Y</v>
      </c>
      <c r="M500" t="str">
        <f ca="1">IFERROR(__xludf.DUMMYFUNCTION("""COMPUTED_VALUE"""),"qu-290")</f>
        <v>qu-290</v>
      </c>
    </row>
    <row r="501" spans="1:13" ht="12.5" x14ac:dyDescent="0.25">
      <c r="A501" t="str">
        <f ca="1">IFERROR(__xludf.DUMMYFUNCTION("""COMPUTED_VALUE"""),"Mohamad")</f>
        <v>Mohamad</v>
      </c>
      <c r="B501" t="str">
        <f ca="1">IFERROR(__xludf.DUMMYFUNCTION("""COMPUTED_VALUE"""),"Susilo")</f>
        <v>Susilo</v>
      </c>
      <c r="C501" t="str">
        <f ca="1">IFERROR(__xludf.DUMMYFUNCTION("""COMPUTED_VALUE"""),"Susilo@ymailx.com")</f>
        <v>Susilo@ymailx.com</v>
      </c>
      <c r="D501" t="str">
        <f ca="1">IFERROR(__xludf.DUMMYFUNCTION("""COMPUTED_VALUE"""),"Medan")</f>
        <v>Medan</v>
      </c>
      <c r="E501" s="12">
        <f ca="1">IFERROR(__xludf.DUMMYFUNCTION("""COMPUTED_VALUE"""),42800)</f>
        <v>42800</v>
      </c>
      <c r="F501" t="str">
        <f ca="1">IFERROR(__xludf.DUMMYFUNCTION("""COMPUTED_VALUE"""),"KP0850FB")</f>
        <v>KP0850FB</v>
      </c>
      <c r="G501" s="11">
        <f ca="1">IFERROR(__xludf.DUMMYFUNCTION("""COMPUTED_VALUE"""),105000000)</f>
        <v>105000000</v>
      </c>
      <c r="H501">
        <f ca="1">IFERROR(__xludf.DUMMYFUNCTION("""COMPUTED_VALUE"""),36313)</f>
        <v>36313</v>
      </c>
      <c r="I501">
        <f ca="1">IFERROR(__xludf.DUMMYFUNCTION("""COMPUTED_VALUE"""),5)</f>
        <v>5</v>
      </c>
      <c r="J501">
        <f ca="1">IFERROR(__xludf.DUMMYFUNCTION("""COMPUTED_VALUE"""),5)</f>
        <v>5</v>
      </c>
      <c r="K501" t="str">
        <f ca="1">IFERROR(__xludf.DUMMYFUNCTION("""COMPUTED_VALUE"""),"JENT")</f>
        <v>JENT</v>
      </c>
      <c r="L501" t="str">
        <f ca="1">IFERROR(__xludf.DUMMYFUNCTION("""COMPUTED_VALUE"""),"Y")</f>
        <v>Y</v>
      </c>
      <c r="M501" t="str">
        <f ca="1">IFERROR(__xludf.DUMMYFUNCTION("""COMPUTED_VALUE"""),"an-662")</f>
        <v>an-662</v>
      </c>
    </row>
    <row r="502" spans="1:13" ht="12.5" x14ac:dyDescent="0.25">
      <c r="A502" t="str">
        <f ca="1">IFERROR(__xludf.DUMMYFUNCTION("""COMPUTED_VALUE"""),"Bobby")</f>
        <v>Bobby</v>
      </c>
      <c r="B502" t="str">
        <f ca="1">IFERROR(__xludf.DUMMYFUNCTION("""COMPUTED_VALUE"""),"Handri")</f>
        <v>Handri</v>
      </c>
      <c r="C502" t="str">
        <f ca="1">IFERROR(__xludf.DUMMYFUNCTION("""COMPUTED_VALUE"""),"Handri@outlookx.com")</f>
        <v>Handri@outlookx.com</v>
      </c>
      <c r="D502" t="str">
        <f ca="1">IFERROR(__xludf.DUMMYFUNCTION("""COMPUTED_VALUE"""),"Payakumbuh")</f>
        <v>Payakumbuh</v>
      </c>
      <c r="E502" s="12">
        <f ca="1">IFERROR(__xludf.DUMMYFUNCTION("""COMPUTED_VALUE"""),42800)</f>
        <v>42800</v>
      </c>
      <c r="F502" t="str">
        <f ca="1">IFERROR(__xludf.DUMMYFUNCTION("""COMPUTED_VALUE"""),"KP0850FB")</f>
        <v>KP0850FB</v>
      </c>
      <c r="G502" s="11">
        <f ca="1">IFERROR(__xludf.DUMMYFUNCTION("""COMPUTED_VALUE"""),147000000)</f>
        <v>147000000</v>
      </c>
      <c r="H502">
        <f ca="1">IFERROR(__xludf.DUMMYFUNCTION("""COMPUTED_VALUE"""),35343)</f>
        <v>35343</v>
      </c>
      <c r="I502">
        <f ca="1">IFERROR(__xludf.DUMMYFUNCTION("""COMPUTED_VALUE"""),7)</f>
        <v>7</v>
      </c>
      <c r="J502">
        <f ca="1">IFERROR(__xludf.DUMMYFUNCTION("""COMPUTED_VALUE"""),3)</f>
        <v>3</v>
      </c>
      <c r="K502" t="str">
        <f ca="1">IFERROR(__xludf.DUMMYFUNCTION("""COMPUTED_VALUE"""),"JENT")</f>
        <v>JENT</v>
      </c>
      <c r="L502" t="str">
        <f ca="1">IFERROR(__xludf.DUMMYFUNCTION("""COMPUTED_VALUE"""),"Y")</f>
        <v>Y</v>
      </c>
      <c r="M502" t="str">
        <f ca="1">IFERROR(__xludf.DUMMYFUNCTION("""COMPUTED_VALUE"""),"oz-559")</f>
        <v>oz-559</v>
      </c>
    </row>
    <row r="503" spans="1:13" ht="12.5" x14ac:dyDescent="0.25">
      <c r="A503" t="str">
        <f ca="1">IFERROR(__xludf.DUMMYFUNCTION("""COMPUTED_VALUE"""),"Liem")</f>
        <v>Liem</v>
      </c>
      <c r="B503" t="str">
        <f ca="1">IFERROR(__xludf.DUMMYFUNCTION("""COMPUTED_VALUE"""),"Budijarto")</f>
        <v>Budijarto</v>
      </c>
      <c r="C503" t="str">
        <f ca="1">IFERROR(__xludf.DUMMYFUNCTION("""COMPUTED_VALUE"""),"Liem@rocketmailx.com")</f>
        <v>Liem@rocketmailx.com</v>
      </c>
      <c r="D503" t="str">
        <f ca="1">IFERROR(__xludf.DUMMYFUNCTION("""COMPUTED_VALUE"""),"Palopo")</f>
        <v>Palopo</v>
      </c>
      <c r="E503" s="12">
        <f ca="1">IFERROR(__xludf.DUMMYFUNCTION("""COMPUTED_VALUE"""),42800)</f>
        <v>42800</v>
      </c>
      <c r="F503" t="str">
        <f ca="1">IFERROR(__xludf.DUMMYFUNCTION("""COMPUTED_VALUE"""),"KP0225BB")</f>
        <v>KP0225BB</v>
      </c>
      <c r="G503" s="11">
        <f ca="1">IFERROR(__xludf.DUMMYFUNCTION("""COMPUTED_VALUE"""),40000000)</f>
        <v>40000000</v>
      </c>
      <c r="H503">
        <f ca="1">IFERROR(__xludf.DUMMYFUNCTION("""COMPUTED_VALUE"""),36405)</f>
        <v>36405</v>
      </c>
      <c r="I503">
        <f ca="1">IFERROR(__xludf.DUMMYFUNCTION("""COMPUTED_VALUE"""),4)</f>
        <v>4</v>
      </c>
      <c r="J503" t="str">
        <f ca="1">IFERROR(__xludf.DUMMYFUNCTION("""COMPUTED_VALUE"""),"N/A")</f>
        <v>N/A</v>
      </c>
      <c r="K503" t="str">
        <f ca="1">IFERROR(__xludf.DUMMYFUNCTION("""COMPUTED_VALUE"""),"Cepat Kirim")</f>
        <v>Cepat Kirim</v>
      </c>
      <c r="L503" t="str">
        <f ca="1">IFERROR(__xludf.DUMMYFUNCTION("""COMPUTED_VALUE"""),"Y")</f>
        <v>Y</v>
      </c>
      <c r="M503" t="str">
        <f ca="1">IFERROR(__xludf.DUMMYFUNCTION("""COMPUTED_VALUE"""),"zz-290")</f>
        <v>zz-290</v>
      </c>
    </row>
    <row r="504" spans="1:13" ht="12.5" x14ac:dyDescent="0.25">
      <c r="A504" t="str">
        <f ca="1">IFERROR(__xludf.DUMMYFUNCTION("""COMPUTED_VALUE"""),"Oetie")</f>
        <v>Oetie</v>
      </c>
      <c r="B504" t="str">
        <f ca="1">IFERROR(__xludf.DUMMYFUNCTION("""COMPUTED_VALUE"""),"Abujono")</f>
        <v>Abujono</v>
      </c>
      <c r="C504" t="str">
        <f ca="1">IFERROR(__xludf.DUMMYFUNCTION("""COMPUTED_VALUE"""),"Oetie@rocketmailx.com")</f>
        <v>Oetie@rocketmailx.com</v>
      </c>
      <c r="D504" t="str">
        <f ca="1">IFERROR(__xludf.DUMMYFUNCTION("""COMPUTED_VALUE"""),"Banjarbaru")</f>
        <v>Banjarbaru</v>
      </c>
      <c r="E504" s="12">
        <f ca="1">IFERROR(__xludf.DUMMYFUNCTION("""COMPUTED_VALUE"""),42772)</f>
        <v>42772</v>
      </c>
      <c r="F504" t="str">
        <f ca="1">IFERROR(__xludf.DUMMYFUNCTION("""COMPUTED_VALUE"""),"KP0225BB")</f>
        <v>KP0225BB</v>
      </c>
      <c r="G504" s="11">
        <f ca="1">IFERROR(__xludf.DUMMYFUNCTION("""COMPUTED_VALUE"""),50000000)</f>
        <v>50000000</v>
      </c>
      <c r="H504">
        <f ca="1">IFERROR(__xludf.DUMMYFUNCTION("""COMPUTED_VALUE"""),36282)</f>
        <v>36282</v>
      </c>
      <c r="I504">
        <f ca="1">IFERROR(__xludf.DUMMYFUNCTION("""COMPUTED_VALUE"""),5)</f>
        <v>5</v>
      </c>
      <c r="J504">
        <f ca="1">IFERROR(__xludf.DUMMYFUNCTION("""COMPUTED_VALUE"""),4)</f>
        <v>4</v>
      </c>
      <c r="K504" t="str">
        <f ca="1">IFERROR(__xludf.DUMMYFUNCTION("""COMPUTED_VALUE"""),"Swift Delivery")</f>
        <v>Swift Delivery</v>
      </c>
      <c r="L504" t="str">
        <f ca="1">IFERROR(__xludf.DUMMYFUNCTION("""COMPUTED_VALUE"""),"N")</f>
        <v>N</v>
      </c>
      <c r="M504" t="str">
        <f ca="1">IFERROR(__xludf.DUMMYFUNCTION("""COMPUTED_VALUE"""),"uk-991")</f>
        <v>uk-991</v>
      </c>
    </row>
    <row r="505" spans="1:13" ht="12.5" x14ac:dyDescent="0.25">
      <c r="A505" t="str">
        <f ca="1">IFERROR(__xludf.DUMMYFUNCTION("""COMPUTED_VALUE"""),"Lim")</f>
        <v>Lim</v>
      </c>
      <c r="B505" t="str">
        <f ca="1">IFERROR(__xludf.DUMMYFUNCTION("""COMPUTED_VALUE"""),"Hardono")</f>
        <v>Hardono</v>
      </c>
      <c r="C505" t="str">
        <f ca="1">IFERROR(__xludf.DUMMYFUNCTION("""COMPUTED_VALUE"""),"Hardono@livex.com")</f>
        <v>Hardono@livex.com</v>
      </c>
      <c r="D505" t="str">
        <f ca="1">IFERROR(__xludf.DUMMYFUNCTION("""COMPUTED_VALUE"""),"Banda Aceh")</f>
        <v>Banda Aceh</v>
      </c>
      <c r="E505" s="12">
        <f ca="1">IFERROR(__xludf.DUMMYFUNCTION("""COMPUTED_VALUE"""),42741)</f>
        <v>42741</v>
      </c>
      <c r="F505" t="str">
        <f ca="1">IFERROR(__xludf.DUMMYFUNCTION("""COMPUTED_VALUE"""),"KP0850FB")</f>
        <v>KP0850FB</v>
      </c>
      <c r="G505" s="11">
        <f ca="1">IFERROR(__xludf.DUMMYFUNCTION("""COMPUTED_VALUE"""),168000000)</f>
        <v>168000000</v>
      </c>
      <c r="H505">
        <f ca="1">IFERROR(__xludf.DUMMYFUNCTION("""COMPUTED_VALUE"""),36488)</f>
        <v>36488</v>
      </c>
      <c r="I505">
        <f ca="1">IFERROR(__xludf.DUMMYFUNCTION("""COMPUTED_VALUE"""),8)</f>
        <v>8</v>
      </c>
      <c r="J505" t="str">
        <f ca="1">IFERROR(__xludf.DUMMYFUNCTION("""COMPUTED_VALUE"""),"N/A")</f>
        <v>N/A</v>
      </c>
      <c r="K505" t="str">
        <f ca="1">IFERROR(__xludf.DUMMYFUNCTION("""COMPUTED_VALUE"""),"JENT")</f>
        <v>JENT</v>
      </c>
      <c r="L505" t="str">
        <f ca="1">IFERROR(__xludf.DUMMYFUNCTION("""COMPUTED_VALUE"""),"Y")</f>
        <v>Y</v>
      </c>
      <c r="M505" t="str">
        <f ca="1">IFERROR(__xludf.DUMMYFUNCTION("""COMPUTED_VALUE"""),"mr-101")</f>
        <v>mr-101</v>
      </c>
    </row>
    <row r="506" spans="1:13" ht="12.5" x14ac:dyDescent="0.25">
      <c r="A506" t="str">
        <f ca="1">IFERROR(__xludf.DUMMYFUNCTION("""COMPUTED_VALUE"""),"Adri")</f>
        <v>Adri</v>
      </c>
      <c r="B506" t="str">
        <f ca="1">IFERROR(__xludf.DUMMYFUNCTION("""COMPUTED_VALUE"""),"Suitono")</f>
        <v>Suitono</v>
      </c>
      <c r="C506" t="str">
        <f ca="1">IFERROR(__xludf.DUMMYFUNCTION("""COMPUTED_VALUE"""),"Suitono@ymailx.com")</f>
        <v>Suitono@ymailx.com</v>
      </c>
      <c r="D506" t="str">
        <f ca="1">IFERROR(__xludf.DUMMYFUNCTION("""COMPUTED_VALUE"""),"Cilegon")</f>
        <v>Cilegon</v>
      </c>
      <c r="E506" s="12">
        <f ca="1">IFERROR(__xludf.DUMMYFUNCTION("""COMPUTED_VALUE"""),42741)</f>
        <v>42741</v>
      </c>
      <c r="F506" t="str">
        <f ca="1">IFERROR(__xludf.DUMMYFUNCTION("""COMPUTED_VALUE"""),"KP0150BH")</f>
        <v>KP0150BH</v>
      </c>
      <c r="G506" s="11">
        <f ca="1">IFERROR(__xludf.DUMMYFUNCTION("""COMPUTED_VALUE"""),54000000)</f>
        <v>54000000</v>
      </c>
      <c r="H506">
        <f ca="1">IFERROR(__xludf.DUMMYFUNCTION("""COMPUTED_VALUE"""),36285)</f>
        <v>36285</v>
      </c>
      <c r="I506">
        <f ca="1">IFERROR(__xludf.DUMMYFUNCTION("""COMPUTED_VALUE"""),2)</f>
        <v>2</v>
      </c>
      <c r="J506" t="str">
        <f ca="1">IFERROR(__xludf.DUMMYFUNCTION("""COMPUTED_VALUE"""),"N/A")</f>
        <v>N/A</v>
      </c>
      <c r="K506" t="str">
        <f ca="1">IFERROR(__xludf.DUMMYFUNCTION("""COMPUTED_VALUE"""),"Wakanda Express")</f>
        <v>Wakanda Express</v>
      </c>
      <c r="L506" t="str">
        <f ca="1">IFERROR(__xludf.DUMMYFUNCTION("""COMPUTED_VALUE"""),"Y")</f>
        <v>Y</v>
      </c>
      <c r="M506" t="str">
        <f ca="1">IFERROR(__xludf.DUMMYFUNCTION("""COMPUTED_VALUE"""),"yo-500")</f>
        <v>yo-500</v>
      </c>
    </row>
    <row r="507" spans="1:13" ht="12.5" x14ac:dyDescent="0.25">
      <c r="A507" t="str">
        <f ca="1">IFERROR(__xludf.DUMMYFUNCTION("""COMPUTED_VALUE"""),"Abdullah")</f>
        <v>Abdullah</v>
      </c>
      <c r="B507" t="str">
        <f ca="1">IFERROR(__xludf.DUMMYFUNCTION("""COMPUTED_VALUE"""),"Alatas")</f>
        <v>Alatas</v>
      </c>
      <c r="C507" t="str">
        <f ca="1">IFERROR(__xludf.DUMMYFUNCTION("""COMPUTED_VALUE"""),"Alatas@ymailx.com")</f>
        <v>Alatas@ymailx.com</v>
      </c>
      <c r="D507" t="str">
        <f ca="1">IFERROR(__xludf.DUMMYFUNCTION("""COMPUTED_VALUE"""),"Surakarta")</f>
        <v>Surakarta</v>
      </c>
      <c r="E507" s="12">
        <f ca="1">IFERROR(__xludf.DUMMYFUNCTION("""COMPUTED_VALUE"""),42741)</f>
        <v>42741</v>
      </c>
      <c r="F507" t="str">
        <f ca="1">IFERROR(__xludf.DUMMYFUNCTION("""COMPUTED_VALUE"""),"KP0750AJ")</f>
        <v>KP0750AJ</v>
      </c>
      <c r="G507" s="11">
        <f ca="1">IFERROR(__xludf.DUMMYFUNCTION("""COMPUTED_VALUE"""),36000000)</f>
        <v>36000000</v>
      </c>
      <c r="H507" t="str">
        <f ca="1">IFERROR(__xludf.DUMMYFUNCTION("""COMPUTED_VALUE"""),"35060")</f>
        <v>35060</v>
      </c>
      <c r="I507" t="str">
        <f ca="1">IFERROR(__xludf.DUMMYFUNCTION("""COMPUTED_VALUE"""),"2")</f>
        <v>2</v>
      </c>
      <c r="J507">
        <f ca="1">IFERROR(__xludf.DUMMYFUNCTION("""COMPUTED_VALUE"""),4)</f>
        <v>4</v>
      </c>
      <c r="K507" t="str">
        <f ca="1">IFERROR(__xludf.DUMMYFUNCTION("""COMPUTED_VALUE"""),"JENT")</f>
        <v>JENT</v>
      </c>
      <c r="L507" t="str">
        <f ca="1">IFERROR(__xludf.DUMMYFUNCTION("""COMPUTED_VALUE"""),"Y")</f>
        <v>Y</v>
      </c>
      <c r="M507" t="str">
        <f ca="1">IFERROR(__xludf.DUMMYFUNCTION("""COMPUTED_VALUE"""),"qh-410")</f>
        <v>qh-410</v>
      </c>
    </row>
    <row r="508" spans="1:13" ht="12.5" x14ac:dyDescent="0.25">
      <c r="A508" t="str">
        <f ca="1">IFERROR(__xludf.DUMMYFUNCTION("""COMPUTED_VALUE"""),"Eunice")</f>
        <v>Eunice</v>
      </c>
      <c r="B508" t="str">
        <f ca="1">IFERROR(__xludf.DUMMYFUNCTION("""COMPUTED_VALUE"""),"Wiyono")</f>
        <v>Wiyono</v>
      </c>
      <c r="C508" t="str">
        <f ca="1">IFERROR(__xludf.DUMMYFUNCTION("""COMPUTED_VALUE"""),"Eunice@outlookx.com")</f>
        <v>Eunice@outlookx.com</v>
      </c>
      <c r="D508" t="str">
        <f ca="1">IFERROR(__xludf.DUMMYFUNCTION("""COMPUTED_VALUE"""),"Madiun")</f>
        <v>Madiun</v>
      </c>
      <c r="E508" s="12">
        <f ca="1">IFERROR(__xludf.DUMMYFUNCTION("""COMPUTED_VALUE"""),42883)</f>
        <v>42883</v>
      </c>
      <c r="F508" t="str">
        <f ca="1">IFERROR(__xludf.DUMMYFUNCTION("""COMPUTED_VALUE"""),"KP0350CF")</f>
        <v>KP0350CF</v>
      </c>
      <c r="G508" s="11">
        <f ca="1">IFERROR(__xludf.DUMMYFUNCTION("""COMPUTED_VALUE"""),105000000)</f>
        <v>105000000</v>
      </c>
      <c r="H508">
        <f ca="1">IFERROR(__xludf.DUMMYFUNCTION("""COMPUTED_VALUE"""),36604)</f>
        <v>36604</v>
      </c>
      <c r="I508">
        <f ca="1">IFERROR(__xludf.DUMMYFUNCTION("""COMPUTED_VALUE"""),3)</f>
        <v>3</v>
      </c>
      <c r="J508">
        <f ca="1">IFERROR(__xludf.DUMMYFUNCTION("""COMPUTED_VALUE"""),5)</f>
        <v>5</v>
      </c>
      <c r="K508" t="str">
        <f ca="1">IFERROR(__xludf.DUMMYFUNCTION("""COMPUTED_VALUE"""),"JENT")</f>
        <v>JENT</v>
      </c>
      <c r="L508" t="str">
        <f ca="1">IFERROR(__xludf.DUMMYFUNCTION("""COMPUTED_VALUE"""),"Y")</f>
        <v>Y</v>
      </c>
      <c r="M508" t="str">
        <f ca="1">IFERROR(__xludf.DUMMYFUNCTION("""COMPUTED_VALUE"""),"wt-123")</f>
        <v>wt-123</v>
      </c>
    </row>
    <row r="509" spans="1:13" ht="12.5" x14ac:dyDescent="0.25">
      <c r="A509" t="str">
        <f ca="1">IFERROR(__xludf.DUMMYFUNCTION("""COMPUTED_VALUE"""),"Danny")</f>
        <v>Danny</v>
      </c>
      <c r="B509" t="str">
        <f ca="1">IFERROR(__xludf.DUMMYFUNCTION("""COMPUTED_VALUE"""),"Basuki")</f>
        <v>Basuki</v>
      </c>
      <c r="C509" t="str">
        <f ca="1">IFERROR(__xludf.DUMMYFUNCTION("""COMPUTED_VALUE"""),"Danny@ymailx.com")</f>
        <v>Danny@ymailx.com</v>
      </c>
      <c r="D509" t="str">
        <f ca="1">IFERROR(__xludf.DUMMYFUNCTION("""COMPUTED_VALUE"""),"Jambi")</f>
        <v>Jambi</v>
      </c>
      <c r="E509" s="12">
        <f ca="1">IFERROR(__xludf.DUMMYFUNCTION("""COMPUTED_VALUE"""),42882)</f>
        <v>42882</v>
      </c>
      <c r="F509" t="str">
        <f ca="1">IFERROR(__xludf.DUMMYFUNCTION("""COMPUTED_VALUE"""),"KP0625AF")</f>
        <v>KP0625AF</v>
      </c>
      <c r="G509" s="11">
        <f ca="1">IFERROR(__xludf.DUMMYFUNCTION("""COMPUTED_VALUE"""),96000000)</f>
        <v>96000000</v>
      </c>
      <c r="H509">
        <f ca="1">IFERROR(__xludf.DUMMYFUNCTION("""COMPUTED_VALUE"""),35875)</f>
        <v>35875</v>
      </c>
      <c r="I509">
        <f ca="1">IFERROR(__xludf.DUMMYFUNCTION("""COMPUTED_VALUE"""),8)</f>
        <v>8</v>
      </c>
      <c r="J509" t="str">
        <f ca="1">IFERROR(__xludf.DUMMYFUNCTION("""COMPUTED_VALUE"""),"N/A")</f>
        <v>N/A</v>
      </c>
      <c r="K509" t="str">
        <f ca="1">IFERROR(__xludf.DUMMYFUNCTION("""COMPUTED_VALUE"""),"Swift Delivery")</f>
        <v>Swift Delivery</v>
      </c>
      <c r="L509" t="str">
        <f ca="1">IFERROR(__xludf.DUMMYFUNCTION("""COMPUTED_VALUE"""),"Y")</f>
        <v>Y</v>
      </c>
      <c r="M509" t="str">
        <f ca="1">IFERROR(__xludf.DUMMYFUNCTION("""COMPUTED_VALUE"""),"qa-512")</f>
        <v>qa-512</v>
      </c>
    </row>
    <row r="510" spans="1:13" ht="12.5" x14ac:dyDescent="0.25">
      <c r="A510" t="str">
        <f ca="1">IFERROR(__xludf.DUMMYFUNCTION("""COMPUTED_VALUE"""),"Hendra")</f>
        <v>Hendra</v>
      </c>
      <c r="B510" t="str">
        <f ca="1">IFERROR(__xludf.DUMMYFUNCTION("""COMPUTED_VALUE"""),"Jimmy")</f>
        <v>Jimmy</v>
      </c>
      <c r="C510" t="str">
        <f ca="1">IFERROR(__xludf.DUMMYFUNCTION("""COMPUTED_VALUE"""),"Jimmy@gmailx.com")</f>
        <v>Jimmy@gmailx.com</v>
      </c>
      <c r="D510" t="str">
        <f ca="1">IFERROR(__xludf.DUMMYFUNCTION("""COMPUTED_VALUE"""),"Medan")</f>
        <v>Medan</v>
      </c>
      <c r="E510" s="12">
        <f ca="1">IFERROR(__xludf.DUMMYFUNCTION("""COMPUTED_VALUE"""),42882)</f>
        <v>42882</v>
      </c>
      <c r="F510" t="str">
        <f ca="1">IFERROR(__xludf.DUMMYFUNCTION("""COMPUTED_VALUE"""),"KP0850FB")</f>
        <v>KP0850FB</v>
      </c>
      <c r="G510" s="11">
        <f ca="1">IFERROR(__xludf.DUMMYFUNCTION("""COMPUTED_VALUE"""),105000000)</f>
        <v>105000000</v>
      </c>
      <c r="H510">
        <f ca="1">IFERROR(__xludf.DUMMYFUNCTION("""COMPUTED_VALUE"""),35726)</f>
        <v>35726</v>
      </c>
      <c r="I510">
        <f ca="1">IFERROR(__xludf.DUMMYFUNCTION("""COMPUTED_VALUE"""),5)</f>
        <v>5</v>
      </c>
      <c r="J510" t="str">
        <f ca="1">IFERROR(__xludf.DUMMYFUNCTION("""COMPUTED_VALUE"""),"N/A")</f>
        <v>N/A</v>
      </c>
      <c r="K510" t="str">
        <f ca="1">IFERROR(__xludf.DUMMYFUNCTION("""COMPUTED_VALUE"""),"Swift Delivery")</f>
        <v>Swift Delivery</v>
      </c>
      <c r="L510" t="str">
        <f ca="1">IFERROR(__xludf.DUMMYFUNCTION("""COMPUTED_VALUE"""),"Y")</f>
        <v>Y</v>
      </c>
      <c r="M510" t="str">
        <f ca="1">IFERROR(__xludf.DUMMYFUNCTION("""COMPUTED_VALUE"""),"yk-662")</f>
        <v>yk-662</v>
      </c>
    </row>
    <row r="511" spans="1:13" ht="12.5" x14ac:dyDescent="0.25">
      <c r="A511" t="str">
        <f ca="1">IFERROR(__xludf.DUMMYFUNCTION("""COMPUTED_VALUE"""),"Hanson")</f>
        <v>Hanson</v>
      </c>
      <c r="B511" t="str">
        <f ca="1">IFERROR(__xludf.DUMMYFUNCTION("""COMPUTED_VALUE"""),"Wargana")</f>
        <v>Wargana</v>
      </c>
      <c r="C511" t="str">
        <f ca="1">IFERROR(__xludf.DUMMYFUNCTION("""COMPUTED_VALUE"""),"Wargana@gmailx.com")</f>
        <v>Wargana@gmailx.com</v>
      </c>
      <c r="D511" t="str">
        <f ca="1">IFERROR(__xludf.DUMMYFUNCTION("""COMPUTED_VALUE"""),"Prabumulih")</f>
        <v>Prabumulih</v>
      </c>
      <c r="E511" s="12">
        <f ca="1">IFERROR(__xludf.DUMMYFUNCTION("""COMPUTED_VALUE"""),42881)</f>
        <v>42881</v>
      </c>
      <c r="F511" t="str">
        <f ca="1">IFERROR(__xludf.DUMMYFUNCTION("""COMPUTED_VALUE"""),"KP0625AF")</f>
        <v>KP0625AF</v>
      </c>
      <c r="G511" s="11">
        <f ca="1">IFERROR(__xludf.DUMMYFUNCTION("""COMPUTED_VALUE"""),48000000)</f>
        <v>48000000</v>
      </c>
      <c r="H511">
        <f ca="1">IFERROR(__xludf.DUMMYFUNCTION("""COMPUTED_VALUE"""),36095)</f>
        <v>36095</v>
      </c>
      <c r="I511">
        <f ca="1">IFERROR(__xludf.DUMMYFUNCTION("""COMPUTED_VALUE"""),4)</f>
        <v>4</v>
      </c>
      <c r="J511">
        <f ca="1">IFERROR(__xludf.DUMMYFUNCTION("""COMPUTED_VALUE"""),4)</f>
        <v>4</v>
      </c>
      <c r="K511" t="str">
        <f ca="1">IFERROR(__xludf.DUMMYFUNCTION("""COMPUTED_VALUE"""),"Swift Delivery")</f>
        <v>Swift Delivery</v>
      </c>
      <c r="L511" t="str">
        <f ca="1">IFERROR(__xludf.DUMMYFUNCTION("""COMPUTED_VALUE"""),"Y")</f>
        <v>Y</v>
      </c>
      <c r="M511" t="str">
        <f ca="1">IFERROR(__xludf.DUMMYFUNCTION("""COMPUTED_VALUE"""),"xp-661")</f>
        <v>xp-661</v>
      </c>
    </row>
    <row r="512" spans="1:13" ht="12.5" x14ac:dyDescent="0.25">
      <c r="A512" t="str">
        <f ca="1">IFERROR(__xludf.DUMMYFUNCTION("""COMPUTED_VALUE"""),"Adelina")</f>
        <v>Adelina</v>
      </c>
      <c r="B512" t="str">
        <f ca="1">IFERROR(__xludf.DUMMYFUNCTION("""COMPUTED_VALUE"""),"Bowden")</f>
        <v>Bowden</v>
      </c>
      <c r="C512" t="str">
        <f ca="1">IFERROR(__xludf.DUMMYFUNCTION("""COMPUTED_VALUE"""),"BOWDEN@gmailx.com")</f>
        <v>BOWDEN@gmailx.com</v>
      </c>
      <c r="D512" t="str">
        <f ca="1">IFERROR(__xludf.DUMMYFUNCTION("""COMPUTED_VALUE"""),"Cirebon")</f>
        <v>Cirebon</v>
      </c>
      <c r="E512" s="12">
        <f ca="1">IFERROR(__xludf.DUMMYFUNCTION("""COMPUTED_VALUE"""),42881)</f>
        <v>42881</v>
      </c>
      <c r="F512" t="str">
        <f ca="1">IFERROR(__xludf.DUMMYFUNCTION("""COMPUTED_VALUE"""),"KP0750AJ")</f>
        <v>KP0750AJ</v>
      </c>
      <c r="G512" s="11">
        <f ca="1">IFERROR(__xludf.DUMMYFUNCTION("""COMPUTED_VALUE"""),90000000)</f>
        <v>90000000</v>
      </c>
      <c r="H512">
        <f ca="1">IFERROR(__xludf.DUMMYFUNCTION("""COMPUTED_VALUE"""),36987)</f>
        <v>36987</v>
      </c>
      <c r="I512">
        <f ca="1">IFERROR(__xludf.DUMMYFUNCTION("""COMPUTED_VALUE"""),5)</f>
        <v>5</v>
      </c>
      <c r="J512">
        <f ca="1">IFERROR(__xludf.DUMMYFUNCTION("""COMPUTED_VALUE"""),1)</f>
        <v>1</v>
      </c>
      <c r="K512" t="str">
        <f ca="1">IFERROR(__xludf.DUMMYFUNCTION("""COMPUTED_VALUE"""),"Swift Delivery")</f>
        <v>Swift Delivery</v>
      </c>
      <c r="L512" t="str">
        <f ca="1">IFERROR(__xludf.DUMMYFUNCTION("""COMPUTED_VALUE"""),"Y")</f>
        <v>Y</v>
      </c>
      <c r="M512" t="str">
        <f ca="1">IFERROR(__xludf.DUMMYFUNCTION("""COMPUTED_VALUE"""),"ft-409")</f>
        <v>ft-409</v>
      </c>
    </row>
    <row r="513" spans="1:13" ht="12.5" x14ac:dyDescent="0.25">
      <c r="A513" t="str">
        <f ca="1">IFERROR(__xludf.DUMMYFUNCTION("""COMPUTED_VALUE"""),"Doreen")</f>
        <v>Doreen</v>
      </c>
      <c r="B513" t="str">
        <f ca="1">IFERROR(__xludf.DUMMYFUNCTION("""COMPUTED_VALUE"""),"Kong")</f>
        <v>Kong</v>
      </c>
      <c r="C513" t="str">
        <f ca="1">IFERROR(__xludf.DUMMYFUNCTION("""COMPUTED_VALUE"""),"Kong@livex.com")</f>
        <v>Kong@livex.com</v>
      </c>
      <c r="D513" t="str">
        <f ca="1">IFERROR(__xludf.DUMMYFUNCTION("""COMPUTED_VALUE"""),"Palembang")</f>
        <v>Palembang</v>
      </c>
      <c r="E513" s="12">
        <f ca="1">IFERROR(__xludf.DUMMYFUNCTION("""COMPUTED_VALUE"""),42881)</f>
        <v>42881</v>
      </c>
      <c r="F513" t="str">
        <f ca="1">IFERROR(__xludf.DUMMYFUNCTION("""COMPUTED_VALUE"""),"KP0750AJ")</f>
        <v>KP0750AJ</v>
      </c>
      <c r="G513" s="11">
        <f ca="1">IFERROR(__xludf.DUMMYFUNCTION("""COMPUTED_VALUE"""),54000000)</f>
        <v>54000000</v>
      </c>
      <c r="H513">
        <f ca="1">IFERROR(__xludf.DUMMYFUNCTION("""COMPUTED_VALUE"""),35153)</f>
        <v>35153</v>
      </c>
      <c r="I513">
        <f ca="1">IFERROR(__xludf.DUMMYFUNCTION("""COMPUTED_VALUE"""),3)</f>
        <v>3</v>
      </c>
      <c r="J513">
        <f ca="1">IFERROR(__xludf.DUMMYFUNCTION("""COMPUTED_VALUE"""),4)</f>
        <v>4</v>
      </c>
      <c r="K513" t="str">
        <f ca="1">IFERROR(__xludf.DUMMYFUNCTION("""COMPUTED_VALUE"""),"JENT")</f>
        <v>JENT</v>
      </c>
      <c r="L513" t="str">
        <f ca="1">IFERROR(__xludf.DUMMYFUNCTION("""COMPUTED_VALUE"""),"Y")</f>
        <v>Y</v>
      </c>
      <c r="M513" t="str">
        <f ca="1">IFERROR(__xludf.DUMMYFUNCTION("""COMPUTED_VALUE"""),"np-661")</f>
        <v>np-661</v>
      </c>
    </row>
    <row r="514" spans="1:13" ht="12.5" x14ac:dyDescent="0.25">
      <c r="A514" t="str">
        <f ca="1">IFERROR(__xludf.DUMMYFUNCTION("""COMPUTED_VALUE"""),"Petrus")</f>
        <v>Petrus</v>
      </c>
      <c r="B514" t="str">
        <f ca="1">IFERROR(__xludf.DUMMYFUNCTION("""COMPUTED_VALUE"""),"Hugh")</f>
        <v>Hugh</v>
      </c>
      <c r="C514" t="str">
        <f ca="1">IFERROR(__xludf.DUMMYFUNCTION("""COMPUTED_VALUE"""),"Hugh@livex.com")</f>
        <v>Hugh@livex.com</v>
      </c>
      <c r="D514" t="str">
        <f ca="1">IFERROR(__xludf.DUMMYFUNCTION("""COMPUTED_VALUE"""),"Bandung")</f>
        <v>Bandung</v>
      </c>
      <c r="E514" s="12">
        <f ca="1">IFERROR(__xludf.DUMMYFUNCTION("""COMPUTED_VALUE"""),42880)</f>
        <v>42880</v>
      </c>
      <c r="F514" t="str">
        <f ca="1">IFERROR(__xludf.DUMMYFUNCTION("""COMPUTED_VALUE"""),"KP0925SG")</f>
        <v>KP0925SG</v>
      </c>
      <c r="G514" s="11">
        <f ca="1">IFERROR(__xludf.DUMMYFUNCTION("""COMPUTED_VALUE"""),60000000)</f>
        <v>60000000</v>
      </c>
      <c r="H514">
        <f ca="1">IFERROR(__xludf.DUMMYFUNCTION("""COMPUTED_VALUE"""),36187)</f>
        <v>36187</v>
      </c>
      <c r="I514">
        <f ca="1">IFERROR(__xludf.DUMMYFUNCTION("""COMPUTED_VALUE"""),4)</f>
        <v>4</v>
      </c>
      <c r="J514">
        <f ca="1">IFERROR(__xludf.DUMMYFUNCTION("""COMPUTED_VALUE"""),4)</f>
        <v>4</v>
      </c>
      <c r="K514" t="str">
        <f ca="1">IFERROR(__xludf.DUMMYFUNCTION("""COMPUTED_VALUE"""),"Pru Logistic")</f>
        <v>Pru Logistic</v>
      </c>
      <c r="L514" t="str">
        <f ca="1">IFERROR(__xludf.DUMMYFUNCTION("""COMPUTED_VALUE"""),"N")</f>
        <v>N</v>
      </c>
      <c r="M514" t="str">
        <f ca="1">IFERROR(__xludf.DUMMYFUNCTION("""COMPUTED_VALUE"""),"en-409")</f>
        <v>en-409</v>
      </c>
    </row>
    <row r="515" spans="1:13" ht="12.5" x14ac:dyDescent="0.25">
      <c r="A515" t="str">
        <f ca="1">IFERROR(__xludf.DUMMYFUNCTION("""COMPUTED_VALUE"""),"Beatrice")</f>
        <v>Beatrice</v>
      </c>
      <c r="B515" t="str">
        <f ca="1">IFERROR(__xludf.DUMMYFUNCTION("""COMPUTED_VALUE"""),"Tedjajadi")</f>
        <v>Tedjajadi</v>
      </c>
      <c r="C515" t="str">
        <f ca="1">IFERROR(__xludf.DUMMYFUNCTION("""COMPUTED_VALUE"""),"Tedjajadi@gmailx.com")</f>
        <v>Tedjajadi@gmailx.com</v>
      </c>
      <c r="D515" t="str">
        <f ca="1">IFERROR(__xludf.DUMMYFUNCTION("""COMPUTED_VALUE"""),"Blitar")</f>
        <v>Blitar</v>
      </c>
      <c r="E515" s="12">
        <f ca="1">IFERROR(__xludf.DUMMYFUNCTION("""COMPUTED_VALUE"""),42879)</f>
        <v>42879</v>
      </c>
      <c r="F515" t="str">
        <f ca="1">IFERROR(__xludf.DUMMYFUNCTION("""COMPUTED_VALUE"""),"KP0150BH")</f>
        <v>KP0150BH</v>
      </c>
      <c r="G515" s="11">
        <f ca="1">IFERROR(__xludf.DUMMYFUNCTION("""COMPUTED_VALUE"""),162000000)</f>
        <v>162000000</v>
      </c>
      <c r="H515">
        <f ca="1">IFERROR(__xludf.DUMMYFUNCTION("""COMPUTED_VALUE"""),36342)</f>
        <v>36342</v>
      </c>
      <c r="I515">
        <f ca="1">IFERROR(__xludf.DUMMYFUNCTION("""COMPUTED_VALUE"""),6)</f>
        <v>6</v>
      </c>
      <c r="J515" t="str">
        <f ca="1">IFERROR(__xludf.DUMMYFUNCTION("""COMPUTED_VALUE"""),"N/A")</f>
        <v>N/A</v>
      </c>
      <c r="K515" t="str">
        <f ca="1">IFERROR(__xludf.DUMMYFUNCTION("""COMPUTED_VALUE"""),"JENT")</f>
        <v>JENT</v>
      </c>
      <c r="L515" t="str">
        <f ca="1">IFERROR(__xludf.DUMMYFUNCTION("""COMPUTED_VALUE"""),"Y")</f>
        <v>Y</v>
      </c>
      <c r="M515" t="str">
        <f ca="1">IFERROR(__xludf.DUMMYFUNCTION("""COMPUTED_VALUE"""),"wn-123")</f>
        <v>wn-123</v>
      </c>
    </row>
    <row r="516" spans="1:13" ht="12.5" x14ac:dyDescent="0.25">
      <c r="A516" t="str">
        <f ca="1">IFERROR(__xludf.DUMMYFUNCTION("""COMPUTED_VALUE"""),"Dina")</f>
        <v>Dina</v>
      </c>
      <c r="B516" t="str">
        <f ca="1">IFERROR(__xludf.DUMMYFUNCTION("""COMPUTED_VALUE"""),"Limited")</f>
        <v>Limited</v>
      </c>
      <c r="C516" t="str">
        <f ca="1">IFERROR(__xludf.DUMMYFUNCTION("""COMPUTED_VALUE"""),"Dina@icloudx.com")</f>
        <v>Dina@icloudx.com</v>
      </c>
      <c r="D516" t="str">
        <f ca="1">IFERROR(__xludf.DUMMYFUNCTION("""COMPUTED_VALUE"""),"Solok")</f>
        <v>Solok</v>
      </c>
      <c r="E516" s="12">
        <f ca="1">IFERROR(__xludf.DUMMYFUNCTION("""COMPUTED_VALUE"""),42879)</f>
        <v>42879</v>
      </c>
      <c r="F516" t="str">
        <f ca="1">IFERROR(__xludf.DUMMYFUNCTION("""COMPUTED_VALUE"""),"KP0350CF")</f>
        <v>KP0350CF</v>
      </c>
      <c r="G516" s="11">
        <f ca="1">IFERROR(__xludf.DUMMYFUNCTION("""COMPUTED_VALUE"""),315000000)</f>
        <v>315000000</v>
      </c>
      <c r="H516">
        <f ca="1">IFERROR(__xludf.DUMMYFUNCTION("""COMPUTED_VALUE"""),36090)</f>
        <v>36090</v>
      </c>
      <c r="I516">
        <f ca="1">IFERROR(__xludf.DUMMYFUNCTION("""COMPUTED_VALUE"""),9)</f>
        <v>9</v>
      </c>
      <c r="J516">
        <f ca="1">IFERROR(__xludf.DUMMYFUNCTION("""COMPUTED_VALUE"""),3)</f>
        <v>3</v>
      </c>
      <c r="K516" t="str">
        <f ca="1">IFERROR(__xludf.DUMMYFUNCTION("""COMPUTED_VALUE"""),"Swift Delivery")</f>
        <v>Swift Delivery</v>
      </c>
      <c r="L516" t="str">
        <f ca="1">IFERROR(__xludf.DUMMYFUNCTION("""COMPUTED_VALUE"""),"Y")</f>
        <v>Y</v>
      </c>
      <c r="M516" t="str">
        <f ca="1">IFERROR(__xludf.DUMMYFUNCTION("""COMPUTED_VALUE"""),"je-559")</f>
        <v>je-559</v>
      </c>
    </row>
    <row r="517" spans="1:13" ht="12.5" x14ac:dyDescent="0.25">
      <c r="A517" t="str">
        <f ca="1">IFERROR(__xludf.DUMMYFUNCTION("""COMPUTED_VALUE"""),"Fonny")</f>
        <v>Fonny</v>
      </c>
      <c r="B517" t="str">
        <f ca="1">IFERROR(__xludf.DUMMYFUNCTION("""COMPUTED_VALUE"""),"Irawan")</f>
        <v>Irawan</v>
      </c>
      <c r="C517" t="str">
        <f ca="1">IFERROR(__xludf.DUMMYFUNCTION("""COMPUTED_VALUE"""),"Fonny@livex.com")</f>
        <v>Fonny@livex.com</v>
      </c>
      <c r="D517" t="str">
        <f ca="1">IFERROR(__xludf.DUMMYFUNCTION("""COMPUTED_VALUE"""),"Pekalongan")</f>
        <v>Pekalongan</v>
      </c>
      <c r="E517" s="12">
        <f ca="1">IFERROR(__xludf.DUMMYFUNCTION("""COMPUTED_VALUE"""),42877)</f>
        <v>42877</v>
      </c>
      <c r="F517" t="str">
        <f ca="1">IFERROR(__xludf.DUMMYFUNCTION("""COMPUTED_VALUE"""),"KP0850FB")</f>
        <v>KP0850FB</v>
      </c>
      <c r="G517" s="11">
        <f ca="1">IFERROR(__xludf.DUMMYFUNCTION("""COMPUTED_VALUE"""),105000000)</f>
        <v>105000000</v>
      </c>
      <c r="H517">
        <f ca="1">IFERROR(__xludf.DUMMYFUNCTION("""COMPUTED_VALUE"""),36561)</f>
        <v>36561</v>
      </c>
      <c r="I517">
        <f ca="1">IFERROR(__xludf.DUMMYFUNCTION("""COMPUTED_VALUE"""),5)</f>
        <v>5</v>
      </c>
      <c r="J517" t="str">
        <f ca="1">IFERROR(__xludf.DUMMYFUNCTION("""COMPUTED_VALUE"""),"N/A")</f>
        <v>N/A</v>
      </c>
      <c r="K517" t="str">
        <f ca="1">IFERROR(__xludf.DUMMYFUNCTION("""COMPUTED_VALUE"""),"JENT")</f>
        <v>JENT</v>
      </c>
      <c r="L517" t="str">
        <f ca="1">IFERROR(__xludf.DUMMYFUNCTION("""COMPUTED_VALUE"""),"Y")</f>
        <v>Y</v>
      </c>
      <c r="M517" t="str">
        <f ca="1">IFERROR(__xludf.DUMMYFUNCTION("""COMPUTED_VALUE"""),"zp-410")</f>
        <v>zp-410</v>
      </c>
    </row>
    <row r="518" spans="1:13" ht="12.5" x14ac:dyDescent="0.25">
      <c r="A518" t="str">
        <f ca="1">IFERROR(__xludf.DUMMYFUNCTION("""COMPUTED_VALUE"""),"Christian")</f>
        <v>Christian</v>
      </c>
      <c r="B518" t="str">
        <f ca="1">IFERROR(__xludf.DUMMYFUNCTION("""COMPUTED_VALUE"""),"Supardi")</f>
        <v>Supardi</v>
      </c>
      <c r="C518" t="str">
        <f ca="1">IFERROR(__xludf.DUMMYFUNCTION("""COMPUTED_VALUE"""),"Supardi@icloudx.com")</f>
        <v>Supardi@icloudx.com</v>
      </c>
      <c r="D518" t="str">
        <f ca="1">IFERROR(__xludf.DUMMYFUNCTION("""COMPUTED_VALUE"""),"Banda Aceh")</f>
        <v>Banda Aceh</v>
      </c>
      <c r="E518" s="12">
        <f ca="1">IFERROR(__xludf.DUMMYFUNCTION("""COMPUTED_VALUE"""),42876)</f>
        <v>42876</v>
      </c>
      <c r="F518" t="str">
        <f ca="1">IFERROR(__xludf.DUMMYFUNCTION("""COMPUTED_VALUE"""),"KP0350CF")</f>
        <v>KP0350CF</v>
      </c>
      <c r="G518" s="11">
        <f ca="1">IFERROR(__xludf.DUMMYFUNCTION("""COMPUTED_VALUE"""),140000000)</f>
        <v>140000000</v>
      </c>
      <c r="H518">
        <f ca="1">IFERROR(__xludf.DUMMYFUNCTION("""COMPUTED_VALUE"""),36104)</f>
        <v>36104</v>
      </c>
      <c r="I518">
        <f ca="1">IFERROR(__xludf.DUMMYFUNCTION("""COMPUTED_VALUE"""),4)</f>
        <v>4</v>
      </c>
      <c r="J518" t="str">
        <f ca="1">IFERROR(__xludf.DUMMYFUNCTION("""COMPUTED_VALUE"""),"N/A")</f>
        <v>N/A</v>
      </c>
      <c r="K518" t="str">
        <f ca="1">IFERROR(__xludf.DUMMYFUNCTION("""COMPUTED_VALUE"""),"Cepat Kirim")</f>
        <v>Cepat Kirim</v>
      </c>
      <c r="L518" t="str">
        <f ca="1">IFERROR(__xludf.DUMMYFUNCTION("""COMPUTED_VALUE"""),"Y")</f>
        <v>Y</v>
      </c>
      <c r="M518" t="str">
        <f ca="1">IFERROR(__xludf.DUMMYFUNCTION("""COMPUTED_VALUE"""),"jz-101")</f>
        <v>jz-101</v>
      </c>
    </row>
    <row r="519" spans="1:13" ht="12.5" x14ac:dyDescent="0.25">
      <c r="A519" t="str">
        <f ca="1">IFERROR(__xludf.DUMMYFUNCTION("""COMPUTED_VALUE"""),"Maiko")</f>
        <v>Maiko</v>
      </c>
      <c r="B519" t="str">
        <f ca="1">IFERROR(__xludf.DUMMYFUNCTION("""COMPUTED_VALUE"""),"Endi")</f>
        <v>Endi</v>
      </c>
      <c r="C519" t="str">
        <f ca="1">IFERROR(__xludf.DUMMYFUNCTION("""COMPUTED_VALUE"""),"Endi@icloudx.com")</f>
        <v>Endi@icloudx.com</v>
      </c>
      <c r="D519" t="str">
        <f ca="1">IFERROR(__xludf.DUMMYFUNCTION("""COMPUTED_VALUE"""),"Makassar")</f>
        <v>Makassar</v>
      </c>
      <c r="E519" s="12">
        <f ca="1">IFERROR(__xludf.DUMMYFUNCTION("""COMPUTED_VALUE"""),42875)</f>
        <v>42875</v>
      </c>
      <c r="F519" t="str">
        <f ca="1">IFERROR(__xludf.DUMMYFUNCTION("""COMPUTED_VALUE"""),"KP0750AJ")</f>
        <v>KP0750AJ</v>
      </c>
      <c r="G519" s="11">
        <f ca="1">IFERROR(__xludf.DUMMYFUNCTION("""COMPUTED_VALUE"""),36000000)</f>
        <v>36000000</v>
      </c>
      <c r="H519">
        <f ca="1">IFERROR(__xludf.DUMMYFUNCTION("""COMPUTED_VALUE"""),36220)</f>
        <v>36220</v>
      </c>
      <c r="I519">
        <f ca="1">IFERROR(__xludf.DUMMYFUNCTION("""COMPUTED_VALUE"""),2)</f>
        <v>2</v>
      </c>
      <c r="J519">
        <f ca="1">IFERROR(__xludf.DUMMYFUNCTION("""COMPUTED_VALUE"""),4)</f>
        <v>4</v>
      </c>
      <c r="K519" t="str">
        <f ca="1">IFERROR(__xludf.DUMMYFUNCTION("""COMPUTED_VALUE"""),"Swift Delivery")</f>
        <v>Swift Delivery</v>
      </c>
      <c r="L519" t="str">
        <f ca="1">IFERROR(__xludf.DUMMYFUNCTION("""COMPUTED_VALUE"""),"Y")</f>
        <v>Y</v>
      </c>
      <c r="M519" t="str">
        <f ca="1">IFERROR(__xludf.DUMMYFUNCTION("""COMPUTED_VALUE"""),"qx-290")</f>
        <v>qx-290</v>
      </c>
    </row>
    <row r="520" spans="1:13" ht="12.5" x14ac:dyDescent="0.25">
      <c r="A520" t="str">
        <f ca="1">IFERROR(__xludf.DUMMYFUNCTION("""COMPUTED_VALUE"""),"Nazarudin")</f>
        <v>Nazarudin</v>
      </c>
      <c r="B520" t="str">
        <f ca="1">IFERROR(__xludf.DUMMYFUNCTION("""COMPUTED_VALUE"""),"Anggraini")</f>
        <v>Anggraini</v>
      </c>
      <c r="C520" t="str">
        <f ca="1">IFERROR(__xludf.DUMMYFUNCTION("""COMPUTED_VALUE"""),"Nazarudin@mex.com")</f>
        <v>Nazarudin@mex.com</v>
      </c>
      <c r="D520" t="str">
        <f ca="1">IFERROR(__xludf.DUMMYFUNCTION("""COMPUTED_VALUE"""),"Padang")</f>
        <v>Padang</v>
      </c>
      <c r="E520" s="12">
        <f ca="1">IFERROR(__xludf.DUMMYFUNCTION("""COMPUTED_VALUE"""),42873)</f>
        <v>42873</v>
      </c>
      <c r="F520" t="str">
        <f ca="1">IFERROR(__xludf.DUMMYFUNCTION("""COMPUTED_VALUE"""),"KP0150BH")</f>
        <v>KP0150BH</v>
      </c>
      <c r="G520" s="11">
        <f ca="1">IFERROR(__xludf.DUMMYFUNCTION("""COMPUTED_VALUE"""),108000000)</f>
        <v>108000000</v>
      </c>
      <c r="H520">
        <f ca="1">IFERROR(__xludf.DUMMYFUNCTION("""COMPUTED_VALUE"""),35296)</f>
        <v>35296</v>
      </c>
      <c r="I520">
        <f ca="1">IFERROR(__xludf.DUMMYFUNCTION("""COMPUTED_VALUE"""),4)</f>
        <v>4</v>
      </c>
      <c r="J520" t="str">
        <f ca="1">IFERROR(__xludf.DUMMYFUNCTION("""COMPUTED_VALUE"""),"N/A")</f>
        <v>N/A</v>
      </c>
      <c r="K520" t="str">
        <f ca="1">IFERROR(__xludf.DUMMYFUNCTION("""COMPUTED_VALUE"""),"JENT")</f>
        <v>JENT</v>
      </c>
      <c r="L520" t="str">
        <f ca="1">IFERROR(__xludf.DUMMYFUNCTION("""COMPUTED_VALUE"""),"N")</f>
        <v>N</v>
      </c>
      <c r="M520" t="str">
        <f ca="1">IFERROR(__xludf.DUMMYFUNCTION("""COMPUTED_VALUE"""),"nd-559")</f>
        <v>nd-559</v>
      </c>
    </row>
    <row r="521" spans="1:13" ht="12.5" x14ac:dyDescent="0.25">
      <c r="A521" t="str">
        <f ca="1">IFERROR(__xludf.DUMMYFUNCTION("""COMPUTED_VALUE"""),"Emily")</f>
        <v>Emily</v>
      </c>
      <c r="B521" t="str">
        <f ca="1">IFERROR(__xludf.DUMMYFUNCTION("""COMPUTED_VALUE"""),"Risjad")</f>
        <v>Risjad</v>
      </c>
      <c r="C521" t="str">
        <f ca="1">IFERROR(__xludf.DUMMYFUNCTION("""COMPUTED_VALUE"""),"Risjad@livex.com")</f>
        <v>Risjad@livex.com</v>
      </c>
      <c r="D521" t="str">
        <f ca="1">IFERROR(__xludf.DUMMYFUNCTION("""COMPUTED_VALUE"""),"Cilegon")</f>
        <v>Cilegon</v>
      </c>
      <c r="E521" s="12">
        <f ca="1">IFERROR(__xludf.DUMMYFUNCTION("""COMPUTED_VALUE"""),42872)</f>
        <v>42872</v>
      </c>
      <c r="F521" t="str">
        <f ca="1">IFERROR(__xludf.DUMMYFUNCTION("""COMPUTED_VALUE"""),"KP0225BB")</f>
        <v>KP0225BB</v>
      </c>
      <c r="G521" s="11">
        <f ca="1">IFERROR(__xludf.DUMMYFUNCTION("""COMPUTED_VALUE"""),80000000)</f>
        <v>80000000</v>
      </c>
      <c r="H521">
        <f ca="1">IFERROR(__xludf.DUMMYFUNCTION("""COMPUTED_VALUE"""),36685)</f>
        <v>36685</v>
      </c>
      <c r="I521">
        <f ca="1">IFERROR(__xludf.DUMMYFUNCTION("""COMPUTED_VALUE"""),8)</f>
        <v>8</v>
      </c>
      <c r="J521">
        <f ca="1">IFERROR(__xludf.DUMMYFUNCTION("""COMPUTED_VALUE"""),4)</f>
        <v>4</v>
      </c>
      <c r="K521" t="str">
        <f ca="1">IFERROR(__xludf.DUMMYFUNCTION("""COMPUTED_VALUE"""),"JENT")</f>
        <v>JENT</v>
      </c>
      <c r="L521" t="str">
        <f ca="1">IFERROR(__xludf.DUMMYFUNCTION("""COMPUTED_VALUE"""),"Y")</f>
        <v>Y</v>
      </c>
      <c r="M521" t="str">
        <f ca="1">IFERROR(__xludf.DUMMYFUNCTION("""COMPUTED_VALUE"""),"qt-500")</f>
        <v>qt-500</v>
      </c>
    </row>
    <row r="522" spans="1:13" ht="12.5" x14ac:dyDescent="0.25">
      <c r="A522" t="str">
        <f ca="1">IFERROR(__xludf.DUMMYFUNCTION("""COMPUTED_VALUE"""),"Christanto")</f>
        <v>Christanto</v>
      </c>
      <c r="B522" t="str">
        <f ca="1">IFERROR(__xludf.DUMMYFUNCTION("""COMPUTED_VALUE"""),"Soetoyo")</f>
        <v>Soetoyo</v>
      </c>
      <c r="C522" t="str">
        <f ca="1">IFERROR(__xludf.DUMMYFUNCTION("""COMPUTED_VALUE"""),"Christanto@icloudx.com")</f>
        <v>Christanto@icloudx.com</v>
      </c>
      <c r="D522" t="str">
        <f ca="1">IFERROR(__xludf.DUMMYFUNCTION("""COMPUTED_VALUE"""),"Kupang")</f>
        <v>Kupang</v>
      </c>
      <c r="E522" s="12">
        <f ca="1">IFERROR(__xludf.DUMMYFUNCTION("""COMPUTED_VALUE"""),42872)</f>
        <v>42872</v>
      </c>
      <c r="F522" t="str">
        <f ca="1">IFERROR(__xludf.DUMMYFUNCTION("""COMPUTED_VALUE"""),"KP0850FB")</f>
        <v>KP0850FB</v>
      </c>
      <c r="G522" s="11">
        <f ca="1">IFERROR(__xludf.DUMMYFUNCTION("""COMPUTED_VALUE"""),105000000)</f>
        <v>105000000</v>
      </c>
      <c r="H522">
        <f ca="1">IFERROR(__xludf.DUMMYFUNCTION("""COMPUTED_VALUE"""),36156)</f>
        <v>36156</v>
      </c>
      <c r="I522">
        <f ca="1">IFERROR(__xludf.DUMMYFUNCTION("""COMPUTED_VALUE"""),5)</f>
        <v>5</v>
      </c>
      <c r="J522" t="str">
        <f ca="1">IFERROR(__xludf.DUMMYFUNCTION("""COMPUTED_VALUE"""),"N/A")</f>
        <v>N/A</v>
      </c>
      <c r="K522" t="str">
        <f ca="1">IFERROR(__xludf.DUMMYFUNCTION("""COMPUTED_VALUE"""),"JENT")</f>
        <v>JENT</v>
      </c>
      <c r="L522" t="str">
        <f ca="1">IFERROR(__xludf.DUMMYFUNCTION("""COMPUTED_VALUE"""),"Y")</f>
        <v>Y</v>
      </c>
      <c r="M522" t="str">
        <f ca="1">IFERROR(__xludf.DUMMYFUNCTION("""COMPUTED_VALUE"""),"ke-185")</f>
        <v>ke-185</v>
      </c>
    </row>
    <row r="523" spans="1:13" ht="12.5" x14ac:dyDescent="0.25">
      <c r="A523" t="str">
        <f ca="1">IFERROR(__xludf.DUMMYFUNCTION("""COMPUTED_VALUE"""),"Ng")</f>
        <v>Ng</v>
      </c>
      <c r="B523" t="str">
        <f ca="1">IFERROR(__xludf.DUMMYFUNCTION("""COMPUTED_VALUE"""),"Siswadi")</f>
        <v>Siswadi</v>
      </c>
      <c r="C523" t="str">
        <f ca="1">IFERROR(__xludf.DUMMYFUNCTION("""COMPUTED_VALUE"""),"Ng@gmailx.com")</f>
        <v>Ng@gmailx.com</v>
      </c>
      <c r="D523" t="str">
        <f ca="1">IFERROR(__xludf.DUMMYFUNCTION("""COMPUTED_VALUE"""),"Banjarbaru")</f>
        <v>Banjarbaru</v>
      </c>
      <c r="E523" s="12">
        <f ca="1">IFERROR(__xludf.DUMMYFUNCTION("""COMPUTED_VALUE"""),42868)</f>
        <v>42868</v>
      </c>
      <c r="F523" t="str">
        <f ca="1">IFERROR(__xludf.DUMMYFUNCTION("""COMPUTED_VALUE"""),"KP0925SG")</f>
        <v>KP0925SG</v>
      </c>
      <c r="G523" s="11">
        <f ca="1">IFERROR(__xludf.DUMMYFUNCTION("""COMPUTED_VALUE"""),30000000)</f>
        <v>30000000</v>
      </c>
      <c r="H523">
        <f ca="1">IFERROR(__xludf.DUMMYFUNCTION("""COMPUTED_VALUE"""),36307)</f>
        <v>36307</v>
      </c>
      <c r="I523">
        <f ca="1">IFERROR(__xludf.DUMMYFUNCTION("""COMPUTED_VALUE"""),2)</f>
        <v>2</v>
      </c>
      <c r="J523">
        <f ca="1">IFERROR(__xludf.DUMMYFUNCTION("""COMPUTED_VALUE"""),4)</f>
        <v>4</v>
      </c>
      <c r="K523" t="str">
        <f ca="1">IFERROR(__xludf.DUMMYFUNCTION("""COMPUTED_VALUE"""),"Swift Delivery")</f>
        <v>Swift Delivery</v>
      </c>
      <c r="L523" t="str">
        <f ca="1">IFERROR(__xludf.DUMMYFUNCTION("""COMPUTED_VALUE"""),"N")</f>
        <v>N</v>
      </c>
      <c r="M523" t="str">
        <f ca="1">IFERROR(__xludf.DUMMYFUNCTION("""COMPUTED_VALUE"""),"jo-991")</f>
        <v>jo-991</v>
      </c>
    </row>
    <row r="524" spans="1:13" ht="12.5" x14ac:dyDescent="0.25">
      <c r="A524" t="str">
        <f ca="1">IFERROR(__xludf.DUMMYFUNCTION("""COMPUTED_VALUE"""),"Anthony")</f>
        <v>Anthony</v>
      </c>
      <c r="B524" t="str">
        <f ca="1">IFERROR(__xludf.DUMMYFUNCTION("""COMPUTED_VALUE"""),"Basuki")</f>
        <v>Basuki</v>
      </c>
      <c r="C524" t="str">
        <f ca="1">IFERROR(__xludf.DUMMYFUNCTION("""COMPUTED_VALUE"""),"Anthony@livex.com")</f>
        <v>Anthony@livex.com</v>
      </c>
      <c r="D524" t="str">
        <f ca="1">IFERROR(__xludf.DUMMYFUNCTION("""COMPUTED_VALUE"""),"Magelang")</f>
        <v>Magelang</v>
      </c>
      <c r="E524" s="12">
        <f ca="1">IFERROR(__xludf.DUMMYFUNCTION("""COMPUTED_VALUE"""),42868)</f>
        <v>42868</v>
      </c>
      <c r="F524" t="str">
        <f ca="1">IFERROR(__xludf.DUMMYFUNCTION("""COMPUTED_VALUE"""),"KP0850FB")</f>
        <v>KP0850FB</v>
      </c>
      <c r="G524" s="11">
        <f ca="1">IFERROR(__xludf.DUMMYFUNCTION("""COMPUTED_VALUE"""),126000000)</f>
        <v>126000000</v>
      </c>
      <c r="H524">
        <f ca="1">IFERROR(__xludf.DUMMYFUNCTION("""COMPUTED_VALUE"""),36050)</f>
        <v>36050</v>
      </c>
      <c r="I524">
        <f ca="1">IFERROR(__xludf.DUMMYFUNCTION("""COMPUTED_VALUE"""),6)</f>
        <v>6</v>
      </c>
      <c r="J524" t="str">
        <f ca="1">IFERROR(__xludf.DUMMYFUNCTION("""COMPUTED_VALUE"""),"N/A")</f>
        <v>N/A</v>
      </c>
      <c r="K524" t="str">
        <f ca="1">IFERROR(__xludf.DUMMYFUNCTION("""COMPUTED_VALUE"""),"JENT")</f>
        <v>JENT</v>
      </c>
      <c r="L524" t="str">
        <f ca="1">IFERROR(__xludf.DUMMYFUNCTION("""COMPUTED_VALUE"""),"Y")</f>
        <v>Y</v>
      </c>
      <c r="M524" t="str">
        <f ca="1">IFERROR(__xludf.DUMMYFUNCTION("""COMPUTED_VALUE"""),"ty-410")</f>
        <v>ty-410</v>
      </c>
    </row>
    <row r="525" spans="1:13" ht="12.5" x14ac:dyDescent="0.25">
      <c r="A525" t="str">
        <f ca="1">IFERROR(__xludf.DUMMYFUNCTION("""COMPUTED_VALUE"""),"Mulyadi")</f>
        <v>Mulyadi</v>
      </c>
      <c r="B525" t="str">
        <f ca="1">IFERROR(__xludf.DUMMYFUNCTION("""COMPUTED_VALUE"""),"Hasyim")</f>
        <v>Hasyim</v>
      </c>
      <c r="C525" t="str">
        <f ca="1">IFERROR(__xludf.DUMMYFUNCTION("""COMPUTED_VALUE"""),"Mulyadi@rocketmailx.com")</f>
        <v>Mulyadi@rocketmailx.com</v>
      </c>
      <c r="D525" t="str">
        <f ca="1">IFERROR(__xludf.DUMMYFUNCTION("""COMPUTED_VALUE"""),"Metro")</f>
        <v>Metro</v>
      </c>
      <c r="E525" s="12">
        <f ca="1">IFERROR(__xludf.DUMMYFUNCTION("""COMPUTED_VALUE"""),43074)</f>
        <v>43074</v>
      </c>
      <c r="F525" t="str">
        <f ca="1">IFERROR(__xludf.DUMMYFUNCTION("""COMPUTED_VALUE"""),"KP0225BB")</f>
        <v>KP0225BB</v>
      </c>
      <c r="G525" s="11">
        <f ca="1">IFERROR(__xludf.DUMMYFUNCTION("""COMPUTED_VALUE"""),90000000)</f>
        <v>90000000</v>
      </c>
      <c r="H525">
        <f ca="1">IFERROR(__xludf.DUMMYFUNCTION("""COMPUTED_VALUE"""),35364)</f>
        <v>35364</v>
      </c>
      <c r="I525">
        <f ca="1">IFERROR(__xludf.DUMMYFUNCTION("""COMPUTED_VALUE"""),9)</f>
        <v>9</v>
      </c>
      <c r="J525" t="str">
        <f ca="1">IFERROR(__xludf.DUMMYFUNCTION("""COMPUTED_VALUE"""),"N/A")</f>
        <v>N/A</v>
      </c>
      <c r="K525" t="str">
        <f ca="1">IFERROR(__xludf.DUMMYFUNCTION("""COMPUTED_VALUE"""),"JENT")</f>
        <v>JENT</v>
      </c>
      <c r="L525" t="str">
        <f ca="1">IFERROR(__xludf.DUMMYFUNCTION("""COMPUTED_VALUE"""),"N")</f>
        <v>N</v>
      </c>
      <c r="M525" t="str">
        <f ca="1">IFERROR(__xludf.DUMMYFUNCTION("""COMPUTED_VALUE"""),"rz-150")</f>
        <v>rz-150</v>
      </c>
    </row>
    <row r="526" spans="1:13" ht="12.5" x14ac:dyDescent="0.25">
      <c r="A526" t="str">
        <f ca="1">IFERROR(__xludf.DUMMYFUNCTION("""COMPUTED_VALUE"""),"Ledres")</f>
        <v>Ledres</v>
      </c>
      <c r="B526" t="str">
        <f ca="1">IFERROR(__xludf.DUMMYFUNCTION("""COMPUTED_VALUE"""),"Wibowo")</f>
        <v>Wibowo</v>
      </c>
      <c r="C526" t="str">
        <f ca="1">IFERROR(__xludf.DUMMYFUNCTION("""COMPUTED_VALUE"""),"LEDRES@icloudx.com")</f>
        <v>LEDRES@icloudx.com</v>
      </c>
      <c r="D526" t="str">
        <f ca="1">IFERROR(__xludf.DUMMYFUNCTION("""COMPUTED_VALUE"""),"Singkawang")</f>
        <v>Singkawang</v>
      </c>
      <c r="E526" s="12">
        <f ca="1">IFERROR(__xludf.DUMMYFUNCTION("""COMPUTED_VALUE"""),43074)</f>
        <v>43074</v>
      </c>
      <c r="F526" t="str">
        <f ca="1">IFERROR(__xludf.DUMMYFUNCTION("""COMPUTED_VALUE"""),"KP0625AF")</f>
        <v>KP0625AF</v>
      </c>
      <c r="G526" s="11">
        <f ca="1">IFERROR(__xludf.DUMMYFUNCTION("""COMPUTED_VALUE"""),60000000)</f>
        <v>60000000</v>
      </c>
      <c r="H526">
        <f ca="1">IFERROR(__xludf.DUMMYFUNCTION("""COMPUTED_VALUE"""),36480)</f>
        <v>36480</v>
      </c>
      <c r="I526">
        <f ca="1">IFERROR(__xludf.DUMMYFUNCTION("""COMPUTED_VALUE"""),5)</f>
        <v>5</v>
      </c>
      <c r="J526" t="str">
        <f ca="1">IFERROR(__xludf.DUMMYFUNCTION("""COMPUTED_VALUE"""),"N/A")</f>
        <v>N/A</v>
      </c>
      <c r="K526" t="str">
        <f ca="1">IFERROR(__xludf.DUMMYFUNCTION("""COMPUTED_VALUE"""),"JENT")</f>
        <v>JENT</v>
      </c>
      <c r="L526" t="str">
        <f ca="1">IFERROR(__xludf.DUMMYFUNCTION("""COMPUTED_VALUE"""),"Y")</f>
        <v>Y</v>
      </c>
      <c r="M526" t="str">
        <f ca="1">IFERROR(__xludf.DUMMYFUNCTION("""COMPUTED_VALUE"""),"yu-880")</f>
        <v>yu-880</v>
      </c>
    </row>
    <row r="527" spans="1:13" ht="12.5" x14ac:dyDescent="0.25">
      <c r="A527" t="str">
        <f ca="1">IFERROR(__xludf.DUMMYFUNCTION("""COMPUTED_VALUE"""),"Meigawaty")</f>
        <v>Meigawaty</v>
      </c>
      <c r="B527" t="str">
        <f ca="1">IFERROR(__xludf.DUMMYFUNCTION("""COMPUTED_VALUE"""),"Abdul")</f>
        <v>Abdul</v>
      </c>
      <c r="C527" t="str">
        <f ca="1">IFERROR(__xludf.DUMMYFUNCTION("""COMPUTED_VALUE"""),"Meigawaty@livex.com")</f>
        <v>Meigawaty@livex.com</v>
      </c>
      <c r="D527" t="str">
        <f ca="1">IFERROR(__xludf.DUMMYFUNCTION("""COMPUTED_VALUE"""),"Singkawang")</f>
        <v>Singkawang</v>
      </c>
      <c r="E527" s="12">
        <f ca="1">IFERROR(__xludf.DUMMYFUNCTION("""COMPUTED_VALUE"""),43044)</f>
        <v>43044</v>
      </c>
      <c r="F527" t="str">
        <f ca="1">IFERROR(__xludf.DUMMYFUNCTION("""COMPUTED_VALUE"""),"KP0225BB")</f>
        <v>KP0225BB</v>
      </c>
      <c r="G527" s="11">
        <f ca="1">IFERROR(__xludf.DUMMYFUNCTION("""COMPUTED_VALUE"""),80000000)</f>
        <v>80000000</v>
      </c>
      <c r="H527">
        <f ca="1">IFERROR(__xludf.DUMMYFUNCTION("""COMPUTED_VALUE"""),35499)</f>
        <v>35499</v>
      </c>
      <c r="I527">
        <f ca="1">IFERROR(__xludf.DUMMYFUNCTION("""COMPUTED_VALUE"""),8)</f>
        <v>8</v>
      </c>
      <c r="J527">
        <f ca="1">IFERROR(__xludf.DUMMYFUNCTION("""COMPUTED_VALUE"""),4)</f>
        <v>4</v>
      </c>
      <c r="K527" t="str">
        <f ca="1">IFERROR(__xludf.DUMMYFUNCTION("""COMPUTED_VALUE"""),"Cepat Kirim")</f>
        <v>Cepat Kirim</v>
      </c>
      <c r="L527" t="str">
        <f ca="1">IFERROR(__xludf.DUMMYFUNCTION("""COMPUTED_VALUE"""),"Y")</f>
        <v>Y</v>
      </c>
      <c r="M527" t="str">
        <f ca="1">IFERROR(__xludf.DUMMYFUNCTION("""COMPUTED_VALUE"""),"va-880")</f>
        <v>va-880</v>
      </c>
    </row>
    <row r="528" spans="1:13" ht="12.5" x14ac:dyDescent="0.25">
      <c r="A528" t="str">
        <f ca="1">IFERROR(__xludf.DUMMYFUNCTION("""COMPUTED_VALUE"""),"Peter")</f>
        <v>Peter</v>
      </c>
      <c r="B528" t="str">
        <f ca="1">IFERROR(__xludf.DUMMYFUNCTION("""COMPUTED_VALUE"""),"Kiu")</f>
        <v>Kiu</v>
      </c>
      <c r="C528" t="str">
        <f ca="1">IFERROR(__xludf.DUMMYFUNCTION("""COMPUTED_VALUE"""),"Kiu@rocketmailx.com")</f>
        <v>Kiu@rocketmailx.com</v>
      </c>
      <c r="D528" t="str">
        <f ca="1">IFERROR(__xludf.DUMMYFUNCTION("""COMPUTED_VALUE"""),"Tangerang")</f>
        <v>Tangerang</v>
      </c>
      <c r="E528" s="12">
        <f ca="1">IFERROR(__xludf.DUMMYFUNCTION("""COMPUTED_VALUE"""),43044)</f>
        <v>43044</v>
      </c>
      <c r="F528" t="str">
        <f ca="1">IFERROR(__xludf.DUMMYFUNCTION("""COMPUTED_VALUE"""),"KP0225BB")</f>
        <v>KP0225BB</v>
      </c>
      <c r="G528" s="11">
        <f ca="1">IFERROR(__xludf.DUMMYFUNCTION("""COMPUTED_VALUE"""),70000000)</f>
        <v>70000000</v>
      </c>
      <c r="H528">
        <f ca="1">IFERROR(__xludf.DUMMYFUNCTION("""COMPUTED_VALUE"""),36396)</f>
        <v>36396</v>
      </c>
      <c r="I528">
        <f ca="1">IFERROR(__xludf.DUMMYFUNCTION("""COMPUTED_VALUE"""),7)</f>
        <v>7</v>
      </c>
      <c r="J528" t="str">
        <f ca="1">IFERROR(__xludf.DUMMYFUNCTION("""COMPUTED_VALUE"""),"N/A")</f>
        <v>N/A</v>
      </c>
      <c r="K528" t="str">
        <f ca="1">IFERROR(__xludf.DUMMYFUNCTION("""COMPUTED_VALUE"""),"Wakanda Express")</f>
        <v>Wakanda Express</v>
      </c>
      <c r="L528" t="str">
        <f ca="1">IFERROR(__xludf.DUMMYFUNCTION("""COMPUTED_VALUE"""),"N")</f>
        <v>N</v>
      </c>
      <c r="M528" t="str">
        <f ca="1">IFERROR(__xludf.DUMMYFUNCTION("""COMPUTED_VALUE"""),"zi-500")</f>
        <v>zi-500</v>
      </c>
    </row>
    <row r="529" spans="1:13" ht="12.5" x14ac:dyDescent="0.25">
      <c r="A529" t="str">
        <f ca="1">IFERROR(__xludf.DUMMYFUNCTION("""COMPUTED_VALUE"""),"Jusuf")</f>
        <v>Jusuf</v>
      </c>
      <c r="B529" t="str">
        <f ca="1">IFERROR(__xludf.DUMMYFUNCTION("""COMPUTED_VALUE"""),"Ciputra")</f>
        <v>Ciputra</v>
      </c>
      <c r="C529" t="str">
        <f ca="1">IFERROR(__xludf.DUMMYFUNCTION("""COMPUTED_VALUE"""),"Ciputra@ymailx.com")</f>
        <v>Ciputra@ymailx.com</v>
      </c>
      <c r="D529" t="str">
        <f ca="1">IFERROR(__xludf.DUMMYFUNCTION("""COMPUTED_VALUE"""),"Padangpanjang")</f>
        <v>Padangpanjang</v>
      </c>
      <c r="E529" s="12">
        <f ca="1">IFERROR(__xludf.DUMMYFUNCTION("""COMPUTED_VALUE"""),43013)</f>
        <v>43013</v>
      </c>
      <c r="F529" t="str">
        <f ca="1">IFERROR(__xludf.DUMMYFUNCTION("""COMPUTED_VALUE"""),"KP0225BB")</f>
        <v>KP0225BB</v>
      </c>
      <c r="G529" s="11">
        <f ca="1">IFERROR(__xludf.DUMMYFUNCTION("""COMPUTED_VALUE"""),90000000)</f>
        <v>90000000</v>
      </c>
      <c r="H529">
        <f ca="1">IFERROR(__xludf.DUMMYFUNCTION("""COMPUTED_VALUE"""),36656)</f>
        <v>36656</v>
      </c>
      <c r="I529">
        <f ca="1">IFERROR(__xludf.DUMMYFUNCTION("""COMPUTED_VALUE"""),9)</f>
        <v>9</v>
      </c>
      <c r="J529">
        <f ca="1">IFERROR(__xludf.DUMMYFUNCTION("""COMPUTED_VALUE"""),3)</f>
        <v>3</v>
      </c>
      <c r="K529" t="str">
        <f ca="1">IFERROR(__xludf.DUMMYFUNCTION("""COMPUTED_VALUE"""),"Swift Delivery")</f>
        <v>Swift Delivery</v>
      </c>
      <c r="L529" t="str">
        <f ca="1">IFERROR(__xludf.DUMMYFUNCTION("""COMPUTED_VALUE"""),"Y")</f>
        <v>Y</v>
      </c>
      <c r="M529" t="str">
        <f ca="1">IFERROR(__xludf.DUMMYFUNCTION("""COMPUTED_VALUE"""),"th-559")</f>
        <v>th-559</v>
      </c>
    </row>
    <row r="530" spans="1:13" ht="12.5" x14ac:dyDescent="0.25">
      <c r="A530" t="str">
        <f ca="1">IFERROR(__xludf.DUMMYFUNCTION("""COMPUTED_VALUE"""),"Prakash")</f>
        <v>Prakash</v>
      </c>
      <c r="B530" t="str">
        <f ca="1">IFERROR(__xludf.DUMMYFUNCTION("""COMPUTED_VALUE"""),"Johan")</f>
        <v>Johan</v>
      </c>
      <c r="C530" t="str">
        <f ca="1">IFERROR(__xludf.DUMMYFUNCTION("""COMPUTED_VALUE"""),"Johan@icloudx.com")</f>
        <v>Johan@icloudx.com</v>
      </c>
      <c r="D530" t="str">
        <f ca="1">IFERROR(__xludf.DUMMYFUNCTION("""COMPUTED_VALUE"""),"Jakarta Selatan")</f>
        <v>Jakarta Selatan</v>
      </c>
      <c r="E530" s="12">
        <f ca="1">IFERROR(__xludf.DUMMYFUNCTION("""COMPUTED_VALUE"""),42983)</f>
        <v>42983</v>
      </c>
      <c r="F530" t="str">
        <f ca="1">IFERROR(__xludf.DUMMYFUNCTION("""COMPUTED_VALUE"""),"KP0150BH")</f>
        <v>KP0150BH</v>
      </c>
      <c r="G530" s="11">
        <f ca="1">IFERROR(__xludf.DUMMYFUNCTION("""COMPUTED_VALUE"""),270000000)</f>
        <v>270000000</v>
      </c>
      <c r="H530">
        <f ca="1">IFERROR(__xludf.DUMMYFUNCTION("""COMPUTED_VALUE"""),35968)</f>
        <v>35968</v>
      </c>
      <c r="I530">
        <f ca="1">IFERROR(__xludf.DUMMYFUNCTION("""COMPUTED_VALUE"""),10)</f>
        <v>10</v>
      </c>
      <c r="J530">
        <f ca="1">IFERROR(__xludf.DUMMYFUNCTION("""COMPUTED_VALUE"""),5)</f>
        <v>5</v>
      </c>
      <c r="K530" t="str">
        <f ca="1">IFERROR(__xludf.DUMMYFUNCTION("""COMPUTED_VALUE"""),"Wakanda Express")</f>
        <v>Wakanda Express</v>
      </c>
      <c r="L530" t="str">
        <f ca="1">IFERROR(__xludf.DUMMYFUNCTION("""COMPUTED_VALUE"""),"N")</f>
        <v>N</v>
      </c>
      <c r="M530" t="str">
        <f ca="1">IFERROR(__xludf.DUMMYFUNCTION("""COMPUTED_VALUE"""),"fr-333")</f>
        <v>fr-333</v>
      </c>
    </row>
    <row r="531" spans="1:13" ht="12.5" x14ac:dyDescent="0.25">
      <c r="A531" t="str">
        <f ca="1">IFERROR(__xludf.DUMMYFUNCTION("""COMPUTED_VALUE"""),"Arwan")</f>
        <v>Arwan</v>
      </c>
      <c r="B531" t="str">
        <f ca="1">IFERROR(__xludf.DUMMYFUNCTION("""COMPUTED_VALUE"""),"Tumengkol")</f>
        <v>Tumengkol</v>
      </c>
      <c r="C531" t="str">
        <f ca="1">IFERROR(__xludf.DUMMYFUNCTION("""COMPUTED_VALUE"""),"Arwan@livex.com")</f>
        <v>Arwan@livex.com</v>
      </c>
      <c r="D531" t="str">
        <f ca="1">IFERROR(__xludf.DUMMYFUNCTION("""COMPUTED_VALUE"""),"Lubuklinggau")</f>
        <v>Lubuklinggau</v>
      </c>
      <c r="E531" s="12">
        <f ca="1">IFERROR(__xludf.DUMMYFUNCTION("""COMPUTED_VALUE"""),42983)</f>
        <v>42983</v>
      </c>
      <c r="F531" t="str">
        <f ca="1">IFERROR(__xludf.DUMMYFUNCTION("""COMPUTED_VALUE"""),"KP0050AG")</f>
        <v>KP0050AG</v>
      </c>
      <c r="G531" s="11">
        <f ca="1">IFERROR(__xludf.DUMMYFUNCTION("""COMPUTED_VALUE"""),113750000)</f>
        <v>113750000</v>
      </c>
      <c r="H531">
        <f ca="1">IFERROR(__xludf.DUMMYFUNCTION("""COMPUTED_VALUE"""),35196)</f>
        <v>35196</v>
      </c>
      <c r="I531">
        <f ca="1">IFERROR(__xludf.DUMMYFUNCTION("""COMPUTED_VALUE"""),7)</f>
        <v>7</v>
      </c>
      <c r="J531" t="str">
        <f ca="1">IFERROR(__xludf.DUMMYFUNCTION("""COMPUTED_VALUE"""),"N/A")</f>
        <v>N/A</v>
      </c>
      <c r="K531" t="str">
        <f ca="1">IFERROR(__xludf.DUMMYFUNCTION("""COMPUTED_VALUE"""),"Cepat Kirim")</f>
        <v>Cepat Kirim</v>
      </c>
      <c r="L531" t="str">
        <f ca="1">IFERROR(__xludf.DUMMYFUNCTION("""COMPUTED_VALUE"""),"Y")</f>
        <v>Y</v>
      </c>
      <c r="M531" t="str">
        <f ca="1">IFERROR(__xludf.DUMMYFUNCTION("""COMPUTED_VALUE"""),"yn-661")</f>
        <v>yn-661</v>
      </c>
    </row>
    <row r="532" spans="1:13" ht="12.5" x14ac:dyDescent="0.25">
      <c r="A532" t="str">
        <f ca="1">IFERROR(__xludf.DUMMYFUNCTION("""COMPUTED_VALUE"""),"Soendari")</f>
        <v>Soendari</v>
      </c>
      <c r="B532" t="str">
        <f ca="1">IFERROR(__xludf.DUMMYFUNCTION("""COMPUTED_VALUE"""),"Jonas")</f>
        <v>Jonas</v>
      </c>
      <c r="C532" t="str">
        <f ca="1">IFERROR(__xludf.DUMMYFUNCTION("""COMPUTED_VALUE"""),"Soendari@gmailx.com")</f>
        <v>Soendari@gmailx.com</v>
      </c>
      <c r="D532" t="str">
        <f ca="1">IFERROR(__xludf.DUMMYFUNCTION("""COMPUTED_VALUE"""),"Bau-Bau")</f>
        <v>Bau-Bau</v>
      </c>
      <c r="E532" s="12">
        <f ca="1">IFERROR(__xludf.DUMMYFUNCTION("""COMPUTED_VALUE"""),42952)</f>
        <v>42952</v>
      </c>
      <c r="F532" t="str">
        <f ca="1">IFERROR(__xludf.DUMMYFUNCTION("""COMPUTED_VALUE"""),"KP0225BB")</f>
        <v>KP0225BB</v>
      </c>
      <c r="G532" s="11">
        <f ca="1">IFERROR(__xludf.DUMMYFUNCTION("""COMPUTED_VALUE"""),40000000)</f>
        <v>40000000</v>
      </c>
      <c r="H532">
        <f ca="1">IFERROR(__xludf.DUMMYFUNCTION("""COMPUTED_VALUE"""),35119)</f>
        <v>35119</v>
      </c>
      <c r="I532">
        <f ca="1">IFERROR(__xludf.DUMMYFUNCTION("""COMPUTED_VALUE"""),4)</f>
        <v>4</v>
      </c>
      <c r="J532" t="str">
        <f ca="1">IFERROR(__xludf.DUMMYFUNCTION("""COMPUTED_VALUE"""),"N/A")</f>
        <v>N/A</v>
      </c>
      <c r="K532" t="str">
        <f ca="1">IFERROR(__xludf.DUMMYFUNCTION("""COMPUTED_VALUE"""),"JENT")</f>
        <v>JENT</v>
      </c>
      <c r="L532" t="str">
        <f ca="1">IFERROR(__xludf.DUMMYFUNCTION("""COMPUTED_VALUE"""),"N")</f>
        <v>N</v>
      </c>
      <c r="M532" t="str">
        <f ca="1">IFERROR(__xludf.DUMMYFUNCTION("""COMPUTED_VALUE"""),"tw-250")</f>
        <v>tw-250</v>
      </c>
    </row>
    <row r="533" spans="1:13" ht="12.5" x14ac:dyDescent="0.25">
      <c r="A533" t="str">
        <f ca="1">IFERROR(__xludf.DUMMYFUNCTION("""COMPUTED_VALUE"""),"Steven")</f>
        <v>Steven</v>
      </c>
      <c r="B533" t="str">
        <f ca="1">IFERROR(__xludf.DUMMYFUNCTION("""COMPUTED_VALUE"""),"Karjanto")</f>
        <v>Karjanto</v>
      </c>
      <c r="C533" t="str">
        <f ca="1">IFERROR(__xludf.DUMMYFUNCTION("""COMPUTED_VALUE"""),"Steven@icloudx.com")</f>
        <v>Steven@icloudx.com</v>
      </c>
      <c r="D533" t="str">
        <f ca="1">IFERROR(__xludf.DUMMYFUNCTION("""COMPUTED_VALUE"""),"Ternate")</f>
        <v>Ternate</v>
      </c>
      <c r="E533" s="12">
        <f ca="1">IFERROR(__xludf.DUMMYFUNCTION("""COMPUTED_VALUE"""),42952)</f>
        <v>42952</v>
      </c>
      <c r="F533" t="str">
        <f ca="1">IFERROR(__xludf.DUMMYFUNCTION("""COMPUTED_VALUE"""),"KP0750AJ")</f>
        <v>KP0750AJ</v>
      </c>
      <c r="G533" s="11">
        <f ca="1">IFERROR(__xludf.DUMMYFUNCTION("""COMPUTED_VALUE"""),72000000)</f>
        <v>72000000</v>
      </c>
      <c r="H533">
        <f ca="1">IFERROR(__xludf.DUMMYFUNCTION("""COMPUTED_VALUE"""),35177)</f>
        <v>35177</v>
      </c>
      <c r="I533">
        <f ca="1">IFERROR(__xludf.DUMMYFUNCTION("""COMPUTED_VALUE"""),4)</f>
        <v>4</v>
      </c>
      <c r="J533">
        <f ca="1">IFERROR(__xludf.DUMMYFUNCTION("""COMPUTED_VALUE"""),4)</f>
        <v>4</v>
      </c>
      <c r="K533" t="str">
        <f ca="1">IFERROR(__xludf.DUMMYFUNCTION("""COMPUTED_VALUE"""),"Swift Delivery")</f>
        <v>Swift Delivery</v>
      </c>
      <c r="L533" t="str">
        <f ca="1">IFERROR(__xludf.DUMMYFUNCTION("""COMPUTED_VALUE"""),"N")</f>
        <v>N</v>
      </c>
      <c r="M533" t="str">
        <f ca="1">IFERROR(__xludf.DUMMYFUNCTION("""COMPUTED_VALUE"""),"ti-160")</f>
        <v>ti-160</v>
      </c>
    </row>
    <row r="534" spans="1:13" ht="12.5" x14ac:dyDescent="0.25">
      <c r="A534" t="str">
        <f ca="1">IFERROR(__xludf.DUMMYFUNCTION("""COMPUTED_VALUE"""),"Budi")</f>
        <v>Budi</v>
      </c>
      <c r="B534" t="str">
        <f ca="1">IFERROR(__xludf.DUMMYFUNCTION("""COMPUTED_VALUE"""),"Mohtar")</f>
        <v>Mohtar</v>
      </c>
      <c r="C534" t="str">
        <f ca="1">IFERROR(__xludf.DUMMYFUNCTION("""COMPUTED_VALUE"""),"Budi@livex.com")</f>
        <v>Budi@livex.com</v>
      </c>
      <c r="D534" t="str">
        <f ca="1">IFERROR(__xludf.DUMMYFUNCTION("""COMPUTED_VALUE"""),"Tanjungbalai")</f>
        <v>Tanjungbalai</v>
      </c>
      <c r="E534" s="12">
        <f ca="1">IFERROR(__xludf.DUMMYFUNCTION("""COMPUTED_VALUE"""),42891)</f>
        <v>42891</v>
      </c>
      <c r="F534" t="str">
        <f ca="1">IFERROR(__xludf.DUMMYFUNCTION("""COMPUTED_VALUE"""),"KP0750AJ")</f>
        <v>KP0750AJ</v>
      </c>
      <c r="G534" s="11">
        <f ca="1">IFERROR(__xludf.DUMMYFUNCTION("""COMPUTED_VALUE"""),108000000)</f>
        <v>108000000</v>
      </c>
      <c r="H534">
        <f ca="1">IFERROR(__xludf.DUMMYFUNCTION("""COMPUTED_VALUE"""),36445)</f>
        <v>36445</v>
      </c>
      <c r="I534">
        <f ca="1">IFERROR(__xludf.DUMMYFUNCTION("""COMPUTED_VALUE"""),6)</f>
        <v>6</v>
      </c>
      <c r="J534" t="str">
        <f ca="1">IFERROR(__xludf.DUMMYFUNCTION("""COMPUTED_VALUE"""),"N/A")</f>
        <v>N/A</v>
      </c>
      <c r="K534" t="str">
        <f ca="1">IFERROR(__xludf.DUMMYFUNCTION("""COMPUTED_VALUE"""),"Cepat Kirim")</f>
        <v>Cepat Kirim</v>
      </c>
      <c r="L534" t="str">
        <f ca="1">IFERROR(__xludf.DUMMYFUNCTION("""COMPUTED_VALUE"""),"Y")</f>
        <v>Y</v>
      </c>
      <c r="M534" t="str">
        <f ca="1">IFERROR(__xludf.DUMMYFUNCTION("""COMPUTED_VALUE"""),"sv-662")</f>
        <v>sv-662</v>
      </c>
    </row>
    <row r="535" spans="1:13" ht="12.5" x14ac:dyDescent="0.25">
      <c r="A535" t="str">
        <f ca="1">IFERROR(__xludf.DUMMYFUNCTION("""COMPUTED_VALUE"""),"Kurniawan")</f>
        <v>Kurniawan</v>
      </c>
      <c r="B535" t="str">
        <f ca="1">IFERROR(__xludf.DUMMYFUNCTION("""COMPUTED_VALUE"""),"Djauhari")</f>
        <v>Djauhari</v>
      </c>
      <c r="C535" t="str">
        <f ca="1">IFERROR(__xludf.DUMMYFUNCTION("""COMPUTED_VALUE"""),"Kurniawan@ymailx.com")</f>
        <v>Kurniawan@ymailx.com</v>
      </c>
      <c r="D535" t="str">
        <f ca="1">IFERROR(__xludf.DUMMYFUNCTION("""COMPUTED_VALUE"""),"Banjarbaru")</f>
        <v>Banjarbaru</v>
      </c>
      <c r="E535" s="12">
        <f ca="1">IFERROR(__xludf.DUMMYFUNCTION("""COMPUTED_VALUE"""),42891)</f>
        <v>42891</v>
      </c>
      <c r="F535" t="str">
        <f ca="1">IFERROR(__xludf.DUMMYFUNCTION("""COMPUTED_VALUE"""),"KP0150BH")</f>
        <v>KP0150BH</v>
      </c>
      <c r="G535" s="11">
        <f ca="1">IFERROR(__xludf.DUMMYFUNCTION("""COMPUTED_VALUE"""),216000000)</f>
        <v>216000000</v>
      </c>
      <c r="H535">
        <f ca="1">IFERROR(__xludf.DUMMYFUNCTION("""COMPUTED_VALUE"""),36929)</f>
        <v>36929</v>
      </c>
      <c r="I535">
        <f ca="1">IFERROR(__xludf.DUMMYFUNCTION("""COMPUTED_VALUE"""),8)</f>
        <v>8</v>
      </c>
      <c r="J535" t="str">
        <f ca="1">IFERROR(__xludf.DUMMYFUNCTION("""COMPUTED_VALUE"""),"N/A")</f>
        <v>N/A</v>
      </c>
      <c r="K535" t="str">
        <f ca="1">IFERROR(__xludf.DUMMYFUNCTION("""COMPUTED_VALUE"""),"Cepat Kirim")</f>
        <v>Cepat Kirim</v>
      </c>
      <c r="L535" t="str">
        <f ca="1">IFERROR(__xludf.DUMMYFUNCTION("""COMPUTED_VALUE"""),"Y")</f>
        <v>Y</v>
      </c>
      <c r="M535" t="str">
        <f ca="1">IFERROR(__xludf.DUMMYFUNCTION("""COMPUTED_VALUE"""),"jk-991")</f>
        <v>jk-991</v>
      </c>
    </row>
    <row r="536" spans="1:13" ht="12.5" x14ac:dyDescent="0.25">
      <c r="A536" t="str">
        <f ca="1">IFERROR(__xludf.DUMMYFUNCTION("""COMPUTED_VALUE"""),"Albert")</f>
        <v>Albert</v>
      </c>
      <c r="B536" t="str">
        <f ca="1">IFERROR(__xludf.DUMMYFUNCTION("""COMPUTED_VALUE"""),"Josef")</f>
        <v>Josef</v>
      </c>
      <c r="C536" t="str">
        <f ca="1">IFERROR(__xludf.DUMMYFUNCTION("""COMPUTED_VALUE"""),"JOSEF@ymailx.com")</f>
        <v>JOSEF@ymailx.com</v>
      </c>
      <c r="D536" t="str">
        <f ca="1">IFERROR(__xludf.DUMMYFUNCTION("""COMPUTED_VALUE"""),"Bima")</f>
        <v>Bima</v>
      </c>
      <c r="E536" s="12">
        <f ca="1">IFERROR(__xludf.DUMMYFUNCTION("""COMPUTED_VALUE"""),42860)</f>
        <v>42860</v>
      </c>
      <c r="F536" t="str">
        <f ca="1">IFERROR(__xludf.DUMMYFUNCTION("""COMPUTED_VALUE"""),"KP0425CB")</f>
        <v>KP0425CB</v>
      </c>
      <c r="G536" s="11">
        <f ca="1">IFERROR(__xludf.DUMMYFUNCTION("""COMPUTED_VALUE"""),218000000)</f>
        <v>218000000</v>
      </c>
      <c r="H536">
        <f ca="1">IFERROR(__xludf.DUMMYFUNCTION("""COMPUTED_VALUE"""),35348)</f>
        <v>35348</v>
      </c>
      <c r="I536">
        <f ca="1">IFERROR(__xludf.DUMMYFUNCTION("""COMPUTED_VALUE"""),8)</f>
        <v>8</v>
      </c>
      <c r="J536" t="str">
        <f ca="1">IFERROR(__xludf.DUMMYFUNCTION("""COMPUTED_VALUE"""),"N/A")</f>
        <v>N/A</v>
      </c>
      <c r="K536" t="str">
        <f ca="1">IFERROR(__xludf.DUMMYFUNCTION("""COMPUTED_VALUE"""),"JENT")</f>
        <v>JENT</v>
      </c>
      <c r="L536" t="str">
        <f ca="1">IFERROR(__xludf.DUMMYFUNCTION("""COMPUTED_VALUE"""),"Y")</f>
        <v>Y</v>
      </c>
      <c r="M536" t="str">
        <f ca="1">IFERROR(__xludf.DUMMYFUNCTION("""COMPUTED_VALUE"""),"fm-183")</f>
        <v>fm-183</v>
      </c>
    </row>
    <row r="537" spans="1:13" ht="12.5" x14ac:dyDescent="0.25">
      <c r="A537" t="str">
        <f ca="1">IFERROR(__xludf.DUMMYFUNCTION("""COMPUTED_VALUE"""),"Junita")</f>
        <v>Junita</v>
      </c>
      <c r="B537" t="str">
        <f ca="1">IFERROR(__xludf.DUMMYFUNCTION("""COMPUTED_VALUE"""),"Lim")</f>
        <v>Lim</v>
      </c>
      <c r="C537" t="str">
        <f ca="1">IFERROR(__xludf.DUMMYFUNCTION("""COMPUTED_VALUE"""),"Lim@ymailx.com")</f>
        <v>Lim@ymailx.com</v>
      </c>
      <c r="D537" t="str">
        <f ca="1">IFERROR(__xludf.DUMMYFUNCTION("""COMPUTED_VALUE"""),"Bandar Lampung")</f>
        <v>Bandar Lampung</v>
      </c>
      <c r="E537" s="12">
        <f ca="1">IFERROR(__xludf.DUMMYFUNCTION("""COMPUTED_VALUE"""),42830)</f>
        <v>42830</v>
      </c>
      <c r="F537" t="str">
        <f ca="1">IFERROR(__xludf.DUMMYFUNCTION("""COMPUTED_VALUE"""),"KP0425CB")</f>
        <v>KP0425CB</v>
      </c>
      <c r="G537" s="11">
        <f ca="1">IFERROR(__xludf.DUMMYFUNCTION("""COMPUTED_VALUE"""),109000000)</f>
        <v>109000000</v>
      </c>
      <c r="H537">
        <f ca="1">IFERROR(__xludf.DUMMYFUNCTION("""COMPUTED_VALUE"""),35509)</f>
        <v>35509</v>
      </c>
      <c r="I537">
        <f ca="1">IFERROR(__xludf.DUMMYFUNCTION("""COMPUTED_VALUE"""),4)</f>
        <v>4</v>
      </c>
      <c r="J537">
        <f ca="1">IFERROR(__xludf.DUMMYFUNCTION("""COMPUTED_VALUE"""),4)</f>
        <v>4</v>
      </c>
      <c r="K537" t="str">
        <f ca="1">IFERROR(__xludf.DUMMYFUNCTION("""COMPUTED_VALUE"""),"JENT")</f>
        <v>JENT</v>
      </c>
      <c r="L537" t="str">
        <f ca="1">IFERROR(__xludf.DUMMYFUNCTION("""COMPUTED_VALUE"""),"Y")</f>
        <v>Y</v>
      </c>
      <c r="M537" t="str">
        <f ca="1">IFERROR(__xludf.DUMMYFUNCTION("""COMPUTED_VALUE"""),"wf-150")</f>
        <v>wf-150</v>
      </c>
    </row>
    <row r="538" spans="1:13" ht="12.5" x14ac:dyDescent="0.25">
      <c r="A538" t="str">
        <f ca="1">IFERROR(__xludf.DUMMYFUNCTION("""COMPUTED_VALUE"""),"Gan")</f>
        <v>Gan</v>
      </c>
      <c r="B538" t="str">
        <f ca="1">IFERROR(__xludf.DUMMYFUNCTION("""COMPUTED_VALUE"""),"Soeprapto")</f>
        <v>Soeprapto</v>
      </c>
      <c r="C538" t="str">
        <f ca="1">IFERROR(__xludf.DUMMYFUNCTION("""COMPUTED_VALUE"""),"Gan@icloudx.com")</f>
        <v>Gan@icloudx.com</v>
      </c>
      <c r="D538" t="str">
        <f ca="1">IFERROR(__xludf.DUMMYFUNCTION("""COMPUTED_VALUE"""),"Padangpanjang")</f>
        <v>Padangpanjang</v>
      </c>
      <c r="E538" s="12">
        <f ca="1">IFERROR(__xludf.DUMMYFUNCTION("""COMPUTED_VALUE"""),42830)</f>
        <v>42830</v>
      </c>
      <c r="F538" t="str">
        <f ca="1">IFERROR(__xludf.DUMMYFUNCTION("""COMPUTED_VALUE"""),"KP0150BH")</f>
        <v>KP0150BH</v>
      </c>
      <c r="G538" s="11">
        <f ca="1">IFERROR(__xludf.DUMMYFUNCTION("""COMPUTED_VALUE"""),54000000)</f>
        <v>54000000</v>
      </c>
      <c r="H538">
        <f ca="1">IFERROR(__xludf.DUMMYFUNCTION("""COMPUTED_VALUE"""),35497)</f>
        <v>35497</v>
      </c>
      <c r="I538">
        <f ca="1">IFERROR(__xludf.DUMMYFUNCTION("""COMPUTED_VALUE"""),2)</f>
        <v>2</v>
      </c>
      <c r="J538" t="str">
        <f ca="1">IFERROR(__xludf.DUMMYFUNCTION("""COMPUTED_VALUE"""),"N/A")</f>
        <v>N/A</v>
      </c>
      <c r="K538" t="str">
        <f ca="1">IFERROR(__xludf.DUMMYFUNCTION("""COMPUTED_VALUE"""),"JENT")</f>
        <v>JENT</v>
      </c>
      <c r="L538" t="str">
        <f ca="1">IFERROR(__xludf.DUMMYFUNCTION("""COMPUTED_VALUE"""),"Y")</f>
        <v>Y</v>
      </c>
      <c r="M538" t="str">
        <f ca="1">IFERROR(__xludf.DUMMYFUNCTION("""COMPUTED_VALUE"""),"cz-559")</f>
        <v>cz-559</v>
      </c>
    </row>
    <row r="539" spans="1:13" ht="12.5" x14ac:dyDescent="0.25">
      <c r="A539" t="str">
        <f ca="1">IFERROR(__xludf.DUMMYFUNCTION("""COMPUTED_VALUE"""),"Agus")</f>
        <v>Agus</v>
      </c>
      <c r="B539" t="str">
        <f ca="1">IFERROR(__xludf.DUMMYFUNCTION("""COMPUTED_VALUE"""),"Saleem")</f>
        <v>Saleem</v>
      </c>
      <c r="C539" t="str">
        <f ca="1">IFERROR(__xludf.DUMMYFUNCTION("""COMPUTED_VALUE"""),"Saleem@ymailx.com")</f>
        <v>Saleem@ymailx.com</v>
      </c>
      <c r="D539" t="str">
        <f ca="1">IFERROR(__xludf.DUMMYFUNCTION("""COMPUTED_VALUE"""),"Madiun")</f>
        <v>Madiun</v>
      </c>
      <c r="E539" s="12">
        <f ca="1">IFERROR(__xludf.DUMMYFUNCTION("""COMPUTED_VALUE"""),42830)</f>
        <v>42830</v>
      </c>
      <c r="F539" t="str">
        <f ca="1">IFERROR(__xludf.DUMMYFUNCTION("""COMPUTED_VALUE"""),"KP0750AJ")</f>
        <v>KP0750AJ</v>
      </c>
      <c r="G539" s="11">
        <f ca="1">IFERROR(__xludf.DUMMYFUNCTION("""COMPUTED_VALUE"""),90000000)</f>
        <v>90000000</v>
      </c>
      <c r="H539">
        <f ca="1">IFERROR(__xludf.DUMMYFUNCTION("""COMPUTED_VALUE"""),36784)</f>
        <v>36784</v>
      </c>
      <c r="I539">
        <f ca="1">IFERROR(__xludf.DUMMYFUNCTION("""COMPUTED_VALUE"""),5)</f>
        <v>5</v>
      </c>
      <c r="J539">
        <f ca="1">IFERROR(__xludf.DUMMYFUNCTION("""COMPUTED_VALUE"""),4)</f>
        <v>4</v>
      </c>
      <c r="K539" t="str">
        <f ca="1">IFERROR(__xludf.DUMMYFUNCTION("""COMPUTED_VALUE"""),"Cepat Kirim")</f>
        <v>Cepat Kirim</v>
      </c>
      <c r="L539" t="str">
        <f ca="1">IFERROR(__xludf.DUMMYFUNCTION("""COMPUTED_VALUE"""),"Y")</f>
        <v>Y</v>
      </c>
      <c r="M539" t="str">
        <f ca="1">IFERROR(__xludf.DUMMYFUNCTION("""COMPUTED_VALUE"""),"jv-123")</f>
        <v>jv-123</v>
      </c>
    </row>
    <row r="540" spans="1:13" ht="12.5" x14ac:dyDescent="0.25">
      <c r="A540" t="str">
        <f ca="1">IFERROR(__xludf.DUMMYFUNCTION("""COMPUTED_VALUE"""),"Elmursil")</f>
        <v>Elmursil</v>
      </c>
      <c r="B540" t="str">
        <f ca="1">IFERROR(__xludf.DUMMYFUNCTION("""COMPUTED_VALUE"""),"Nyoman")</f>
        <v>Nyoman</v>
      </c>
      <c r="C540" t="str">
        <f ca="1">IFERROR(__xludf.DUMMYFUNCTION("""COMPUTED_VALUE"""),"Elmursil@livex.com")</f>
        <v>Elmursil@livex.com</v>
      </c>
      <c r="D540" t="str">
        <f ca="1">IFERROR(__xludf.DUMMYFUNCTION("""COMPUTED_VALUE"""),"Bukittinggi")</f>
        <v>Bukittinggi</v>
      </c>
      <c r="E540" s="12">
        <f ca="1">IFERROR(__xludf.DUMMYFUNCTION("""COMPUTED_VALUE"""),42830)</f>
        <v>42830</v>
      </c>
      <c r="F540" t="str">
        <f ca="1">IFERROR(__xludf.DUMMYFUNCTION("""COMPUTED_VALUE"""),"KP0625AF")</f>
        <v>KP0625AF</v>
      </c>
      <c r="G540" s="11">
        <f ca="1">IFERROR(__xludf.DUMMYFUNCTION("""COMPUTED_VALUE"""),48000000)</f>
        <v>48000000</v>
      </c>
      <c r="H540">
        <f ca="1">IFERROR(__xludf.DUMMYFUNCTION("""COMPUTED_VALUE"""),35122)</f>
        <v>35122</v>
      </c>
      <c r="I540">
        <f ca="1">IFERROR(__xludf.DUMMYFUNCTION("""COMPUTED_VALUE"""),4)</f>
        <v>4</v>
      </c>
      <c r="J540">
        <f ca="1">IFERROR(__xludf.DUMMYFUNCTION("""COMPUTED_VALUE"""),4)</f>
        <v>4</v>
      </c>
      <c r="K540" t="str">
        <f ca="1">IFERROR(__xludf.DUMMYFUNCTION("""COMPUTED_VALUE"""),"Swift Delivery")</f>
        <v>Swift Delivery</v>
      </c>
      <c r="L540" t="str">
        <f ca="1">IFERROR(__xludf.DUMMYFUNCTION("""COMPUTED_VALUE"""),"Y")</f>
        <v>Y</v>
      </c>
      <c r="M540" t="str">
        <f ca="1">IFERROR(__xludf.DUMMYFUNCTION("""COMPUTED_VALUE"""),"zt-559")</f>
        <v>zt-559</v>
      </c>
    </row>
    <row r="541" spans="1:13" ht="12.5" x14ac:dyDescent="0.25">
      <c r="A541" t="str">
        <f ca="1">IFERROR(__xludf.DUMMYFUNCTION("""COMPUTED_VALUE"""),"Subianto")</f>
        <v>Subianto</v>
      </c>
      <c r="B541" t="str">
        <f ca="1">IFERROR(__xludf.DUMMYFUNCTION("""COMPUTED_VALUE"""),"Legiman")</f>
        <v>Legiman</v>
      </c>
      <c r="C541" t="str">
        <f ca="1">IFERROR(__xludf.DUMMYFUNCTION("""COMPUTED_VALUE"""),"Legiman@outlookx.com")</f>
        <v>Legiman@outlookx.com</v>
      </c>
      <c r="D541" t="str">
        <f ca="1">IFERROR(__xludf.DUMMYFUNCTION("""COMPUTED_VALUE"""),"Jakarta Selatan")</f>
        <v>Jakarta Selatan</v>
      </c>
      <c r="E541" s="12">
        <f ca="1">IFERROR(__xludf.DUMMYFUNCTION("""COMPUTED_VALUE"""),42740)</f>
        <v>42740</v>
      </c>
      <c r="F541" t="str">
        <f ca="1">IFERROR(__xludf.DUMMYFUNCTION("""COMPUTED_VALUE"""),"KP0750AJ")</f>
        <v>KP0750AJ</v>
      </c>
      <c r="G541" s="11">
        <f ca="1">IFERROR(__xludf.DUMMYFUNCTION("""COMPUTED_VALUE"""),180000000)</f>
        <v>180000000</v>
      </c>
      <c r="H541">
        <f ca="1">IFERROR(__xludf.DUMMYFUNCTION("""COMPUTED_VALUE"""),36130)</f>
        <v>36130</v>
      </c>
      <c r="I541">
        <f ca="1">IFERROR(__xludf.DUMMYFUNCTION("""COMPUTED_VALUE"""),10)</f>
        <v>10</v>
      </c>
      <c r="J541">
        <f ca="1">IFERROR(__xludf.DUMMYFUNCTION("""COMPUTED_VALUE"""),4)</f>
        <v>4</v>
      </c>
      <c r="K541" t="str">
        <f ca="1">IFERROR(__xludf.DUMMYFUNCTION("""COMPUTED_VALUE"""),"JENT")</f>
        <v>JENT</v>
      </c>
      <c r="L541" t="str">
        <f ca="1">IFERROR(__xludf.DUMMYFUNCTION("""COMPUTED_VALUE"""),"N")</f>
        <v>N</v>
      </c>
      <c r="M541" t="str">
        <f ca="1">IFERROR(__xludf.DUMMYFUNCTION("""COMPUTED_VALUE"""),"em-333")</f>
        <v>em-333</v>
      </c>
    </row>
    <row r="542" spans="1:13" ht="12.5" x14ac:dyDescent="0.25">
      <c r="A542" t="str">
        <f ca="1">IFERROR(__xludf.DUMMYFUNCTION("""COMPUTED_VALUE"""),"Johannes")</f>
        <v>Johannes</v>
      </c>
      <c r="B542" t="str">
        <f ca="1">IFERROR(__xludf.DUMMYFUNCTION("""COMPUTED_VALUE"""),"Gunawan")</f>
        <v>Gunawan</v>
      </c>
      <c r="C542" t="str">
        <f ca="1">IFERROR(__xludf.DUMMYFUNCTION("""COMPUTED_VALUE"""),"Johannes@gmailx.com")</f>
        <v>Johannes@gmailx.com</v>
      </c>
      <c r="D542" t="str">
        <f ca="1">IFERROR(__xludf.DUMMYFUNCTION("""COMPUTED_VALUE"""),"Surakarta")</f>
        <v>Surakarta</v>
      </c>
      <c r="E542" s="12">
        <f ca="1">IFERROR(__xludf.DUMMYFUNCTION("""COMPUTED_VALUE"""),42740)</f>
        <v>42740</v>
      </c>
      <c r="F542" t="str">
        <f ca="1">IFERROR(__xludf.DUMMYFUNCTION("""COMPUTED_VALUE"""),"KP0850FB")</f>
        <v>KP0850FB</v>
      </c>
      <c r="G542" s="11">
        <f ca="1">IFERROR(__xludf.DUMMYFUNCTION("""COMPUTED_VALUE"""),189000000)</f>
        <v>189000000</v>
      </c>
      <c r="H542">
        <f ca="1">IFERROR(__xludf.DUMMYFUNCTION("""COMPUTED_VALUE"""),35888)</f>
        <v>35888</v>
      </c>
      <c r="I542">
        <f ca="1">IFERROR(__xludf.DUMMYFUNCTION("""COMPUTED_VALUE"""),9)</f>
        <v>9</v>
      </c>
      <c r="J542" t="str">
        <f ca="1">IFERROR(__xludf.DUMMYFUNCTION("""COMPUTED_VALUE"""),"N/A")</f>
        <v>N/A</v>
      </c>
      <c r="K542" t="str">
        <f ca="1">IFERROR(__xludf.DUMMYFUNCTION("""COMPUTED_VALUE"""),"JENT")</f>
        <v>JENT</v>
      </c>
      <c r="L542" t="str">
        <f ca="1">IFERROR(__xludf.DUMMYFUNCTION("""COMPUTED_VALUE"""),"Y")</f>
        <v>Y</v>
      </c>
      <c r="M542" t="str">
        <f ca="1">IFERROR(__xludf.DUMMYFUNCTION("""COMPUTED_VALUE"""),"bn-410")</f>
        <v>bn-410</v>
      </c>
    </row>
    <row r="543" spans="1:13" ht="12.5" x14ac:dyDescent="0.25">
      <c r="A543" t="str">
        <f ca="1">IFERROR(__xludf.DUMMYFUNCTION("""COMPUTED_VALUE"""),"Eddy")</f>
        <v>Eddy</v>
      </c>
      <c r="B543" t="str">
        <f ca="1">IFERROR(__xludf.DUMMYFUNCTION("""COMPUTED_VALUE"""),"Robert")</f>
        <v>Robert</v>
      </c>
      <c r="C543" t="str">
        <f ca="1">IFERROR(__xludf.DUMMYFUNCTION("""COMPUTED_VALUE"""),"Robert@livex.com")</f>
        <v>Robert@livex.com</v>
      </c>
      <c r="D543" t="str">
        <f ca="1">IFERROR(__xludf.DUMMYFUNCTION("""COMPUTED_VALUE"""),"Pekalongan")</f>
        <v>Pekalongan</v>
      </c>
      <c r="E543" s="12">
        <f ca="1">IFERROR(__xludf.DUMMYFUNCTION("""COMPUTED_VALUE"""),42853)</f>
        <v>42853</v>
      </c>
      <c r="F543" t="str">
        <f ca="1">IFERROR(__xludf.DUMMYFUNCTION("""COMPUTED_VALUE"""),"KP0850FB")</f>
        <v>KP0850FB</v>
      </c>
      <c r="G543" s="11">
        <f ca="1">IFERROR(__xludf.DUMMYFUNCTION("""COMPUTED_VALUE"""),189000000)</f>
        <v>189000000</v>
      </c>
      <c r="H543">
        <f ca="1">IFERROR(__xludf.DUMMYFUNCTION("""COMPUTED_VALUE"""),35431)</f>
        <v>35431</v>
      </c>
      <c r="I543">
        <f ca="1">IFERROR(__xludf.DUMMYFUNCTION("""COMPUTED_VALUE"""),9)</f>
        <v>9</v>
      </c>
      <c r="J543" t="str">
        <f ca="1">IFERROR(__xludf.DUMMYFUNCTION("""COMPUTED_VALUE"""),"N/A")</f>
        <v>N/A</v>
      </c>
      <c r="K543" t="str">
        <f ca="1">IFERROR(__xludf.DUMMYFUNCTION("""COMPUTED_VALUE"""),"Pru Logistic")</f>
        <v>Pru Logistic</v>
      </c>
      <c r="L543" t="str">
        <f ca="1">IFERROR(__xludf.DUMMYFUNCTION("""COMPUTED_VALUE"""),"Y")</f>
        <v>Y</v>
      </c>
      <c r="M543" t="str">
        <f ca="1">IFERROR(__xludf.DUMMYFUNCTION("""COMPUTED_VALUE"""),"qu-410")</f>
        <v>qu-410</v>
      </c>
    </row>
    <row r="544" spans="1:13" ht="12.5" x14ac:dyDescent="0.25">
      <c r="A544" t="str">
        <f ca="1">IFERROR(__xludf.DUMMYFUNCTION("""COMPUTED_VALUE"""),"Rizal")</f>
        <v>Rizal</v>
      </c>
      <c r="B544" t="str">
        <f ca="1">IFERROR(__xludf.DUMMYFUNCTION("""COMPUTED_VALUE"""),"Fadjar")</f>
        <v>Fadjar</v>
      </c>
      <c r="C544" t="str">
        <f ca="1">IFERROR(__xludf.DUMMYFUNCTION("""COMPUTED_VALUE"""),"Rizal@rocketmailx.com")</f>
        <v>Rizal@rocketmailx.com</v>
      </c>
      <c r="D544" t="str">
        <f ca="1">IFERROR(__xludf.DUMMYFUNCTION("""COMPUTED_VALUE"""),"Padangpanjang")</f>
        <v>Padangpanjang</v>
      </c>
      <c r="E544" s="12">
        <f ca="1">IFERROR(__xludf.DUMMYFUNCTION("""COMPUTED_VALUE"""),42853)</f>
        <v>42853</v>
      </c>
      <c r="F544" t="str">
        <f ca="1">IFERROR(__xludf.DUMMYFUNCTION("""COMPUTED_VALUE"""),"KP0750AJ")</f>
        <v>KP0750AJ</v>
      </c>
      <c r="G544" s="11">
        <f ca="1">IFERROR(__xludf.DUMMYFUNCTION("""COMPUTED_VALUE"""),108000000)</f>
        <v>108000000</v>
      </c>
      <c r="H544">
        <f ca="1">IFERROR(__xludf.DUMMYFUNCTION("""COMPUTED_VALUE"""),35775)</f>
        <v>35775</v>
      </c>
      <c r="I544">
        <f ca="1">IFERROR(__xludf.DUMMYFUNCTION("""COMPUTED_VALUE"""),6)</f>
        <v>6</v>
      </c>
      <c r="J544">
        <f ca="1">IFERROR(__xludf.DUMMYFUNCTION("""COMPUTED_VALUE"""),4)</f>
        <v>4</v>
      </c>
      <c r="K544" t="str">
        <f ca="1">IFERROR(__xludf.DUMMYFUNCTION("""COMPUTED_VALUE"""),"Wakanda Express")</f>
        <v>Wakanda Express</v>
      </c>
      <c r="L544" t="str">
        <f ca="1">IFERROR(__xludf.DUMMYFUNCTION("""COMPUTED_VALUE"""),"N")</f>
        <v>N</v>
      </c>
      <c r="M544" t="str">
        <f ca="1">IFERROR(__xludf.DUMMYFUNCTION("""COMPUTED_VALUE"""),"va-559")</f>
        <v>va-559</v>
      </c>
    </row>
    <row r="545" spans="1:13" ht="12.5" x14ac:dyDescent="0.25">
      <c r="A545" t="str">
        <f ca="1">IFERROR(__xludf.DUMMYFUNCTION("""COMPUTED_VALUE"""),"Liliana")</f>
        <v>Liliana</v>
      </c>
      <c r="B545" t="str">
        <f ca="1">IFERROR(__xludf.DUMMYFUNCTION("""COMPUTED_VALUE"""),"Mogi")</f>
        <v>Mogi</v>
      </c>
      <c r="C545" t="str">
        <f ca="1">IFERROR(__xludf.DUMMYFUNCTION("""COMPUTED_VALUE"""),"Liliana@icloudx.com")</f>
        <v>Liliana@icloudx.com</v>
      </c>
      <c r="D545" t="str">
        <f ca="1">IFERROR(__xludf.DUMMYFUNCTION("""COMPUTED_VALUE"""),"Malang")</f>
        <v>Malang</v>
      </c>
      <c r="E545" s="12">
        <f ca="1">IFERROR(__xludf.DUMMYFUNCTION("""COMPUTED_VALUE"""),42852)</f>
        <v>42852</v>
      </c>
      <c r="F545" t="str">
        <f ca="1">IFERROR(__xludf.DUMMYFUNCTION("""COMPUTED_VALUE"""),"KP0350CF")</f>
        <v>KP0350CF</v>
      </c>
      <c r="G545" s="11">
        <f ca="1">IFERROR(__xludf.DUMMYFUNCTION("""COMPUTED_VALUE"""),245000000)</f>
        <v>245000000</v>
      </c>
      <c r="H545">
        <f ca="1">IFERROR(__xludf.DUMMYFUNCTION("""COMPUTED_VALUE"""),35951)</f>
        <v>35951</v>
      </c>
      <c r="I545">
        <f ca="1">IFERROR(__xludf.DUMMYFUNCTION("""COMPUTED_VALUE"""),7)</f>
        <v>7</v>
      </c>
      <c r="J545" t="str">
        <f ca="1">IFERROR(__xludf.DUMMYFUNCTION("""COMPUTED_VALUE"""),"N/A")</f>
        <v>N/A</v>
      </c>
      <c r="K545" t="str">
        <f ca="1">IFERROR(__xludf.DUMMYFUNCTION("""COMPUTED_VALUE"""),"Swift Delivery")</f>
        <v>Swift Delivery</v>
      </c>
      <c r="L545" t="str">
        <f ca="1">IFERROR(__xludf.DUMMYFUNCTION("""COMPUTED_VALUE"""),"Y")</f>
        <v>Y</v>
      </c>
      <c r="M545" t="str">
        <f ca="1">IFERROR(__xludf.DUMMYFUNCTION("""COMPUTED_VALUE"""),"ys-123")</f>
        <v>ys-123</v>
      </c>
    </row>
    <row r="546" spans="1:13" ht="12.5" x14ac:dyDescent="0.25">
      <c r="A546" t="str">
        <f ca="1">IFERROR(__xludf.DUMMYFUNCTION("""COMPUTED_VALUE"""),"Pradeep")</f>
        <v>Pradeep</v>
      </c>
      <c r="B546" t="str">
        <f ca="1">IFERROR(__xludf.DUMMYFUNCTION("""COMPUTED_VALUE"""),"Sinto")</f>
        <v>Sinto</v>
      </c>
      <c r="C546" t="str">
        <f ca="1">IFERROR(__xludf.DUMMYFUNCTION("""COMPUTED_VALUE"""),"Sinto@livex.com")</f>
        <v>Sinto@livex.com</v>
      </c>
      <c r="D546" t="str">
        <f ca="1">IFERROR(__xludf.DUMMYFUNCTION("""COMPUTED_VALUE"""),"Pagaralam")</f>
        <v>Pagaralam</v>
      </c>
      <c r="E546" s="12">
        <f ca="1">IFERROR(__xludf.DUMMYFUNCTION("""COMPUTED_VALUE"""),42851)</f>
        <v>42851</v>
      </c>
      <c r="F546" t="str">
        <f ca="1">IFERROR(__xludf.DUMMYFUNCTION("""COMPUTED_VALUE"""),"KP0750AJ")</f>
        <v>KP0750AJ</v>
      </c>
      <c r="G546" s="11">
        <f ca="1">IFERROR(__xludf.DUMMYFUNCTION("""COMPUTED_VALUE"""),162000000)</f>
        <v>162000000</v>
      </c>
      <c r="H546">
        <f ca="1">IFERROR(__xludf.DUMMYFUNCTION("""COMPUTED_VALUE"""),35366)</f>
        <v>35366</v>
      </c>
      <c r="I546">
        <f ca="1">IFERROR(__xludf.DUMMYFUNCTION("""COMPUTED_VALUE"""),9)</f>
        <v>9</v>
      </c>
      <c r="J546" t="str">
        <f ca="1">IFERROR(__xludf.DUMMYFUNCTION("""COMPUTED_VALUE"""),"N/A")</f>
        <v>N/A</v>
      </c>
      <c r="K546" t="str">
        <f ca="1">IFERROR(__xludf.DUMMYFUNCTION("""COMPUTED_VALUE"""),"JENT")</f>
        <v>JENT</v>
      </c>
      <c r="L546" t="str">
        <f ca="1">IFERROR(__xludf.DUMMYFUNCTION("""COMPUTED_VALUE"""),"N")</f>
        <v>N</v>
      </c>
      <c r="M546" t="str">
        <f ca="1">IFERROR(__xludf.DUMMYFUNCTION("""COMPUTED_VALUE"""),"di-661")</f>
        <v>di-661</v>
      </c>
    </row>
    <row r="547" spans="1:13" ht="12.5" x14ac:dyDescent="0.25">
      <c r="A547" t="str">
        <f ca="1">IFERROR(__xludf.DUMMYFUNCTION("""COMPUTED_VALUE"""),"Maria")</f>
        <v>Maria</v>
      </c>
      <c r="B547" t="str">
        <f ca="1">IFERROR(__xludf.DUMMYFUNCTION("""COMPUTED_VALUE"""),"Diana")</f>
        <v>Diana</v>
      </c>
      <c r="C547" t="str">
        <f ca="1">IFERROR(__xludf.DUMMYFUNCTION("""COMPUTED_VALUE"""),"Diana@icloudx.com")</f>
        <v>Diana@icloudx.com</v>
      </c>
      <c r="D547" t="str">
        <f ca="1">IFERROR(__xludf.DUMMYFUNCTION("""COMPUTED_VALUE"""),"Sibolga")</f>
        <v>Sibolga</v>
      </c>
      <c r="E547" s="12">
        <f ca="1">IFERROR(__xludf.DUMMYFUNCTION("""COMPUTED_VALUE"""),42850)</f>
        <v>42850</v>
      </c>
      <c r="F547" t="str">
        <f ca="1">IFERROR(__xludf.DUMMYFUNCTION("""COMPUTED_VALUE"""),"KP0050AG")</f>
        <v>KP0050AG</v>
      </c>
      <c r="G547" s="11">
        <f ca="1">IFERROR(__xludf.DUMMYFUNCTION("""COMPUTED_VALUE"""),113750000)</f>
        <v>113750000</v>
      </c>
      <c r="H547">
        <f ca="1">IFERROR(__xludf.DUMMYFUNCTION("""COMPUTED_VALUE"""),36504)</f>
        <v>36504</v>
      </c>
      <c r="I547">
        <f ca="1">IFERROR(__xludf.DUMMYFUNCTION("""COMPUTED_VALUE"""),7)</f>
        <v>7</v>
      </c>
      <c r="J547">
        <f ca="1">IFERROR(__xludf.DUMMYFUNCTION("""COMPUTED_VALUE"""),5)</f>
        <v>5</v>
      </c>
      <c r="K547" t="str">
        <f ca="1">IFERROR(__xludf.DUMMYFUNCTION("""COMPUTED_VALUE"""),"Cepat Kirim")</f>
        <v>Cepat Kirim</v>
      </c>
      <c r="L547" t="str">
        <f ca="1">IFERROR(__xludf.DUMMYFUNCTION("""COMPUTED_VALUE"""),"Y")</f>
        <v>Y</v>
      </c>
      <c r="M547" t="str">
        <f ca="1">IFERROR(__xludf.DUMMYFUNCTION("""COMPUTED_VALUE"""),"gk-662")</f>
        <v>gk-662</v>
      </c>
    </row>
    <row r="548" spans="1:13" ht="12.5" x14ac:dyDescent="0.25">
      <c r="A548" t="str">
        <f ca="1">IFERROR(__xludf.DUMMYFUNCTION("""COMPUTED_VALUE"""),"Daniel")</f>
        <v>Daniel</v>
      </c>
      <c r="B548" t="str">
        <f ca="1">IFERROR(__xludf.DUMMYFUNCTION("""COMPUTED_VALUE"""),"International")</f>
        <v>International</v>
      </c>
      <c r="C548" t="str">
        <f ca="1">IFERROR(__xludf.DUMMYFUNCTION("""COMPUTED_VALUE"""),"International@livex.com")</f>
        <v>International@livex.com</v>
      </c>
      <c r="D548" t="str">
        <f ca="1">IFERROR(__xludf.DUMMYFUNCTION("""COMPUTED_VALUE"""),"Jakarta Barat")</f>
        <v>Jakarta Barat</v>
      </c>
      <c r="E548" s="12">
        <f ca="1">IFERROR(__xludf.DUMMYFUNCTION("""COMPUTED_VALUE"""),42850)</f>
        <v>42850</v>
      </c>
      <c r="F548" t="str">
        <f ca="1">IFERROR(__xludf.DUMMYFUNCTION("""COMPUTED_VALUE"""),"KP0925SG")</f>
        <v>KP0925SG</v>
      </c>
      <c r="G548" s="11">
        <f ca="1">IFERROR(__xludf.DUMMYFUNCTION("""COMPUTED_VALUE"""),105000000)</f>
        <v>105000000</v>
      </c>
      <c r="H548">
        <f ca="1">IFERROR(__xludf.DUMMYFUNCTION("""COMPUTED_VALUE"""),36138)</f>
        <v>36138</v>
      </c>
      <c r="I548">
        <f ca="1">IFERROR(__xludf.DUMMYFUNCTION("""COMPUTED_VALUE"""),7)</f>
        <v>7</v>
      </c>
      <c r="J548" t="str">
        <f ca="1">IFERROR(__xludf.DUMMYFUNCTION("""COMPUTED_VALUE"""),"N/A")</f>
        <v>N/A</v>
      </c>
      <c r="K548" t="str">
        <f ca="1">IFERROR(__xludf.DUMMYFUNCTION("""COMPUTED_VALUE"""),"JENT")</f>
        <v>JENT</v>
      </c>
      <c r="L548" t="str">
        <f ca="1">IFERROR(__xludf.DUMMYFUNCTION("""COMPUTED_VALUE"""),"Y")</f>
        <v>Y</v>
      </c>
      <c r="M548" t="str">
        <f ca="1">IFERROR(__xludf.DUMMYFUNCTION("""COMPUTED_VALUE"""),"sx-333")</f>
        <v>sx-333</v>
      </c>
    </row>
    <row r="549" spans="1:13" ht="12.5" x14ac:dyDescent="0.25">
      <c r="A549" t="str">
        <f ca="1">IFERROR(__xludf.DUMMYFUNCTION("""COMPUTED_VALUE"""),"Lim")</f>
        <v>Lim</v>
      </c>
      <c r="B549" t="str">
        <f ca="1">IFERROR(__xludf.DUMMYFUNCTION("""COMPUTED_VALUE"""),"Sik")</f>
        <v>Sik</v>
      </c>
      <c r="C549" t="str">
        <f ca="1">IFERROR(__xludf.DUMMYFUNCTION("""COMPUTED_VALUE"""),"Sik@mex.com")</f>
        <v>Sik@mex.com</v>
      </c>
      <c r="D549" t="str">
        <f ca="1">IFERROR(__xludf.DUMMYFUNCTION("""COMPUTED_VALUE"""),"Kediri")</f>
        <v>Kediri</v>
      </c>
      <c r="E549" s="12">
        <f ca="1">IFERROR(__xludf.DUMMYFUNCTION("""COMPUTED_VALUE"""),42849)</f>
        <v>42849</v>
      </c>
      <c r="F549" t="str">
        <f ca="1">IFERROR(__xludf.DUMMYFUNCTION("""COMPUTED_VALUE"""),"KP0050AG")</f>
        <v>KP0050AG</v>
      </c>
      <c r="G549" s="11">
        <f ca="1">IFERROR(__xludf.DUMMYFUNCTION("""COMPUTED_VALUE"""),97500000)</f>
        <v>97500000</v>
      </c>
      <c r="H549">
        <f ca="1">IFERROR(__xludf.DUMMYFUNCTION("""COMPUTED_VALUE"""),36683)</f>
        <v>36683</v>
      </c>
      <c r="I549">
        <f ca="1">IFERROR(__xludf.DUMMYFUNCTION("""COMPUTED_VALUE"""),6)</f>
        <v>6</v>
      </c>
      <c r="J549">
        <f ca="1">IFERROR(__xludf.DUMMYFUNCTION("""COMPUTED_VALUE"""),4)</f>
        <v>4</v>
      </c>
      <c r="K549" t="str">
        <f ca="1">IFERROR(__xludf.DUMMYFUNCTION("""COMPUTED_VALUE"""),"Wakanda Express")</f>
        <v>Wakanda Express</v>
      </c>
      <c r="L549" t="str">
        <f ca="1">IFERROR(__xludf.DUMMYFUNCTION("""COMPUTED_VALUE"""),"Y")</f>
        <v>Y</v>
      </c>
      <c r="M549" t="str">
        <f ca="1">IFERROR(__xludf.DUMMYFUNCTION("""COMPUTED_VALUE"""),"aj-123")</f>
        <v>aj-123</v>
      </c>
    </row>
    <row r="550" spans="1:13" ht="12.5" x14ac:dyDescent="0.25">
      <c r="A550" t="str">
        <f ca="1">IFERROR(__xludf.DUMMYFUNCTION("""COMPUTED_VALUE"""),"Safarina")</f>
        <v>Safarina</v>
      </c>
      <c r="B550" t="str">
        <f ca="1">IFERROR(__xludf.DUMMYFUNCTION("""COMPUTED_VALUE"""),"Rossi")</f>
        <v>Rossi</v>
      </c>
      <c r="C550" t="str">
        <f ca="1">IFERROR(__xludf.DUMMYFUNCTION("""COMPUTED_VALUE"""),"Rossi@icloudx.com")</f>
        <v>Rossi@icloudx.com</v>
      </c>
      <c r="D550" t="str">
        <f ca="1">IFERROR(__xludf.DUMMYFUNCTION("""COMPUTED_VALUE"""),"Langsa")</f>
        <v>Langsa</v>
      </c>
      <c r="E550" s="12">
        <f ca="1">IFERROR(__xludf.DUMMYFUNCTION("""COMPUTED_VALUE"""),42849)</f>
        <v>42849</v>
      </c>
      <c r="F550" t="str">
        <f ca="1">IFERROR(__xludf.DUMMYFUNCTION("""COMPUTED_VALUE"""),"KP0150BH")</f>
        <v>KP0150BH</v>
      </c>
      <c r="G550" s="11">
        <f ca="1">IFERROR(__xludf.DUMMYFUNCTION("""COMPUTED_VALUE"""),243000000)</f>
        <v>243000000</v>
      </c>
      <c r="H550">
        <f ca="1">IFERROR(__xludf.DUMMYFUNCTION("""COMPUTED_VALUE"""),35919)</f>
        <v>35919</v>
      </c>
      <c r="I550">
        <f ca="1">IFERROR(__xludf.DUMMYFUNCTION("""COMPUTED_VALUE"""),9)</f>
        <v>9</v>
      </c>
      <c r="J550" t="str">
        <f ca="1">IFERROR(__xludf.DUMMYFUNCTION("""COMPUTED_VALUE"""),"N/A")</f>
        <v>N/A</v>
      </c>
      <c r="K550" t="str">
        <f ca="1">IFERROR(__xludf.DUMMYFUNCTION("""COMPUTED_VALUE"""),"Swift Delivery")</f>
        <v>Swift Delivery</v>
      </c>
      <c r="L550" t="str">
        <f ca="1">IFERROR(__xludf.DUMMYFUNCTION("""COMPUTED_VALUE"""),"N")</f>
        <v>N</v>
      </c>
      <c r="M550" t="str">
        <f ca="1">IFERROR(__xludf.DUMMYFUNCTION("""COMPUTED_VALUE"""),"yp-101")</f>
        <v>yp-101</v>
      </c>
    </row>
    <row r="551" spans="1:13" ht="12.5" x14ac:dyDescent="0.25">
      <c r="A551" t="str">
        <f ca="1">IFERROR(__xludf.DUMMYFUNCTION("""COMPUTED_VALUE"""),"Linda")</f>
        <v>Linda</v>
      </c>
      <c r="B551" t="str">
        <f ca="1">IFERROR(__xludf.DUMMYFUNCTION("""COMPUTED_VALUE"""),"Darmamulia")</f>
        <v>Darmamulia</v>
      </c>
      <c r="C551" t="str">
        <f ca="1">IFERROR(__xludf.DUMMYFUNCTION("""COMPUTED_VALUE"""),"Darmamulia@livex.com")</f>
        <v>Darmamulia@livex.com</v>
      </c>
      <c r="D551" t="str">
        <f ca="1">IFERROR(__xludf.DUMMYFUNCTION("""COMPUTED_VALUE"""),"Tasikmalaya")</f>
        <v>Tasikmalaya</v>
      </c>
      <c r="E551" s="12">
        <f ca="1">IFERROR(__xludf.DUMMYFUNCTION("""COMPUTED_VALUE"""),42847)</f>
        <v>42847</v>
      </c>
      <c r="F551" t="str">
        <f ca="1">IFERROR(__xludf.DUMMYFUNCTION("""COMPUTED_VALUE"""),"KP0850FB")</f>
        <v>KP0850FB</v>
      </c>
      <c r="G551" s="11">
        <f ca="1">IFERROR(__xludf.DUMMYFUNCTION("""COMPUTED_VALUE"""),168000000)</f>
        <v>168000000</v>
      </c>
      <c r="H551">
        <f ca="1">IFERROR(__xludf.DUMMYFUNCTION("""COMPUTED_VALUE"""),35001)</f>
        <v>35001</v>
      </c>
      <c r="I551">
        <f ca="1">IFERROR(__xludf.DUMMYFUNCTION("""COMPUTED_VALUE"""),8)</f>
        <v>8</v>
      </c>
      <c r="J551">
        <f ca="1">IFERROR(__xludf.DUMMYFUNCTION("""COMPUTED_VALUE"""),4)</f>
        <v>4</v>
      </c>
      <c r="K551" t="str">
        <f ca="1">IFERROR(__xludf.DUMMYFUNCTION("""COMPUTED_VALUE"""),"JENT")</f>
        <v>JENT</v>
      </c>
      <c r="L551" t="str">
        <f ca="1">IFERROR(__xludf.DUMMYFUNCTION("""COMPUTED_VALUE"""),"Y")</f>
        <v>Y</v>
      </c>
      <c r="M551" t="str">
        <f ca="1">IFERROR(__xludf.DUMMYFUNCTION("""COMPUTED_VALUE"""),"uj-409")</f>
        <v>uj-409</v>
      </c>
    </row>
    <row r="552" spans="1:13" ht="12.5" x14ac:dyDescent="0.25">
      <c r="A552" t="str">
        <f ca="1">IFERROR(__xludf.DUMMYFUNCTION("""COMPUTED_VALUE"""),"Hendro")</f>
        <v>Hendro</v>
      </c>
      <c r="B552" t="str">
        <f ca="1">IFERROR(__xludf.DUMMYFUNCTION("""COMPUTED_VALUE"""),"Rianti")</f>
        <v>Rianti</v>
      </c>
      <c r="C552" t="str">
        <f ca="1">IFERROR(__xludf.DUMMYFUNCTION("""COMPUTED_VALUE"""),"Hendro@ymailx.com")</f>
        <v>Hendro@ymailx.com</v>
      </c>
      <c r="D552" t="str">
        <f ca="1">IFERROR(__xludf.DUMMYFUNCTION("""COMPUTED_VALUE"""),"Tomohon")</f>
        <v>Tomohon</v>
      </c>
      <c r="E552" s="12">
        <f ca="1">IFERROR(__xludf.DUMMYFUNCTION("""COMPUTED_VALUE"""),42845)</f>
        <v>42845</v>
      </c>
      <c r="F552" t="str">
        <f ca="1">IFERROR(__xludf.DUMMYFUNCTION("""COMPUTED_VALUE"""),"KP0925SG")</f>
        <v>KP0925SG</v>
      </c>
      <c r="G552" s="11">
        <f ca="1">IFERROR(__xludf.DUMMYFUNCTION("""COMPUTED_VALUE"""),150000000)</f>
        <v>150000000</v>
      </c>
      <c r="H552">
        <f ca="1">IFERROR(__xludf.DUMMYFUNCTION("""COMPUTED_VALUE"""),36801)</f>
        <v>36801</v>
      </c>
      <c r="I552">
        <f ca="1">IFERROR(__xludf.DUMMYFUNCTION("""COMPUTED_VALUE"""),10)</f>
        <v>10</v>
      </c>
      <c r="J552" t="str">
        <f ca="1">IFERROR(__xludf.DUMMYFUNCTION("""COMPUTED_VALUE"""),"N/A")</f>
        <v>N/A</v>
      </c>
      <c r="K552" t="str">
        <f ca="1">IFERROR(__xludf.DUMMYFUNCTION("""COMPUTED_VALUE"""),"JENT")</f>
        <v>JENT</v>
      </c>
      <c r="L552" t="str">
        <f ca="1">IFERROR(__xludf.DUMMYFUNCTION("""COMPUTED_VALUE"""),"Y")</f>
        <v>Y</v>
      </c>
      <c r="M552" t="str">
        <f ca="1">IFERROR(__xludf.DUMMYFUNCTION("""COMPUTED_VALUE"""),"ai-221")</f>
        <v>ai-221</v>
      </c>
    </row>
    <row r="553" spans="1:13" ht="12.5" x14ac:dyDescent="0.25">
      <c r="A553" t="str">
        <f ca="1">IFERROR(__xludf.DUMMYFUNCTION("""COMPUTED_VALUE"""),"Djan")</f>
        <v>Djan</v>
      </c>
      <c r="B553" t="str">
        <f ca="1">IFERROR(__xludf.DUMMYFUNCTION("""COMPUTED_VALUE"""),"Yoesgiantoro")</f>
        <v>Yoesgiantoro</v>
      </c>
      <c r="C553" t="str">
        <f ca="1">IFERROR(__xludf.DUMMYFUNCTION("""COMPUTED_VALUE"""),"Yoesgiantoro@outlookx.com")</f>
        <v>Yoesgiantoro@outlookx.com</v>
      </c>
      <c r="D553" t="str">
        <f ca="1">IFERROR(__xludf.DUMMYFUNCTION("""COMPUTED_VALUE"""),"Jayapura")</f>
        <v>Jayapura</v>
      </c>
      <c r="E553" s="12">
        <f ca="1">IFERROR(__xludf.DUMMYFUNCTION("""COMPUTED_VALUE"""),42841)</f>
        <v>42841</v>
      </c>
      <c r="F553" t="str">
        <f ca="1">IFERROR(__xludf.DUMMYFUNCTION("""COMPUTED_VALUE"""),"KP0750AJ")</f>
        <v>KP0750AJ</v>
      </c>
      <c r="G553" s="11">
        <f ca="1">IFERROR(__xludf.DUMMYFUNCTION("""COMPUTED_VALUE"""),162000000)</f>
        <v>162000000</v>
      </c>
      <c r="H553">
        <f ca="1">IFERROR(__xludf.DUMMYFUNCTION("""COMPUTED_VALUE"""),35672)</f>
        <v>35672</v>
      </c>
      <c r="I553">
        <f ca="1">IFERROR(__xludf.DUMMYFUNCTION("""COMPUTED_VALUE"""),9)</f>
        <v>9</v>
      </c>
      <c r="J553">
        <f ca="1">IFERROR(__xludf.DUMMYFUNCTION("""COMPUTED_VALUE"""),2)</f>
        <v>2</v>
      </c>
      <c r="K553" t="str">
        <f ca="1">IFERROR(__xludf.DUMMYFUNCTION("""COMPUTED_VALUE"""),"Pru Logistic")</f>
        <v>Pru Logistic</v>
      </c>
      <c r="L553" t="str">
        <f ca="1">IFERROR(__xludf.DUMMYFUNCTION("""COMPUTED_VALUE"""),"Y")</f>
        <v>Y</v>
      </c>
      <c r="M553" t="str">
        <f ca="1">IFERROR(__xludf.DUMMYFUNCTION("""COMPUTED_VALUE"""),"mo-990")</f>
        <v>mo-990</v>
      </c>
    </row>
    <row r="554" spans="1:13" ht="12.5" x14ac:dyDescent="0.25">
      <c r="A554" t="str">
        <f ca="1">IFERROR(__xludf.DUMMYFUNCTION("""COMPUTED_VALUE"""),"I.")</f>
        <v>I.</v>
      </c>
      <c r="B554" t="str">
        <f ca="1">IFERROR(__xludf.DUMMYFUNCTION("""COMPUTED_VALUE"""),"Kusuma")</f>
        <v>Kusuma</v>
      </c>
      <c r="C554" t="str">
        <f ca="1">IFERROR(__xludf.DUMMYFUNCTION("""COMPUTED_VALUE"""),"Kusuma@ymailx.com")</f>
        <v>Kusuma@ymailx.com</v>
      </c>
      <c r="D554" t="str">
        <f ca="1">IFERROR(__xludf.DUMMYFUNCTION("""COMPUTED_VALUE"""),"Padangpanjang")</f>
        <v>Padangpanjang</v>
      </c>
      <c r="E554" s="12">
        <f ca="1">IFERROR(__xludf.DUMMYFUNCTION("""COMPUTED_VALUE"""),42839)</f>
        <v>42839</v>
      </c>
      <c r="F554" t="str">
        <f ca="1">IFERROR(__xludf.DUMMYFUNCTION("""COMPUTED_VALUE"""),"KP0850FB")</f>
        <v>KP0850FB</v>
      </c>
      <c r="G554" s="11">
        <f ca="1">IFERROR(__xludf.DUMMYFUNCTION("""COMPUTED_VALUE"""),84000000)</f>
        <v>84000000</v>
      </c>
      <c r="H554">
        <f ca="1">IFERROR(__xludf.DUMMYFUNCTION("""COMPUTED_VALUE"""),36055)</f>
        <v>36055</v>
      </c>
      <c r="I554">
        <f ca="1">IFERROR(__xludf.DUMMYFUNCTION("""COMPUTED_VALUE"""),4)</f>
        <v>4</v>
      </c>
      <c r="J554">
        <f ca="1">IFERROR(__xludf.DUMMYFUNCTION("""COMPUTED_VALUE"""),4)</f>
        <v>4</v>
      </c>
      <c r="K554" t="str">
        <f ca="1">IFERROR(__xludf.DUMMYFUNCTION("""COMPUTED_VALUE"""),"Cepat Kirim")</f>
        <v>Cepat Kirim</v>
      </c>
      <c r="L554" t="str">
        <f ca="1">IFERROR(__xludf.DUMMYFUNCTION("""COMPUTED_VALUE"""),"Y")</f>
        <v>Y</v>
      </c>
      <c r="M554" t="str">
        <f ca="1">IFERROR(__xludf.DUMMYFUNCTION("""COMPUTED_VALUE"""),"pm-559")</f>
        <v>pm-559</v>
      </c>
    </row>
    <row r="555" spans="1:13" ht="12.5" x14ac:dyDescent="0.25">
      <c r="A555" t="str">
        <f ca="1">IFERROR(__xludf.DUMMYFUNCTION("""COMPUTED_VALUE"""),"Kaman")</f>
        <v>Kaman</v>
      </c>
      <c r="B555" t="str">
        <f ca="1">IFERROR(__xludf.DUMMYFUNCTION("""COMPUTED_VALUE"""),"Adam")</f>
        <v>Adam</v>
      </c>
      <c r="C555" t="str">
        <f ca="1">IFERROR(__xludf.DUMMYFUNCTION("""COMPUTED_VALUE"""),"Kaman@ymailx.com")</f>
        <v>Kaman@ymailx.com</v>
      </c>
      <c r="D555" t="str">
        <f ca="1">IFERROR(__xludf.DUMMYFUNCTION("""COMPUTED_VALUE"""),"Payakumbuh")</f>
        <v>Payakumbuh</v>
      </c>
      <c r="E555" s="12">
        <f ca="1">IFERROR(__xludf.DUMMYFUNCTION("""COMPUTED_VALUE"""),43073)</f>
        <v>43073</v>
      </c>
      <c r="F555" t="str">
        <f ca="1">IFERROR(__xludf.DUMMYFUNCTION("""COMPUTED_VALUE"""),"KP0625AF")</f>
        <v>KP0625AF</v>
      </c>
      <c r="G555" s="11">
        <f ca="1">IFERROR(__xludf.DUMMYFUNCTION("""COMPUTED_VALUE"""),96000000)</f>
        <v>96000000</v>
      </c>
      <c r="H555">
        <f ca="1">IFERROR(__xludf.DUMMYFUNCTION("""COMPUTED_VALUE"""),35476)</f>
        <v>35476</v>
      </c>
      <c r="I555">
        <f ca="1">IFERROR(__xludf.DUMMYFUNCTION("""COMPUTED_VALUE"""),8)</f>
        <v>8</v>
      </c>
      <c r="J555">
        <f ca="1">IFERROR(__xludf.DUMMYFUNCTION("""COMPUTED_VALUE"""),4)</f>
        <v>4</v>
      </c>
      <c r="K555" t="str">
        <f ca="1">IFERROR(__xludf.DUMMYFUNCTION("""COMPUTED_VALUE"""),"JENT")</f>
        <v>JENT</v>
      </c>
      <c r="L555" t="str">
        <f ca="1">IFERROR(__xludf.DUMMYFUNCTION("""COMPUTED_VALUE"""),"Y")</f>
        <v>Y</v>
      </c>
      <c r="M555" t="str">
        <f ca="1">IFERROR(__xludf.DUMMYFUNCTION("""COMPUTED_VALUE"""),"yh-559")</f>
        <v>yh-559</v>
      </c>
    </row>
    <row r="556" spans="1:13" ht="12.5" x14ac:dyDescent="0.25">
      <c r="A556" t="str">
        <f ca="1">IFERROR(__xludf.DUMMYFUNCTION("""COMPUTED_VALUE"""),"Nani")</f>
        <v>Nani</v>
      </c>
      <c r="B556" t="str">
        <f ca="1">IFERROR(__xludf.DUMMYFUNCTION("""COMPUTED_VALUE"""),"Sungkoro")</f>
        <v>Sungkoro</v>
      </c>
      <c r="C556" t="str">
        <f ca="1">IFERROR(__xludf.DUMMYFUNCTION("""COMPUTED_VALUE"""),"Nani@mex.com")</f>
        <v>Nani@mex.com</v>
      </c>
      <c r="D556" t="str">
        <f ca="1">IFERROR(__xludf.DUMMYFUNCTION("""COMPUTED_VALUE"""),"Kediri")</f>
        <v>Kediri</v>
      </c>
      <c r="E556" s="12">
        <f ca="1">IFERROR(__xludf.DUMMYFUNCTION("""COMPUTED_VALUE"""),43043)</f>
        <v>43043</v>
      </c>
      <c r="F556" t="str">
        <f ca="1">IFERROR(__xludf.DUMMYFUNCTION("""COMPUTED_VALUE"""),"KP0850FB")</f>
        <v>KP0850FB</v>
      </c>
      <c r="G556" s="11">
        <f ca="1">IFERROR(__xludf.DUMMYFUNCTION("""COMPUTED_VALUE"""),147000000)</f>
        <v>147000000</v>
      </c>
      <c r="H556">
        <f ca="1">IFERROR(__xludf.DUMMYFUNCTION("""COMPUTED_VALUE"""),35964)</f>
        <v>35964</v>
      </c>
      <c r="I556">
        <f ca="1">IFERROR(__xludf.DUMMYFUNCTION("""COMPUTED_VALUE"""),7)</f>
        <v>7</v>
      </c>
      <c r="J556">
        <f ca="1">IFERROR(__xludf.DUMMYFUNCTION("""COMPUTED_VALUE"""),4)</f>
        <v>4</v>
      </c>
      <c r="K556" t="str">
        <f ca="1">IFERROR(__xludf.DUMMYFUNCTION("""COMPUTED_VALUE"""),"Cepat Kirim")</f>
        <v>Cepat Kirim</v>
      </c>
      <c r="L556" t="str">
        <f ca="1">IFERROR(__xludf.DUMMYFUNCTION("""COMPUTED_VALUE"""),"N")</f>
        <v>N</v>
      </c>
      <c r="M556" t="str">
        <f ca="1">IFERROR(__xludf.DUMMYFUNCTION("""COMPUTED_VALUE"""),"se-123")</f>
        <v>se-123</v>
      </c>
    </row>
    <row r="557" spans="1:13" ht="12.5" x14ac:dyDescent="0.25">
      <c r="A557" t="str">
        <f ca="1">IFERROR(__xludf.DUMMYFUNCTION("""COMPUTED_VALUE"""),"Sonya")</f>
        <v>Sonya</v>
      </c>
      <c r="B557" t="str">
        <f ca="1">IFERROR(__xludf.DUMMYFUNCTION("""COMPUTED_VALUE"""),"Koes")</f>
        <v>Koes</v>
      </c>
      <c r="C557" t="str">
        <f ca="1">IFERROR(__xludf.DUMMYFUNCTION("""COMPUTED_VALUE"""),"Koes@rocketmailx.com")</f>
        <v>Koes@rocketmailx.com</v>
      </c>
      <c r="D557" t="str">
        <f ca="1">IFERROR(__xludf.DUMMYFUNCTION("""COMPUTED_VALUE"""),"Pontianak")</f>
        <v>Pontianak</v>
      </c>
      <c r="E557" s="12">
        <f ca="1">IFERROR(__xludf.DUMMYFUNCTION("""COMPUTED_VALUE"""),43043)</f>
        <v>43043</v>
      </c>
      <c r="F557" t="str">
        <f ca="1">IFERROR(__xludf.DUMMYFUNCTION("""COMPUTED_VALUE"""),"KP0350CF")</f>
        <v>KP0350CF</v>
      </c>
      <c r="G557" s="11">
        <f ca="1">IFERROR(__xludf.DUMMYFUNCTION("""COMPUTED_VALUE"""),245000000)</f>
        <v>245000000</v>
      </c>
      <c r="H557">
        <f ca="1">IFERROR(__xludf.DUMMYFUNCTION("""COMPUTED_VALUE"""),35361)</f>
        <v>35361</v>
      </c>
      <c r="I557">
        <f ca="1">IFERROR(__xludf.DUMMYFUNCTION("""COMPUTED_VALUE"""),7)</f>
        <v>7</v>
      </c>
      <c r="J557">
        <f ca="1">IFERROR(__xludf.DUMMYFUNCTION("""COMPUTED_VALUE"""),4)</f>
        <v>4</v>
      </c>
      <c r="K557" t="str">
        <f ca="1">IFERROR(__xludf.DUMMYFUNCTION("""COMPUTED_VALUE"""),"JENT")</f>
        <v>JENT</v>
      </c>
      <c r="L557" t="str">
        <f ca="1">IFERROR(__xludf.DUMMYFUNCTION("""COMPUTED_VALUE"""),"N")</f>
        <v>N</v>
      </c>
      <c r="M557" t="str">
        <f ca="1">IFERROR(__xludf.DUMMYFUNCTION("""COMPUTED_VALUE"""),"qr-880")</f>
        <v>qr-880</v>
      </c>
    </row>
    <row r="558" spans="1:13" ht="12.5" x14ac:dyDescent="0.25">
      <c r="A558" t="str">
        <f ca="1">IFERROR(__xludf.DUMMYFUNCTION("""COMPUTED_VALUE"""),"Eddy")</f>
        <v>Eddy</v>
      </c>
      <c r="B558" t="str">
        <f ca="1">IFERROR(__xludf.DUMMYFUNCTION("""COMPUTED_VALUE"""),"Nugroho")</f>
        <v>Nugroho</v>
      </c>
      <c r="C558" t="str">
        <f ca="1">IFERROR(__xludf.DUMMYFUNCTION("""COMPUTED_VALUE"""),"Eddy@outlookx.com")</f>
        <v>Eddy@outlookx.com</v>
      </c>
      <c r="D558" t="str">
        <f ca="1">IFERROR(__xludf.DUMMYFUNCTION("""COMPUTED_VALUE"""),"Jakarta Timur")</f>
        <v>Jakarta Timur</v>
      </c>
      <c r="E558" s="12">
        <f ca="1">IFERROR(__xludf.DUMMYFUNCTION("""COMPUTED_VALUE"""),43012)</f>
        <v>43012</v>
      </c>
      <c r="F558" t="str">
        <f ca="1">IFERROR(__xludf.DUMMYFUNCTION("""COMPUTED_VALUE"""),"KP0350CF")</f>
        <v>KP0350CF</v>
      </c>
      <c r="G558" s="11">
        <f ca="1">IFERROR(__xludf.DUMMYFUNCTION("""COMPUTED_VALUE"""),245000000)</f>
        <v>245000000</v>
      </c>
      <c r="H558">
        <f ca="1">IFERROR(__xludf.DUMMYFUNCTION("""COMPUTED_VALUE"""),36086)</f>
        <v>36086</v>
      </c>
      <c r="I558">
        <f ca="1">IFERROR(__xludf.DUMMYFUNCTION("""COMPUTED_VALUE"""),7)</f>
        <v>7</v>
      </c>
      <c r="J558">
        <f ca="1">IFERROR(__xludf.DUMMYFUNCTION("""COMPUTED_VALUE"""),4)</f>
        <v>4</v>
      </c>
      <c r="K558" t="str">
        <f ca="1">IFERROR(__xludf.DUMMYFUNCTION("""COMPUTED_VALUE"""),"Wakanda Express")</f>
        <v>Wakanda Express</v>
      </c>
      <c r="L558" t="str">
        <f ca="1">IFERROR(__xludf.DUMMYFUNCTION("""COMPUTED_VALUE"""),"Y")</f>
        <v>Y</v>
      </c>
      <c r="M558" t="str">
        <f ca="1">IFERROR(__xludf.DUMMYFUNCTION("""COMPUTED_VALUE"""),"to-333")</f>
        <v>to-333</v>
      </c>
    </row>
    <row r="559" spans="1:13" ht="12.5" x14ac:dyDescent="0.25">
      <c r="A559" t="str">
        <f ca="1">IFERROR(__xludf.DUMMYFUNCTION("""COMPUTED_VALUE"""),"Darmadi")</f>
        <v>Darmadi</v>
      </c>
      <c r="B559" t="str">
        <f ca="1">IFERROR(__xludf.DUMMYFUNCTION("""COMPUTED_VALUE"""),"Carl")</f>
        <v>Carl</v>
      </c>
      <c r="C559" t="str">
        <f ca="1">IFERROR(__xludf.DUMMYFUNCTION("""COMPUTED_VALUE"""),"Carl@ymailx.com")</f>
        <v>Carl@ymailx.com</v>
      </c>
      <c r="D559" t="str">
        <f ca="1">IFERROR(__xludf.DUMMYFUNCTION("""COMPUTED_VALUE"""),"Bitung")</f>
        <v>Bitung</v>
      </c>
      <c r="E559" s="12">
        <f ca="1">IFERROR(__xludf.DUMMYFUNCTION("""COMPUTED_VALUE"""),42951)</f>
        <v>42951</v>
      </c>
      <c r="F559" t="str">
        <f ca="1">IFERROR(__xludf.DUMMYFUNCTION("""COMPUTED_VALUE"""),"KP0625AF")</f>
        <v>KP0625AF</v>
      </c>
      <c r="G559" s="11">
        <f ca="1">IFERROR(__xludf.DUMMYFUNCTION("""COMPUTED_VALUE"""),48000000)</f>
        <v>48000000</v>
      </c>
      <c r="H559">
        <f ca="1">IFERROR(__xludf.DUMMYFUNCTION("""COMPUTED_VALUE"""),35475)</f>
        <v>35475</v>
      </c>
      <c r="I559">
        <f ca="1">IFERROR(__xludf.DUMMYFUNCTION("""COMPUTED_VALUE"""),4)</f>
        <v>4</v>
      </c>
      <c r="J559">
        <f ca="1">IFERROR(__xludf.DUMMYFUNCTION("""COMPUTED_VALUE"""),4)</f>
        <v>4</v>
      </c>
      <c r="K559" t="str">
        <f ca="1">IFERROR(__xludf.DUMMYFUNCTION("""COMPUTED_VALUE"""),"Swift Delivery")</f>
        <v>Swift Delivery</v>
      </c>
      <c r="L559" t="str">
        <f ca="1">IFERROR(__xludf.DUMMYFUNCTION("""COMPUTED_VALUE"""),"Y")</f>
        <v>Y</v>
      </c>
      <c r="M559" t="str">
        <f ca="1">IFERROR(__xludf.DUMMYFUNCTION("""COMPUTED_VALUE"""),"iu-221")</f>
        <v>iu-221</v>
      </c>
    </row>
    <row r="560" spans="1:13" ht="12.5" x14ac:dyDescent="0.25">
      <c r="A560" t="str">
        <f ca="1">IFERROR(__xludf.DUMMYFUNCTION("""COMPUTED_VALUE"""),"American")</f>
        <v>American</v>
      </c>
      <c r="B560" t="str">
        <f ca="1">IFERROR(__xludf.DUMMYFUNCTION("""COMPUTED_VALUE"""),"Rachman")</f>
        <v>Rachman</v>
      </c>
      <c r="C560" t="str">
        <f ca="1">IFERROR(__xludf.DUMMYFUNCTION("""COMPUTED_VALUE"""),"American@gmailx.com")</f>
        <v>American@gmailx.com</v>
      </c>
      <c r="D560" t="str">
        <f ca="1">IFERROR(__xludf.DUMMYFUNCTION("""COMPUTED_VALUE"""),"Ternate")</f>
        <v>Ternate</v>
      </c>
      <c r="E560" s="12">
        <f ca="1">IFERROR(__xludf.DUMMYFUNCTION("""COMPUTED_VALUE"""),42920)</f>
        <v>42920</v>
      </c>
      <c r="F560" t="str">
        <f ca="1">IFERROR(__xludf.DUMMYFUNCTION("""COMPUTED_VALUE"""),"KP0750AJ")</f>
        <v>KP0750AJ</v>
      </c>
      <c r="G560" s="11">
        <f ca="1">IFERROR(__xludf.DUMMYFUNCTION("""COMPUTED_VALUE"""),180000000)</f>
        <v>180000000</v>
      </c>
      <c r="H560">
        <f ca="1">IFERROR(__xludf.DUMMYFUNCTION("""COMPUTED_VALUE"""),36491)</f>
        <v>36491</v>
      </c>
      <c r="I560">
        <f ca="1">IFERROR(__xludf.DUMMYFUNCTION("""COMPUTED_VALUE"""),10)</f>
        <v>10</v>
      </c>
      <c r="J560">
        <f ca="1">IFERROR(__xludf.DUMMYFUNCTION("""COMPUTED_VALUE"""),2)</f>
        <v>2</v>
      </c>
      <c r="K560" t="str">
        <f ca="1">IFERROR(__xludf.DUMMYFUNCTION("""COMPUTED_VALUE"""),"Swift Delivery")</f>
        <v>Swift Delivery</v>
      </c>
      <c r="L560" t="str">
        <f ca="1">IFERROR(__xludf.DUMMYFUNCTION("""COMPUTED_VALUE"""),"Y")</f>
        <v>Y</v>
      </c>
      <c r="M560" t="str">
        <f ca="1">IFERROR(__xludf.DUMMYFUNCTION("""COMPUTED_VALUE"""),"pb-160")</f>
        <v>pb-160</v>
      </c>
    </row>
    <row r="561" spans="1:13" ht="12.5" x14ac:dyDescent="0.25">
      <c r="A561" t="str">
        <f ca="1">IFERROR(__xludf.DUMMYFUNCTION("""COMPUTED_VALUE"""),"Meridian")</f>
        <v>Meridian</v>
      </c>
      <c r="B561" t="str">
        <f ca="1">IFERROR(__xludf.DUMMYFUNCTION("""COMPUTED_VALUE"""),"Winata")</f>
        <v>Winata</v>
      </c>
      <c r="C561" t="str">
        <f ca="1">IFERROR(__xludf.DUMMYFUNCTION("""COMPUTED_VALUE"""),"Meridian@ymailx.com")</f>
        <v>Meridian@ymailx.com</v>
      </c>
      <c r="D561" t="str">
        <f ca="1">IFERROR(__xludf.DUMMYFUNCTION("""COMPUTED_VALUE"""),"Lubuklinggau")</f>
        <v>Lubuklinggau</v>
      </c>
      <c r="E561" s="12">
        <f ca="1">IFERROR(__xludf.DUMMYFUNCTION("""COMPUTED_VALUE"""),42829)</f>
        <v>42829</v>
      </c>
      <c r="F561" t="str">
        <f ca="1">IFERROR(__xludf.DUMMYFUNCTION("""COMPUTED_VALUE"""),"KP0750AJ")</f>
        <v>KP0750AJ</v>
      </c>
      <c r="G561" s="11">
        <f ca="1">IFERROR(__xludf.DUMMYFUNCTION("""COMPUTED_VALUE"""),108000000)</f>
        <v>108000000</v>
      </c>
      <c r="H561">
        <f ca="1">IFERROR(__xludf.DUMMYFUNCTION("""COMPUTED_VALUE"""),35437)</f>
        <v>35437</v>
      </c>
      <c r="I561">
        <f ca="1">IFERROR(__xludf.DUMMYFUNCTION("""COMPUTED_VALUE"""),6)</f>
        <v>6</v>
      </c>
      <c r="J561">
        <f ca="1">IFERROR(__xludf.DUMMYFUNCTION("""COMPUTED_VALUE"""),2)</f>
        <v>2</v>
      </c>
      <c r="K561" t="str">
        <f ca="1">IFERROR(__xludf.DUMMYFUNCTION("""COMPUTED_VALUE"""),"Swift Delivery")</f>
        <v>Swift Delivery</v>
      </c>
      <c r="L561" t="str">
        <f ca="1">IFERROR(__xludf.DUMMYFUNCTION("""COMPUTED_VALUE"""),"Y")</f>
        <v>Y</v>
      </c>
      <c r="M561" t="str">
        <f ca="1">IFERROR(__xludf.DUMMYFUNCTION("""COMPUTED_VALUE"""),"zf-661")</f>
        <v>zf-661</v>
      </c>
    </row>
    <row r="562" spans="1:13" ht="12.5" x14ac:dyDescent="0.25">
      <c r="A562" t="str">
        <f ca="1">IFERROR(__xludf.DUMMYFUNCTION("""COMPUTED_VALUE"""),"Fifi")</f>
        <v>Fifi</v>
      </c>
      <c r="B562" t="str">
        <f ca="1">IFERROR(__xludf.DUMMYFUNCTION("""COMPUTED_VALUE"""),"Yangrikho")</f>
        <v>Yangrikho</v>
      </c>
      <c r="C562" t="str">
        <f ca="1">IFERROR(__xludf.DUMMYFUNCTION("""COMPUTED_VALUE"""),"FIFI@outlookx.com")</f>
        <v>FIFI@outlookx.com</v>
      </c>
      <c r="D562" t="str">
        <f ca="1">IFERROR(__xludf.DUMMYFUNCTION("""COMPUTED_VALUE"""),"Jambi")</f>
        <v>Jambi</v>
      </c>
      <c r="E562" s="12">
        <f ca="1">IFERROR(__xludf.DUMMYFUNCTION("""COMPUTED_VALUE"""),42829)</f>
        <v>42829</v>
      </c>
      <c r="F562" t="str">
        <f ca="1">IFERROR(__xludf.DUMMYFUNCTION("""COMPUTED_VALUE"""),"KP0625AF")</f>
        <v>KP0625AF</v>
      </c>
      <c r="G562" s="11">
        <f ca="1">IFERROR(__xludf.DUMMYFUNCTION("""COMPUTED_VALUE"""),108000000)</f>
        <v>108000000</v>
      </c>
      <c r="H562">
        <f ca="1">IFERROR(__xludf.DUMMYFUNCTION("""COMPUTED_VALUE"""),36969)</f>
        <v>36969</v>
      </c>
      <c r="I562">
        <f ca="1">IFERROR(__xludf.DUMMYFUNCTION("""COMPUTED_VALUE"""),9)</f>
        <v>9</v>
      </c>
      <c r="J562">
        <f ca="1">IFERROR(__xludf.DUMMYFUNCTION("""COMPUTED_VALUE"""),5)</f>
        <v>5</v>
      </c>
      <c r="K562" t="str">
        <f ca="1">IFERROR(__xludf.DUMMYFUNCTION("""COMPUTED_VALUE"""),"Swift Delivery")</f>
        <v>Swift Delivery</v>
      </c>
      <c r="L562" t="str">
        <f ca="1">IFERROR(__xludf.DUMMYFUNCTION("""COMPUTED_VALUE"""),"Y")</f>
        <v>Y</v>
      </c>
      <c r="M562" t="str">
        <f ca="1">IFERROR(__xludf.DUMMYFUNCTION("""COMPUTED_VALUE"""),"on-512")</f>
        <v>on-512</v>
      </c>
    </row>
    <row r="563" spans="1:13" ht="12.5" x14ac:dyDescent="0.25">
      <c r="A563" t="str">
        <f ca="1">IFERROR(__xludf.DUMMYFUNCTION("""COMPUTED_VALUE"""),"Adhi")</f>
        <v>Adhi</v>
      </c>
      <c r="B563" t="str">
        <f ca="1">IFERROR(__xludf.DUMMYFUNCTION("""COMPUTED_VALUE"""),"Endranto")</f>
        <v>Endranto</v>
      </c>
      <c r="C563" t="str">
        <f ca="1">IFERROR(__xludf.DUMMYFUNCTION("""COMPUTED_VALUE"""),"Adhi@gmailx.com")</f>
        <v>Adhi@gmailx.com</v>
      </c>
      <c r="D563" t="str">
        <f ca="1">IFERROR(__xludf.DUMMYFUNCTION("""COMPUTED_VALUE"""),"Mataram")</f>
        <v>Mataram</v>
      </c>
      <c r="E563" s="12">
        <f ca="1">IFERROR(__xludf.DUMMYFUNCTION("""COMPUTED_VALUE"""),42798)</f>
        <v>42798</v>
      </c>
      <c r="F563" t="str">
        <f ca="1">IFERROR(__xludf.DUMMYFUNCTION("""COMPUTED_VALUE"""),"KP0425CB")</f>
        <v>KP0425CB</v>
      </c>
      <c r="G563" s="11">
        <f ca="1">IFERROR(__xludf.DUMMYFUNCTION("""COMPUTED_VALUE"""),272500000)</f>
        <v>272500000</v>
      </c>
      <c r="H563">
        <f ca="1">IFERROR(__xludf.DUMMYFUNCTION("""COMPUTED_VALUE"""),36170)</f>
        <v>36170</v>
      </c>
      <c r="I563">
        <f ca="1">IFERROR(__xludf.DUMMYFUNCTION("""COMPUTED_VALUE"""),10)</f>
        <v>10</v>
      </c>
      <c r="J563" t="str">
        <f ca="1">IFERROR(__xludf.DUMMYFUNCTION("""COMPUTED_VALUE"""),"N/A")</f>
        <v>N/A</v>
      </c>
      <c r="K563" t="str">
        <f ca="1">IFERROR(__xludf.DUMMYFUNCTION("""COMPUTED_VALUE"""),"JENT")</f>
        <v>JENT</v>
      </c>
      <c r="L563" t="str">
        <f ca="1">IFERROR(__xludf.DUMMYFUNCTION("""COMPUTED_VALUE"""),"Y")</f>
        <v>Y</v>
      </c>
      <c r="M563" t="str">
        <f ca="1">IFERROR(__xludf.DUMMYFUNCTION("""COMPUTED_VALUE"""),"ku-183")</f>
        <v>ku-183</v>
      </c>
    </row>
    <row r="564" spans="1:13" ht="12.5" x14ac:dyDescent="0.25">
      <c r="A564" t="str">
        <f ca="1">IFERROR(__xludf.DUMMYFUNCTION("""COMPUTED_VALUE"""),"Inayat")</f>
        <v>Inayat</v>
      </c>
      <c r="B564" t="str">
        <f ca="1">IFERROR(__xludf.DUMMYFUNCTION("""COMPUTED_VALUE"""),"Sugiono")</f>
        <v>Sugiono</v>
      </c>
      <c r="C564" t="str">
        <f ca="1">IFERROR(__xludf.DUMMYFUNCTION("""COMPUTED_VALUE"""),"Sugiono@ymailx.com")</f>
        <v>Sugiono@ymailx.com</v>
      </c>
      <c r="D564" t="str">
        <f ca="1">IFERROR(__xludf.DUMMYFUNCTION("""COMPUTED_VALUE"""),"Gorontalo")</f>
        <v>Gorontalo</v>
      </c>
      <c r="E564" s="12">
        <f ca="1">IFERROR(__xludf.DUMMYFUNCTION("""COMPUTED_VALUE"""),42798)</f>
        <v>42798</v>
      </c>
      <c r="F564" t="str">
        <f ca="1">IFERROR(__xludf.DUMMYFUNCTION("""COMPUTED_VALUE"""),"KP0050AG")</f>
        <v>KP0050AG</v>
      </c>
      <c r="G564" s="11">
        <f ca="1">IFERROR(__xludf.DUMMYFUNCTION("""COMPUTED_VALUE"""),32500000)</f>
        <v>32500000</v>
      </c>
      <c r="H564">
        <f ca="1">IFERROR(__xludf.DUMMYFUNCTION("""COMPUTED_VALUE"""),36985)</f>
        <v>36985</v>
      </c>
      <c r="I564">
        <f ca="1">IFERROR(__xludf.DUMMYFUNCTION("""COMPUTED_VALUE"""),2)</f>
        <v>2</v>
      </c>
      <c r="J564" t="str">
        <f ca="1">IFERROR(__xludf.DUMMYFUNCTION("""COMPUTED_VALUE"""),"N/A")</f>
        <v>N/A</v>
      </c>
      <c r="K564" t="str">
        <f ca="1">IFERROR(__xludf.DUMMYFUNCTION("""COMPUTED_VALUE"""),"JENT")</f>
        <v>JENT</v>
      </c>
      <c r="L564" t="str">
        <f ca="1">IFERROR(__xludf.DUMMYFUNCTION("""COMPUTED_VALUE"""),"Y")</f>
        <v>Y</v>
      </c>
      <c r="M564" t="str">
        <f ca="1">IFERROR(__xludf.DUMMYFUNCTION("""COMPUTED_VALUE"""),"yl-983")</f>
        <v>yl-983</v>
      </c>
    </row>
    <row r="565" spans="1:13" ht="12.5" x14ac:dyDescent="0.25">
      <c r="A565" t="str">
        <f ca="1">IFERROR(__xludf.DUMMYFUNCTION("""COMPUTED_VALUE"""),"Diana")</f>
        <v>Diana</v>
      </c>
      <c r="B565" t="str">
        <f ca="1">IFERROR(__xludf.DUMMYFUNCTION("""COMPUTED_VALUE"""),"Ramchand")</f>
        <v>Ramchand</v>
      </c>
      <c r="C565" t="str">
        <f ca="1">IFERROR(__xludf.DUMMYFUNCTION("""COMPUTED_VALUE"""),"Ramchand@outlookx.com")</f>
        <v>Ramchand@outlookx.com</v>
      </c>
      <c r="D565" t="str">
        <f ca="1">IFERROR(__xludf.DUMMYFUNCTION("""COMPUTED_VALUE"""),"Jayapura")</f>
        <v>Jayapura</v>
      </c>
      <c r="E565" s="12">
        <f ca="1">IFERROR(__xludf.DUMMYFUNCTION("""COMPUTED_VALUE"""),42798)</f>
        <v>42798</v>
      </c>
      <c r="F565" t="str">
        <f ca="1">IFERROR(__xludf.DUMMYFUNCTION("""COMPUTED_VALUE"""),"KP0925SG")</f>
        <v>KP0925SG</v>
      </c>
      <c r="G565" s="11">
        <f ca="1">IFERROR(__xludf.DUMMYFUNCTION("""COMPUTED_VALUE"""),90000000)</f>
        <v>90000000</v>
      </c>
      <c r="H565">
        <f ca="1">IFERROR(__xludf.DUMMYFUNCTION("""COMPUTED_VALUE"""),35091)</f>
        <v>35091</v>
      </c>
      <c r="I565">
        <f ca="1">IFERROR(__xludf.DUMMYFUNCTION("""COMPUTED_VALUE"""),6)</f>
        <v>6</v>
      </c>
      <c r="J565">
        <f ca="1">IFERROR(__xludf.DUMMYFUNCTION("""COMPUTED_VALUE"""),4)</f>
        <v>4</v>
      </c>
      <c r="K565" t="str">
        <f ca="1">IFERROR(__xludf.DUMMYFUNCTION("""COMPUTED_VALUE"""),"JENT")</f>
        <v>JENT</v>
      </c>
      <c r="L565" t="str">
        <f ca="1">IFERROR(__xludf.DUMMYFUNCTION("""COMPUTED_VALUE"""),"Y")</f>
        <v>Y</v>
      </c>
      <c r="M565" t="str">
        <f ca="1">IFERROR(__xludf.DUMMYFUNCTION("""COMPUTED_VALUE"""),"gj-990")</f>
        <v>gj-990</v>
      </c>
    </row>
    <row r="566" spans="1:13" ht="12.5" x14ac:dyDescent="0.25">
      <c r="A566" t="str">
        <f ca="1">IFERROR(__xludf.DUMMYFUNCTION("""COMPUTED_VALUE"""),"Ateng")</f>
        <v>Ateng</v>
      </c>
      <c r="B566" t="str">
        <f ca="1">IFERROR(__xludf.DUMMYFUNCTION("""COMPUTED_VALUE"""),"C.")</f>
        <v>C.</v>
      </c>
      <c r="C566" t="str">
        <f ca="1">IFERROR(__xludf.DUMMYFUNCTION("""COMPUTED_VALUE"""),"Ateng@ymailx.com")</f>
        <v>Ateng@ymailx.com</v>
      </c>
      <c r="D566" t="str">
        <f ca="1">IFERROR(__xludf.DUMMYFUNCTION("""COMPUTED_VALUE"""),"Kediri")</f>
        <v>Kediri</v>
      </c>
      <c r="E566" s="12">
        <f ca="1">IFERROR(__xludf.DUMMYFUNCTION("""COMPUTED_VALUE"""),42770)</f>
        <v>42770</v>
      </c>
      <c r="F566" t="str">
        <f ca="1">IFERROR(__xludf.DUMMYFUNCTION("""COMPUTED_VALUE"""),"KP0925SG")</f>
        <v>KP0925SG</v>
      </c>
      <c r="G566" s="11">
        <f ca="1">IFERROR(__xludf.DUMMYFUNCTION("""COMPUTED_VALUE"""),60000000)</f>
        <v>60000000</v>
      </c>
      <c r="H566">
        <f ca="1">IFERROR(__xludf.DUMMYFUNCTION("""COMPUTED_VALUE"""),35491)</f>
        <v>35491</v>
      </c>
      <c r="I566">
        <f ca="1">IFERROR(__xludf.DUMMYFUNCTION("""COMPUTED_VALUE"""),4)</f>
        <v>4</v>
      </c>
      <c r="J566" t="str">
        <f ca="1">IFERROR(__xludf.DUMMYFUNCTION("""COMPUTED_VALUE"""),"N/A")</f>
        <v>N/A</v>
      </c>
      <c r="K566" t="str">
        <f ca="1">IFERROR(__xludf.DUMMYFUNCTION("""COMPUTED_VALUE"""),"JENT")</f>
        <v>JENT</v>
      </c>
      <c r="L566" t="str">
        <f ca="1">IFERROR(__xludf.DUMMYFUNCTION("""COMPUTED_VALUE"""),"Y")</f>
        <v>Y</v>
      </c>
      <c r="M566" t="str">
        <f ca="1">IFERROR(__xludf.DUMMYFUNCTION("""COMPUTED_VALUE"""),"bs-123")</f>
        <v>bs-123</v>
      </c>
    </row>
    <row r="567" spans="1:13" ht="12.5" x14ac:dyDescent="0.25">
      <c r="A567" t="str">
        <f ca="1">IFERROR(__xludf.DUMMYFUNCTION("""COMPUTED_VALUE"""),"Go")</f>
        <v>Go</v>
      </c>
      <c r="B567" t="str">
        <f ca="1">IFERROR(__xludf.DUMMYFUNCTION("""COMPUTED_VALUE"""),"Sampoerna")</f>
        <v>Sampoerna</v>
      </c>
      <c r="C567" t="str">
        <f ca="1">IFERROR(__xludf.DUMMYFUNCTION("""COMPUTED_VALUE"""),"Sampoerna@gmailx.com")</f>
        <v>Sampoerna@gmailx.com</v>
      </c>
      <c r="D567" t="str">
        <f ca="1">IFERROR(__xludf.DUMMYFUNCTION("""COMPUTED_VALUE"""),"Meulaboh")</f>
        <v>Meulaboh</v>
      </c>
      <c r="E567" s="12">
        <f ca="1">IFERROR(__xludf.DUMMYFUNCTION("""COMPUTED_VALUE"""),42739)</f>
        <v>42739</v>
      </c>
      <c r="F567" t="str">
        <f ca="1">IFERROR(__xludf.DUMMYFUNCTION("""COMPUTED_VALUE"""),"KP0925SG")</f>
        <v>KP0925SG</v>
      </c>
      <c r="G567" s="11">
        <f ca="1">IFERROR(__xludf.DUMMYFUNCTION("""COMPUTED_VALUE"""),30000000)</f>
        <v>30000000</v>
      </c>
      <c r="H567">
        <f ca="1">IFERROR(__xludf.DUMMYFUNCTION("""COMPUTED_VALUE"""),36414)</f>
        <v>36414</v>
      </c>
      <c r="I567">
        <f ca="1">IFERROR(__xludf.DUMMYFUNCTION("""COMPUTED_VALUE"""),2)</f>
        <v>2</v>
      </c>
      <c r="J567" t="str">
        <f ca="1">IFERROR(__xludf.DUMMYFUNCTION("""COMPUTED_VALUE"""),"N/A")</f>
        <v>N/A</v>
      </c>
      <c r="K567" t="str">
        <f ca="1">IFERROR(__xludf.DUMMYFUNCTION("""COMPUTED_VALUE"""),"JENT")</f>
        <v>JENT</v>
      </c>
      <c r="L567" t="str">
        <f ca="1">IFERROR(__xludf.DUMMYFUNCTION("""COMPUTED_VALUE"""),"Y")</f>
        <v>Y</v>
      </c>
      <c r="M567" t="str">
        <f ca="1">IFERROR(__xludf.DUMMYFUNCTION("""COMPUTED_VALUE"""),"yt-101")</f>
        <v>yt-101</v>
      </c>
    </row>
    <row r="568" spans="1:13" ht="12.5" x14ac:dyDescent="0.25">
      <c r="A568" t="str">
        <f ca="1">IFERROR(__xludf.DUMMYFUNCTION("""COMPUTED_VALUE"""),"Boediyanio")</f>
        <v>Boediyanio</v>
      </c>
      <c r="B568" t="str">
        <f ca="1">IFERROR(__xludf.DUMMYFUNCTION("""COMPUTED_VALUE"""),"Syafriel")</f>
        <v>Syafriel</v>
      </c>
      <c r="C568" t="str">
        <f ca="1">IFERROR(__xludf.DUMMYFUNCTION("""COMPUTED_VALUE"""),"Boediyanio@gmailx.com")</f>
        <v>Boediyanio@gmailx.com</v>
      </c>
      <c r="D568" t="str">
        <f ca="1">IFERROR(__xludf.DUMMYFUNCTION("""COMPUTED_VALUE"""),"Cimahi")</f>
        <v>Cimahi</v>
      </c>
      <c r="E568" s="12">
        <f ca="1">IFERROR(__xludf.DUMMYFUNCTION("""COMPUTED_VALUE"""),42822)</f>
        <v>42822</v>
      </c>
      <c r="F568" t="str">
        <f ca="1">IFERROR(__xludf.DUMMYFUNCTION("""COMPUTED_VALUE"""),"KP0750AJ")</f>
        <v>KP0750AJ</v>
      </c>
      <c r="G568" s="11">
        <f ca="1">IFERROR(__xludf.DUMMYFUNCTION("""COMPUTED_VALUE"""),72000000)</f>
        <v>72000000</v>
      </c>
      <c r="H568">
        <f ca="1">IFERROR(__xludf.DUMMYFUNCTION("""COMPUTED_VALUE"""),36677)</f>
        <v>36677</v>
      </c>
      <c r="I568">
        <f ca="1">IFERROR(__xludf.DUMMYFUNCTION("""COMPUTED_VALUE"""),4)</f>
        <v>4</v>
      </c>
      <c r="J568">
        <f ca="1">IFERROR(__xludf.DUMMYFUNCTION("""COMPUTED_VALUE"""),5)</f>
        <v>5</v>
      </c>
      <c r="K568" t="str">
        <f ca="1">IFERROR(__xludf.DUMMYFUNCTION("""COMPUTED_VALUE"""),"Pru Logistic")</f>
        <v>Pru Logistic</v>
      </c>
      <c r="L568" t="str">
        <f ca="1">IFERROR(__xludf.DUMMYFUNCTION("""COMPUTED_VALUE"""),"Y")</f>
        <v>Y</v>
      </c>
      <c r="M568" t="str">
        <f ca="1">IFERROR(__xludf.DUMMYFUNCTION("""COMPUTED_VALUE"""),"rw-409")</f>
        <v>rw-409</v>
      </c>
    </row>
    <row r="569" spans="1:13" ht="12.5" x14ac:dyDescent="0.25">
      <c r="A569" t="str">
        <f ca="1">IFERROR(__xludf.DUMMYFUNCTION("""COMPUTED_VALUE"""),"Anita")</f>
        <v>Anita</v>
      </c>
      <c r="B569" t="str">
        <f ca="1">IFERROR(__xludf.DUMMYFUNCTION("""COMPUTED_VALUE"""),"Ferdinandus")</f>
        <v>Ferdinandus</v>
      </c>
      <c r="C569" t="str">
        <f ca="1">IFERROR(__xludf.DUMMYFUNCTION("""COMPUTED_VALUE"""),"Anita@livex.com")</f>
        <v>Anita@livex.com</v>
      </c>
      <c r="D569" t="str">
        <f ca="1">IFERROR(__xludf.DUMMYFUNCTION("""COMPUTED_VALUE"""),"Mataram")</f>
        <v>Mataram</v>
      </c>
      <c r="E569" s="12">
        <f ca="1">IFERROR(__xludf.DUMMYFUNCTION("""COMPUTED_VALUE"""),42817)</f>
        <v>42817</v>
      </c>
      <c r="F569" t="str">
        <f ca="1">IFERROR(__xludf.DUMMYFUNCTION("""COMPUTED_VALUE"""),"KP0850FB")</f>
        <v>KP0850FB</v>
      </c>
      <c r="G569" s="11">
        <f ca="1">IFERROR(__xludf.DUMMYFUNCTION("""COMPUTED_VALUE"""),105000000)</f>
        <v>105000000</v>
      </c>
      <c r="H569">
        <f ca="1">IFERROR(__xludf.DUMMYFUNCTION("""COMPUTED_VALUE"""),36797)</f>
        <v>36797</v>
      </c>
      <c r="I569">
        <f ca="1">IFERROR(__xludf.DUMMYFUNCTION("""COMPUTED_VALUE"""),5)</f>
        <v>5</v>
      </c>
      <c r="J569" t="str">
        <f ca="1">IFERROR(__xludf.DUMMYFUNCTION("""COMPUTED_VALUE"""),"N/A")</f>
        <v>N/A</v>
      </c>
      <c r="K569" t="str">
        <f ca="1">IFERROR(__xludf.DUMMYFUNCTION("""COMPUTED_VALUE"""),"Wakanda Express")</f>
        <v>Wakanda Express</v>
      </c>
      <c r="L569" t="str">
        <f ca="1">IFERROR(__xludf.DUMMYFUNCTION("""COMPUTED_VALUE"""),"Y")</f>
        <v>Y</v>
      </c>
      <c r="M569" t="str">
        <f ca="1">IFERROR(__xludf.DUMMYFUNCTION("""COMPUTED_VALUE"""),"xe-183")</f>
        <v>xe-183</v>
      </c>
    </row>
    <row r="570" spans="1:13" ht="12.5" x14ac:dyDescent="0.25">
      <c r="A570" t="str">
        <f ca="1">IFERROR(__xludf.DUMMYFUNCTION("""COMPUTED_VALUE"""),"Lam")</f>
        <v>Lam</v>
      </c>
      <c r="B570" t="str">
        <f ca="1">IFERROR(__xludf.DUMMYFUNCTION("""COMPUTED_VALUE"""),"Hartono")</f>
        <v>Hartono</v>
      </c>
      <c r="C570" t="str">
        <f ca="1">IFERROR(__xludf.DUMMYFUNCTION("""COMPUTED_VALUE"""),"Lam@rocketmailx.com")</f>
        <v>Lam@rocketmailx.com</v>
      </c>
      <c r="D570" t="str">
        <f ca="1">IFERROR(__xludf.DUMMYFUNCTION("""COMPUTED_VALUE"""),"Palangkaraya")</f>
        <v>Palangkaraya</v>
      </c>
      <c r="E570" s="12">
        <f ca="1">IFERROR(__xludf.DUMMYFUNCTION("""COMPUTED_VALUE"""),42816)</f>
        <v>42816</v>
      </c>
      <c r="F570" t="str">
        <f ca="1">IFERROR(__xludf.DUMMYFUNCTION("""COMPUTED_VALUE"""),"KP0925SG")</f>
        <v>KP0925SG</v>
      </c>
      <c r="G570" s="11">
        <f ca="1">IFERROR(__xludf.DUMMYFUNCTION("""COMPUTED_VALUE"""),75000000)</f>
        <v>75000000</v>
      </c>
      <c r="H570">
        <f ca="1">IFERROR(__xludf.DUMMYFUNCTION("""COMPUTED_VALUE"""),35067)</f>
        <v>35067</v>
      </c>
      <c r="I570">
        <f ca="1">IFERROR(__xludf.DUMMYFUNCTION("""COMPUTED_VALUE"""),5)</f>
        <v>5</v>
      </c>
      <c r="J570">
        <f ca="1">IFERROR(__xludf.DUMMYFUNCTION("""COMPUTED_VALUE"""),4)</f>
        <v>4</v>
      </c>
      <c r="K570" t="str">
        <f ca="1">IFERROR(__xludf.DUMMYFUNCTION("""COMPUTED_VALUE"""),"JENT")</f>
        <v>JENT</v>
      </c>
      <c r="L570" t="str">
        <f ca="1">IFERROR(__xludf.DUMMYFUNCTION("""COMPUTED_VALUE"""),"Y")</f>
        <v>Y</v>
      </c>
      <c r="M570" t="str">
        <f ca="1">IFERROR(__xludf.DUMMYFUNCTION("""COMPUTED_VALUE"""),"sw-992")</f>
        <v>sw-992</v>
      </c>
    </row>
    <row r="571" spans="1:13" ht="12.5" x14ac:dyDescent="0.25">
      <c r="A571" t="str">
        <f ca="1">IFERROR(__xludf.DUMMYFUNCTION("""COMPUTED_VALUE"""),"Shuzy")</f>
        <v>Shuzy</v>
      </c>
      <c r="B571" t="str">
        <f ca="1">IFERROR(__xludf.DUMMYFUNCTION("""COMPUTED_VALUE"""),"Wiyono")</f>
        <v>Wiyono</v>
      </c>
      <c r="C571" t="str">
        <f ca="1">IFERROR(__xludf.DUMMYFUNCTION("""COMPUTED_VALUE"""),"Shuzy@rocketmailx.com")</f>
        <v>Shuzy@rocketmailx.com</v>
      </c>
      <c r="D571" t="str">
        <f ca="1">IFERROR(__xludf.DUMMYFUNCTION("""COMPUTED_VALUE"""),"Medan")</f>
        <v>Medan</v>
      </c>
      <c r="E571" s="12">
        <f ca="1">IFERROR(__xludf.DUMMYFUNCTION("""COMPUTED_VALUE"""),42814)</f>
        <v>42814</v>
      </c>
      <c r="F571" t="str">
        <f ca="1">IFERROR(__xludf.DUMMYFUNCTION("""COMPUTED_VALUE"""),"KP0850FB")</f>
        <v>KP0850FB</v>
      </c>
      <c r="G571" s="11">
        <f ca="1">IFERROR(__xludf.DUMMYFUNCTION("""COMPUTED_VALUE"""),126000000)</f>
        <v>126000000</v>
      </c>
      <c r="H571">
        <f ca="1">IFERROR(__xludf.DUMMYFUNCTION("""COMPUTED_VALUE"""),35429)</f>
        <v>35429</v>
      </c>
      <c r="I571">
        <f ca="1">IFERROR(__xludf.DUMMYFUNCTION("""COMPUTED_VALUE"""),6)</f>
        <v>6</v>
      </c>
      <c r="J571" t="str">
        <f ca="1">IFERROR(__xludf.DUMMYFUNCTION("""COMPUTED_VALUE"""),"N/A")</f>
        <v>N/A</v>
      </c>
      <c r="K571" t="str">
        <f ca="1">IFERROR(__xludf.DUMMYFUNCTION("""COMPUTED_VALUE"""),"JENT")</f>
        <v>JENT</v>
      </c>
      <c r="L571" t="str">
        <f ca="1">IFERROR(__xludf.DUMMYFUNCTION("""COMPUTED_VALUE"""),"N")</f>
        <v>N</v>
      </c>
      <c r="M571" t="str">
        <f ca="1">IFERROR(__xludf.DUMMYFUNCTION("""COMPUTED_VALUE"""),"fw-662")</f>
        <v>fw-662</v>
      </c>
    </row>
    <row r="572" spans="1:13" ht="12.5" x14ac:dyDescent="0.25">
      <c r="A572" t="str">
        <f ca="1">IFERROR(__xludf.DUMMYFUNCTION("""COMPUTED_VALUE"""),"Dino")</f>
        <v>Dino</v>
      </c>
      <c r="B572" t="str">
        <f ca="1">IFERROR(__xludf.DUMMYFUNCTION("""COMPUTED_VALUE"""),"Pudjiwati")</f>
        <v>Pudjiwati</v>
      </c>
      <c r="C572" t="str">
        <f ca="1">IFERROR(__xludf.DUMMYFUNCTION("""COMPUTED_VALUE"""),"Dino@gmailx.com")</f>
        <v>Dino@gmailx.com</v>
      </c>
      <c r="D572" t="str">
        <f ca="1">IFERROR(__xludf.DUMMYFUNCTION("""COMPUTED_VALUE"""),"Pekalongan")</f>
        <v>Pekalongan</v>
      </c>
      <c r="E572" s="12">
        <f ca="1">IFERROR(__xludf.DUMMYFUNCTION("""COMPUTED_VALUE"""),42814)</f>
        <v>42814</v>
      </c>
      <c r="F572" t="str">
        <f ca="1">IFERROR(__xludf.DUMMYFUNCTION("""COMPUTED_VALUE"""),"KP0750AJ")</f>
        <v>KP0750AJ</v>
      </c>
      <c r="G572" s="11">
        <f ca="1">IFERROR(__xludf.DUMMYFUNCTION("""COMPUTED_VALUE"""),72000000)</f>
        <v>72000000</v>
      </c>
      <c r="H572">
        <f ca="1">IFERROR(__xludf.DUMMYFUNCTION("""COMPUTED_VALUE"""),36556)</f>
        <v>36556</v>
      </c>
      <c r="I572">
        <f ca="1">IFERROR(__xludf.DUMMYFUNCTION("""COMPUTED_VALUE"""),4)</f>
        <v>4</v>
      </c>
      <c r="J572" t="str">
        <f ca="1">IFERROR(__xludf.DUMMYFUNCTION("""COMPUTED_VALUE"""),"N/A")</f>
        <v>N/A</v>
      </c>
      <c r="K572" t="str">
        <f ca="1">IFERROR(__xludf.DUMMYFUNCTION("""COMPUTED_VALUE"""),"Swift Delivery")</f>
        <v>Swift Delivery</v>
      </c>
      <c r="L572" t="str">
        <f ca="1">IFERROR(__xludf.DUMMYFUNCTION("""COMPUTED_VALUE"""),"Y")</f>
        <v>Y</v>
      </c>
      <c r="M572" t="str">
        <f ca="1">IFERROR(__xludf.DUMMYFUNCTION("""COMPUTED_VALUE"""),"ls-410")</f>
        <v>ls-410</v>
      </c>
    </row>
    <row r="573" spans="1:13" ht="12.5" x14ac:dyDescent="0.25">
      <c r="A573" t="str">
        <f ca="1">IFERROR(__xludf.DUMMYFUNCTION("""COMPUTED_VALUE"""),"Pujiastuti")</f>
        <v>Pujiastuti</v>
      </c>
      <c r="B573" t="str">
        <f ca="1">IFERROR(__xludf.DUMMYFUNCTION("""COMPUTED_VALUE"""),"Indra")</f>
        <v>Indra</v>
      </c>
      <c r="C573" t="str">
        <f ca="1">IFERROR(__xludf.DUMMYFUNCTION("""COMPUTED_VALUE"""),"Pujiastuti@mex.com")</f>
        <v>Pujiastuti@mex.com</v>
      </c>
      <c r="D573" t="str">
        <f ca="1">IFERROR(__xludf.DUMMYFUNCTION("""COMPUTED_VALUE"""),"Semarang")</f>
        <v>Semarang</v>
      </c>
      <c r="E573" s="12">
        <f ca="1">IFERROR(__xludf.DUMMYFUNCTION("""COMPUTED_VALUE"""),42811)</f>
        <v>42811</v>
      </c>
      <c r="F573" t="str">
        <f ca="1">IFERROR(__xludf.DUMMYFUNCTION("""COMPUTED_VALUE"""),"KP0625AF")</f>
        <v>KP0625AF</v>
      </c>
      <c r="G573" s="11">
        <f ca="1">IFERROR(__xludf.DUMMYFUNCTION("""COMPUTED_VALUE"""),120000000)</f>
        <v>120000000</v>
      </c>
      <c r="H573">
        <f ca="1">IFERROR(__xludf.DUMMYFUNCTION("""COMPUTED_VALUE"""),36196)</f>
        <v>36196</v>
      </c>
      <c r="I573">
        <f ca="1">IFERROR(__xludf.DUMMYFUNCTION("""COMPUTED_VALUE"""),10)</f>
        <v>10</v>
      </c>
      <c r="J573" t="str">
        <f ca="1">IFERROR(__xludf.DUMMYFUNCTION("""COMPUTED_VALUE"""),"N/A")</f>
        <v>N/A</v>
      </c>
      <c r="K573" t="str">
        <f ca="1">IFERROR(__xludf.DUMMYFUNCTION("""COMPUTED_VALUE"""),"JENT")</f>
        <v>JENT</v>
      </c>
      <c r="L573" t="str">
        <f ca="1">IFERROR(__xludf.DUMMYFUNCTION("""COMPUTED_VALUE"""),"N")</f>
        <v>N</v>
      </c>
      <c r="M573" t="str">
        <f ca="1">IFERROR(__xludf.DUMMYFUNCTION("""COMPUTED_VALUE"""),"zy-410")</f>
        <v>zy-410</v>
      </c>
    </row>
    <row r="574" spans="1:13" ht="12.5" x14ac:dyDescent="0.25">
      <c r="A574" t="str">
        <f ca="1">IFERROR(__xludf.DUMMYFUNCTION("""COMPUTED_VALUE"""),"Nestor")</f>
        <v>Nestor</v>
      </c>
      <c r="B574" t="str">
        <f ca="1">IFERROR(__xludf.DUMMYFUNCTION("""COMPUTED_VALUE"""),"Jen")</f>
        <v>Jen</v>
      </c>
      <c r="C574" t="str">
        <f ca="1">IFERROR(__xludf.DUMMYFUNCTION("""COMPUTED_VALUE"""),"Nestor@ymailx.com")</f>
        <v>Nestor@ymailx.com</v>
      </c>
      <c r="D574" t="str">
        <f ca="1">IFERROR(__xludf.DUMMYFUNCTION("""COMPUTED_VALUE"""),"Jakarta Pusat")</f>
        <v>Jakarta Pusat</v>
      </c>
      <c r="E574" s="12">
        <f ca="1">IFERROR(__xludf.DUMMYFUNCTION("""COMPUTED_VALUE"""),42811)</f>
        <v>42811</v>
      </c>
      <c r="F574" t="str">
        <f ca="1">IFERROR(__xludf.DUMMYFUNCTION("""COMPUTED_VALUE"""),"KP0750AJ")</f>
        <v>KP0750AJ</v>
      </c>
      <c r="G574" s="11">
        <f ca="1">IFERROR(__xludf.DUMMYFUNCTION("""COMPUTED_VALUE"""),90000000)</f>
        <v>90000000</v>
      </c>
      <c r="H574">
        <f ca="1">IFERROR(__xludf.DUMMYFUNCTION("""COMPUTED_VALUE"""),35881)</f>
        <v>35881</v>
      </c>
      <c r="I574">
        <f ca="1">IFERROR(__xludf.DUMMYFUNCTION("""COMPUTED_VALUE"""),5)</f>
        <v>5</v>
      </c>
      <c r="J574" t="str">
        <f ca="1">IFERROR(__xludf.DUMMYFUNCTION("""COMPUTED_VALUE"""),"N/A")</f>
        <v>N/A</v>
      </c>
      <c r="K574" t="str">
        <f ca="1">IFERROR(__xludf.DUMMYFUNCTION("""COMPUTED_VALUE"""),"JENT")</f>
        <v>JENT</v>
      </c>
      <c r="L574" t="str">
        <f ca="1">IFERROR(__xludf.DUMMYFUNCTION("""COMPUTED_VALUE"""),"N")</f>
        <v>N</v>
      </c>
      <c r="M574" t="str">
        <f ca="1">IFERROR(__xludf.DUMMYFUNCTION("""COMPUTED_VALUE"""),"vh-333")</f>
        <v>vh-333</v>
      </c>
    </row>
    <row r="575" spans="1:13" ht="12.5" x14ac:dyDescent="0.25">
      <c r="A575" t="str">
        <f ca="1">IFERROR(__xludf.DUMMYFUNCTION("""COMPUTED_VALUE"""),"Pandji")</f>
        <v>Pandji</v>
      </c>
      <c r="B575" t="str">
        <f ca="1">IFERROR(__xludf.DUMMYFUNCTION("""COMPUTED_VALUE"""),"Tanoto")</f>
        <v>Tanoto</v>
      </c>
      <c r="C575" t="str">
        <f ca="1">IFERROR(__xludf.DUMMYFUNCTION("""COMPUTED_VALUE"""),"Tanoto@livex.com")</f>
        <v>Tanoto@livex.com</v>
      </c>
      <c r="D575" t="str">
        <f ca="1">IFERROR(__xludf.DUMMYFUNCTION("""COMPUTED_VALUE"""),"Padang")</f>
        <v>Padang</v>
      </c>
      <c r="E575" s="12">
        <f ca="1">IFERROR(__xludf.DUMMYFUNCTION("""COMPUTED_VALUE"""),42810)</f>
        <v>42810</v>
      </c>
      <c r="F575" t="str">
        <f ca="1">IFERROR(__xludf.DUMMYFUNCTION("""COMPUTED_VALUE"""),"KP0625AF")</f>
        <v>KP0625AF</v>
      </c>
      <c r="G575" s="11">
        <f ca="1">IFERROR(__xludf.DUMMYFUNCTION("""COMPUTED_VALUE"""),108000000)</f>
        <v>108000000</v>
      </c>
      <c r="H575">
        <f ca="1">IFERROR(__xludf.DUMMYFUNCTION("""COMPUTED_VALUE"""),36101)</f>
        <v>36101</v>
      </c>
      <c r="I575">
        <f ca="1">IFERROR(__xludf.DUMMYFUNCTION("""COMPUTED_VALUE"""),9)</f>
        <v>9</v>
      </c>
      <c r="J575" t="str">
        <f ca="1">IFERROR(__xludf.DUMMYFUNCTION("""COMPUTED_VALUE"""),"N/A")</f>
        <v>N/A</v>
      </c>
      <c r="K575" t="str">
        <f ca="1">IFERROR(__xludf.DUMMYFUNCTION("""COMPUTED_VALUE"""),"Wakanda Express")</f>
        <v>Wakanda Express</v>
      </c>
      <c r="L575" t="str">
        <f ca="1">IFERROR(__xludf.DUMMYFUNCTION("""COMPUTED_VALUE"""),"N")</f>
        <v>N</v>
      </c>
      <c r="M575" t="str">
        <f ca="1">IFERROR(__xludf.DUMMYFUNCTION("""COMPUTED_VALUE"""),"vg-559")</f>
        <v>vg-559</v>
      </c>
    </row>
    <row r="576" spans="1:13" ht="12.5" x14ac:dyDescent="0.25">
      <c r="A576" t="str">
        <f ca="1">IFERROR(__xludf.DUMMYFUNCTION("""COMPUTED_VALUE"""),"Kang")</f>
        <v>Kang</v>
      </c>
      <c r="B576" t="str">
        <f ca="1">IFERROR(__xludf.DUMMYFUNCTION("""COMPUTED_VALUE"""),"Ashari")</f>
        <v>Ashari</v>
      </c>
      <c r="C576" t="str">
        <f ca="1">IFERROR(__xludf.DUMMYFUNCTION("""COMPUTED_VALUE"""),"Kang@gmailx.com")</f>
        <v>Kang@gmailx.com</v>
      </c>
      <c r="D576" t="str">
        <f ca="1">IFERROR(__xludf.DUMMYFUNCTION("""COMPUTED_VALUE"""),"Makassar")</f>
        <v>Makassar</v>
      </c>
      <c r="E576" s="12">
        <f ca="1">IFERROR(__xludf.DUMMYFUNCTION("""COMPUTED_VALUE"""),42808)</f>
        <v>42808</v>
      </c>
      <c r="F576" t="str">
        <f ca="1">IFERROR(__xludf.DUMMYFUNCTION("""COMPUTED_VALUE"""),"KP0850FB")</f>
        <v>KP0850FB</v>
      </c>
      <c r="G576" s="11">
        <f ca="1">IFERROR(__xludf.DUMMYFUNCTION("""COMPUTED_VALUE"""),105000000)</f>
        <v>105000000</v>
      </c>
      <c r="H576">
        <f ca="1">IFERROR(__xludf.DUMMYFUNCTION("""COMPUTED_VALUE"""),36565)</f>
        <v>36565</v>
      </c>
      <c r="I576">
        <f ca="1">IFERROR(__xludf.DUMMYFUNCTION("""COMPUTED_VALUE"""),5)</f>
        <v>5</v>
      </c>
      <c r="J576" t="str">
        <f ca="1">IFERROR(__xludf.DUMMYFUNCTION("""COMPUTED_VALUE"""),"N/A")</f>
        <v>N/A</v>
      </c>
      <c r="K576" t="str">
        <f ca="1">IFERROR(__xludf.DUMMYFUNCTION("""COMPUTED_VALUE"""),"Cepat Kirim")</f>
        <v>Cepat Kirim</v>
      </c>
      <c r="L576" t="str">
        <f ca="1">IFERROR(__xludf.DUMMYFUNCTION("""COMPUTED_VALUE"""),"Y")</f>
        <v>Y</v>
      </c>
      <c r="M576" t="str">
        <f ca="1">IFERROR(__xludf.DUMMYFUNCTION("""COMPUTED_VALUE"""),"rh-290")</f>
        <v>rh-290</v>
      </c>
    </row>
    <row r="577" spans="1:13" ht="12.5" x14ac:dyDescent="0.25">
      <c r="A577" t="str">
        <f ca="1">IFERROR(__xludf.DUMMYFUNCTION("""COMPUTED_VALUE"""),"Singgih")</f>
        <v>Singgih</v>
      </c>
      <c r="B577" t="str">
        <f ca="1">IFERROR(__xludf.DUMMYFUNCTION("""COMPUTED_VALUE"""),"Widagdo")</f>
        <v>Widagdo</v>
      </c>
      <c r="C577" t="str">
        <f ca="1">IFERROR(__xludf.DUMMYFUNCTION("""COMPUTED_VALUE"""),"Widagdo@mex.com")</f>
        <v>Widagdo@mex.com</v>
      </c>
      <c r="D577" t="str">
        <f ca="1">IFERROR(__xludf.DUMMYFUNCTION("""COMPUTED_VALUE"""),"Batam")</f>
        <v>Batam</v>
      </c>
      <c r="E577" s="12">
        <f ca="1">IFERROR(__xludf.DUMMYFUNCTION("""COMPUTED_VALUE"""),42808)</f>
        <v>42808</v>
      </c>
      <c r="F577" t="str">
        <f ca="1">IFERROR(__xludf.DUMMYFUNCTION("""COMPUTED_VALUE"""),"KP0850FB")</f>
        <v>KP0850FB</v>
      </c>
      <c r="G577" s="11">
        <f ca="1">IFERROR(__xludf.DUMMYFUNCTION("""COMPUTED_VALUE"""),189000000)</f>
        <v>189000000</v>
      </c>
      <c r="H577">
        <f ca="1">IFERROR(__xludf.DUMMYFUNCTION("""COMPUTED_VALUE"""),35909)</f>
        <v>35909</v>
      </c>
      <c r="I577">
        <f ca="1">IFERROR(__xludf.DUMMYFUNCTION("""COMPUTED_VALUE"""),9)</f>
        <v>9</v>
      </c>
      <c r="J577">
        <f ca="1">IFERROR(__xludf.DUMMYFUNCTION("""COMPUTED_VALUE"""),3)</f>
        <v>3</v>
      </c>
      <c r="K577" t="str">
        <f ca="1">IFERROR(__xludf.DUMMYFUNCTION("""COMPUTED_VALUE"""),"Wakanda Express")</f>
        <v>Wakanda Express</v>
      </c>
      <c r="L577" t="str">
        <f ca="1">IFERROR(__xludf.DUMMYFUNCTION("""COMPUTED_VALUE"""),"N")</f>
        <v>N</v>
      </c>
      <c r="M577" t="str">
        <f ca="1">IFERROR(__xludf.DUMMYFUNCTION("""COMPUTED_VALUE"""),"hl-809")</f>
        <v>hl-809</v>
      </c>
    </row>
    <row r="578" spans="1:13" ht="12.5" x14ac:dyDescent="0.25">
      <c r="A578" t="str">
        <f ca="1">IFERROR(__xludf.DUMMYFUNCTION("""COMPUTED_VALUE"""),"Elisabet")</f>
        <v>Elisabet</v>
      </c>
      <c r="B578" t="str">
        <f ca="1">IFERROR(__xludf.DUMMYFUNCTION("""COMPUTED_VALUE"""),"Budisusetyo")</f>
        <v>Budisusetyo</v>
      </c>
      <c r="C578" t="str">
        <f ca="1">IFERROR(__xludf.DUMMYFUNCTION("""COMPUTED_VALUE"""),"Budisusetyo@icloudx.com")</f>
        <v>Budisusetyo@icloudx.com</v>
      </c>
      <c r="D578" t="str">
        <f ca="1">IFERROR(__xludf.DUMMYFUNCTION("""COMPUTED_VALUE"""),"Malang")</f>
        <v>Malang</v>
      </c>
      <c r="E578" s="12">
        <f ca="1">IFERROR(__xludf.DUMMYFUNCTION("""COMPUTED_VALUE"""),43042)</f>
        <v>43042</v>
      </c>
      <c r="F578" t="str">
        <f ca="1">IFERROR(__xludf.DUMMYFUNCTION("""COMPUTED_VALUE"""),"KP0150BH")</f>
        <v>KP0150BH</v>
      </c>
      <c r="G578" s="11">
        <f ca="1">IFERROR(__xludf.DUMMYFUNCTION("""COMPUTED_VALUE"""),216000000)</f>
        <v>216000000</v>
      </c>
      <c r="H578">
        <f ca="1">IFERROR(__xludf.DUMMYFUNCTION("""COMPUTED_VALUE"""),36592)</f>
        <v>36592</v>
      </c>
      <c r="I578">
        <f ca="1">IFERROR(__xludf.DUMMYFUNCTION("""COMPUTED_VALUE"""),8)</f>
        <v>8</v>
      </c>
      <c r="J578">
        <f ca="1">IFERROR(__xludf.DUMMYFUNCTION("""COMPUTED_VALUE"""),1)</f>
        <v>1</v>
      </c>
      <c r="K578" t="str">
        <f ca="1">IFERROR(__xludf.DUMMYFUNCTION("""COMPUTED_VALUE"""),"Wakanda Express")</f>
        <v>Wakanda Express</v>
      </c>
      <c r="L578" t="str">
        <f ca="1">IFERROR(__xludf.DUMMYFUNCTION("""COMPUTED_VALUE"""),"Y")</f>
        <v>Y</v>
      </c>
      <c r="M578" t="str">
        <f ca="1">IFERROR(__xludf.DUMMYFUNCTION("""COMPUTED_VALUE"""),"nz-123")</f>
        <v>nz-123</v>
      </c>
    </row>
    <row r="579" spans="1:13" ht="12.5" x14ac:dyDescent="0.25">
      <c r="A579" t="str">
        <f ca="1">IFERROR(__xludf.DUMMYFUNCTION("""COMPUTED_VALUE"""),"Shinta")</f>
        <v>Shinta</v>
      </c>
      <c r="B579" t="str">
        <f ca="1">IFERROR(__xludf.DUMMYFUNCTION("""COMPUTED_VALUE"""),"Winarko")</f>
        <v>Winarko</v>
      </c>
      <c r="C579" t="str">
        <f ca="1">IFERROR(__xludf.DUMMYFUNCTION("""COMPUTED_VALUE"""),"Shinta@rocketmailx.com")</f>
        <v>Shinta@rocketmailx.com</v>
      </c>
      <c r="D579" t="str">
        <f ca="1">IFERROR(__xludf.DUMMYFUNCTION("""COMPUTED_VALUE"""),"Palopo")</f>
        <v>Palopo</v>
      </c>
      <c r="E579" s="12">
        <f ca="1">IFERROR(__xludf.DUMMYFUNCTION("""COMPUTED_VALUE"""),42981)</f>
        <v>42981</v>
      </c>
      <c r="F579" t="str">
        <f ca="1">IFERROR(__xludf.DUMMYFUNCTION("""COMPUTED_VALUE"""),"KP0425CB")</f>
        <v>KP0425CB</v>
      </c>
      <c r="G579" s="11">
        <f ca="1">IFERROR(__xludf.DUMMYFUNCTION("""COMPUTED_VALUE"""),190750000)</f>
        <v>190750000</v>
      </c>
      <c r="H579">
        <f ca="1">IFERROR(__xludf.DUMMYFUNCTION("""COMPUTED_VALUE"""),36198)</f>
        <v>36198</v>
      </c>
      <c r="I579">
        <f ca="1">IFERROR(__xludf.DUMMYFUNCTION("""COMPUTED_VALUE"""),7)</f>
        <v>7</v>
      </c>
      <c r="J579">
        <f ca="1">IFERROR(__xludf.DUMMYFUNCTION("""COMPUTED_VALUE"""),1)</f>
        <v>1</v>
      </c>
      <c r="K579" t="str">
        <f ca="1">IFERROR(__xludf.DUMMYFUNCTION("""COMPUTED_VALUE"""),"JENT")</f>
        <v>JENT</v>
      </c>
      <c r="L579" t="str">
        <f ca="1">IFERROR(__xludf.DUMMYFUNCTION("""COMPUTED_VALUE"""),"N")</f>
        <v>N</v>
      </c>
      <c r="M579" t="str">
        <f ca="1">IFERROR(__xludf.DUMMYFUNCTION("""COMPUTED_VALUE"""),"go-290")</f>
        <v>go-290</v>
      </c>
    </row>
    <row r="580" spans="1:13" ht="12.5" x14ac:dyDescent="0.25">
      <c r="A580" t="str">
        <f ca="1">IFERROR(__xludf.DUMMYFUNCTION("""COMPUTED_VALUE"""),"Rachmat")</f>
        <v>Rachmat</v>
      </c>
      <c r="B580" t="str">
        <f ca="1">IFERROR(__xludf.DUMMYFUNCTION("""COMPUTED_VALUE"""),"Yanuar")</f>
        <v>Yanuar</v>
      </c>
      <c r="C580" t="str">
        <f ca="1">IFERROR(__xludf.DUMMYFUNCTION("""COMPUTED_VALUE"""),"Yanuar@mex.com")</f>
        <v>Yanuar@mex.com</v>
      </c>
      <c r="D580" t="str">
        <f ca="1">IFERROR(__xludf.DUMMYFUNCTION("""COMPUTED_VALUE"""),"Bontang")</f>
        <v>Bontang</v>
      </c>
      <c r="E580" s="12">
        <f ca="1">IFERROR(__xludf.DUMMYFUNCTION("""COMPUTED_VALUE"""),42981)</f>
        <v>42981</v>
      </c>
      <c r="F580" t="str">
        <f ca="1">IFERROR(__xludf.DUMMYFUNCTION("""COMPUTED_VALUE"""),"KP0925SG")</f>
        <v>KP0925SG</v>
      </c>
      <c r="G580" s="11">
        <f ca="1">IFERROR(__xludf.DUMMYFUNCTION("""COMPUTED_VALUE"""),90000000)</f>
        <v>90000000</v>
      </c>
      <c r="H580">
        <f ca="1">IFERROR(__xludf.DUMMYFUNCTION("""COMPUTED_VALUE"""),35917)</f>
        <v>35917</v>
      </c>
      <c r="I580">
        <f ca="1">IFERROR(__xludf.DUMMYFUNCTION("""COMPUTED_VALUE"""),6)</f>
        <v>6</v>
      </c>
      <c r="J580" t="str">
        <f ca="1">IFERROR(__xludf.DUMMYFUNCTION("""COMPUTED_VALUE"""),"N/A")</f>
        <v>N/A</v>
      </c>
      <c r="K580" t="str">
        <f ca="1">IFERROR(__xludf.DUMMYFUNCTION("""COMPUTED_VALUE"""),"Pru Logistic")</f>
        <v>Pru Logistic</v>
      </c>
      <c r="L580" t="str">
        <f ca="1">IFERROR(__xludf.DUMMYFUNCTION("""COMPUTED_VALUE"""),"N")</f>
        <v>N</v>
      </c>
      <c r="M580" t="str">
        <f ca="1">IFERROR(__xludf.DUMMYFUNCTION("""COMPUTED_VALUE"""),"io-993")</f>
        <v>io-993</v>
      </c>
    </row>
    <row r="581" spans="1:13" ht="12.5" x14ac:dyDescent="0.25">
      <c r="A581" t="str">
        <f ca="1">IFERROR(__xludf.DUMMYFUNCTION("""COMPUTED_VALUE"""),"Gan")</f>
        <v>Gan</v>
      </c>
      <c r="B581" t="str">
        <f ca="1">IFERROR(__xludf.DUMMYFUNCTION("""COMPUTED_VALUE"""),"Tijoso")</f>
        <v>Tijoso</v>
      </c>
      <c r="C581" t="str">
        <f ca="1">IFERROR(__xludf.DUMMYFUNCTION("""COMPUTED_VALUE"""),"Tijoso@ymailx.com")</f>
        <v>Tijoso@ymailx.com</v>
      </c>
      <c r="D581" t="str">
        <f ca="1">IFERROR(__xludf.DUMMYFUNCTION("""COMPUTED_VALUE"""),"Balikpapan")</f>
        <v>Balikpapan</v>
      </c>
      <c r="E581" s="12">
        <f ca="1">IFERROR(__xludf.DUMMYFUNCTION("""COMPUTED_VALUE"""),42950)</f>
        <v>42950</v>
      </c>
      <c r="F581" t="str">
        <f ca="1">IFERROR(__xludf.DUMMYFUNCTION("""COMPUTED_VALUE"""),"KP0750AJ")</f>
        <v>KP0750AJ</v>
      </c>
      <c r="G581" s="11">
        <f ca="1">IFERROR(__xludf.DUMMYFUNCTION("""COMPUTED_VALUE"""),36000000)</f>
        <v>36000000</v>
      </c>
      <c r="H581">
        <f ca="1">IFERROR(__xludf.DUMMYFUNCTION("""COMPUTED_VALUE"""),35077)</f>
        <v>35077</v>
      </c>
      <c r="I581">
        <f ca="1">IFERROR(__xludf.DUMMYFUNCTION("""COMPUTED_VALUE"""),2)</f>
        <v>2</v>
      </c>
      <c r="J581">
        <f ca="1">IFERROR(__xludf.DUMMYFUNCTION("""COMPUTED_VALUE"""),4)</f>
        <v>4</v>
      </c>
      <c r="K581" t="str">
        <f ca="1">IFERROR(__xludf.DUMMYFUNCTION("""COMPUTED_VALUE"""),"JENT")</f>
        <v>JENT</v>
      </c>
      <c r="L581" t="str">
        <f ca="1">IFERROR(__xludf.DUMMYFUNCTION("""COMPUTED_VALUE"""),"Y")</f>
        <v>Y</v>
      </c>
      <c r="M581" t="str">
        <f ca="1">IFERROR(__xludf.DUMMYFUNCTION("""COMPUTED_VALUE"""),"gt-993")</f>
        <v>gt-993</v>
      </c>
    </row>
    <row r="582" spans="1:13" ht="12.5" x14ac:dyDescent="0.25">
      <c r="A582" t="str">
        <f ca="1">IFERROR(__xludf.DUMMYFUNCTION("""COMPUTED_VALUE"""),"Henry")</f>
        <v>Henry</v>
      </c>
      <c r="B582" t="str">
        <f ca="1">IFERROR(__xludf.DUMMYFUNCTION("""COMPUTED_VALUE"""),"Tjahaja")</f>
        <v>Tjahaja</v>
      </c>
      <c r="C582" t="str">
        <f ca="1">IFERROR(__xludf.DUMMYFUNCTION("""COMPUTED_VALUE"""),"Tjahaja@ymailx.com")</f>
        <v>Tjahaja@ymailx.com</v>
      </c>
      <c r="D582" t="str">
        <f ca="1">IFERROR(__xludf.DUMMYFUNCTION("""COMPUTED_VALUE"""),"Palu")</f>
        <v>Palu</v>
      </c>
      <c r="E582" s="12">
        <f ca="1">IFERROR(__xludf.DUMMYFUNCTION("""COMPUTED_VALUE"""),42950)</f>
        <v>42950</v>
      </c>
      <c r="F582" t="str">
        <f ca="1">IFERROR(__xludf.DUMMYFUNCTION("""COMPUTED_VALUE"""),"KP0150BH")</f>
        <v>KP0150BH</v>
      </c>
      <c r="G582" s="11">
        <f ca="1">IFERROR(__xludf.DUMMYFUNCTION("""COMPUTED_VALUE"""),216000000)</f>
        <v>216000000</v>
      </c>
      <c r="H582">
        <f ca="1">IFERROR(__xludf.DUMMYFUNCTION("""COMPUTED_VALUE"""),35407)</f>
        <v>35407</v>
      </c>
      <c r="I582">
        <f ca="1">IFERROR(__xludf.DUMMYFUNCTION("""COMPUTED_VALUE"""),8)</f>
        <v>8</v>
      </c>
      <c r="J582">
        <f ca="1">IFERROR(__xludf.DUMMYFUNCTION("""COMPUTED_VALUE"""),5)</f>
        <v>5</v>
      </c>
      <c r="K582" t="str">
        <f ca="1">IFERROR(__xludf.DUMMYFUNCTION("""COMPUTED_VALUE"""),"Wakanda Express")</f>
        <v>Wakanda Express</v>
      </c>
      <c r="L582" t="str">
        <f ca="1">IFERROR(__xludf.DUMMYFUNCTION("""COMPUTED_VALUE"""),"Y")</f>
        <v>Y</v>
      </c>
      <c r="M582" t="str">
        <f ca="1">IFERROR(__xludf.DUMMYFUNCTION("""COMPUTED_VALUE"""),"im-280")</f>
        <v>im-280</v>
      </c>
    </row>
    <row r="583" spans="1:13" ht="12.5" x14ac:dyDescent="0.25">
      <c r="A583" t="str">
        <f ca="1">IFERROR(__xludf.DUMMYFUNCTION("""COMPUTED_VALUE"""),"Boelio")</f>
        <v>Boelio</v>
      </c>
      <c r="B583" t="str">
        <f ca="1">IFERROR(__xludf.DUMMYFUNCTION("""COMPUTED_VALUE"""),"Ramli")</f>
        <v>Ramli</v>
      </c>
      <c r="C583" t="str">
        <f ca="1">IFERROR(__xludf.DUMMYFUNCTION("""COMPUTED_VALUE"""),"Boelio@icloudx.com")</f>
        <v>Boelio@icloudx.com</v>
      </c>
      <c r="D583" t="str">
        <f ca="1">IFERROR(__xludf.DUMMYFUNCTION("""COMPUTED_VALUE"""),"Bogor")</f>
        <v>Bogor</v>
      </c>
      <c r="E583" s="12">
        <f ca="1">IFERROR(__xludf.DUMMYFUNCTION("""COMPUTED_VALUE"""),42919)</f>
        <v>42919</v>
      </c>
      <c r="F583" t="str">
        <f ca="1">IFERROR(__xludf.DUMMYFUNCTION("""COMPUTED_VALUE"""),"KP0625AF")</f>
        <v>KP0625AF</v>
      </c>
      <c r="G583" s="11">
        <f ca="1">IFERROR(__xludf.DUMMYFUNCTION("""COMPUTED_VALUE"""),60000000)</f>
        <v>60000000</v>
      </c>
      <c r="H583">
        <f ca="1">IFERROR(__xludf.DUMMYFUNCTION("""COMPUTED_VALUE"""),35243)</f>
        <v>35243</v>
      </c>
      <c r="I583">
        <f ca="1">IFERROR(__xludf.DUMMYFUNCTION("""COMPUTED_VALUE"""),5)</f>
        <v>5</v>
      </c>
      <c r="J583">
        <f ca="1">IFERROR(__xludf.DUMMYFUNCTION("""COMPUTED_VALUE"""),4)</f>
        <v>4</v>
      </c>
      <c r="K583" t="str">
        <f ca="1">IFERROR(__xludf.DUMMYFUNCTION("""COMPUTED_VALUE"""),"Pru Logistic")</f>
        <v>Pru Logistic</v>
      </c>
      <c r="L583" t="str">
        <f ca="1">IFERROR(__xludf.DUMMYFUNCTION("""COMPUTED_VALUE"""),"Y")</f>
        <v>Y</v>
      </c>
      <c r="M583" t="str">
        <f ca="1">IFERROR(__xludf.DUMMYFUNCTION("""COMPUTED_VALUE"""),"ur-409")</f>
        <v>ur-409</v>
      </c>
    </row>
    <row r="584" spans="1:13" ht="12.5" x14ac:dyDescent="0.25">
      <c r="A584" t="str">
        <f ca="1">IFERROR(__xludf.DUMMYFUNCTION("""COMPUTED_VALUE"""),"Crescento")</f>
        <v>Crescento</v>
      </c>
      <c r="B584" t="str">
        <f ca="1">IFERROR(__xludf.DUMMYFUNCTION("""COMPUTED_VALUE"""),"Latief")</f>
        <v>Latief</v>
      </c>
      <c r="C584" t="str">
        <f ca="1">IFERROR(__xludf.DUMMYFUNCTION("""COMPUTED_VALUE"""),"Latief@gmailx.com")</f>
        <v>Latief@gmailx.com</v>
      </c>
      <c r="D584" t="str">
        <f ca="1">IFERROR(__xludf.DUMMYFUNCTION("""COMPUTED_VALUE"""),"Tasikmalaya")</f>
        <v>Tasikmalaya</v>
      </c>
      <c r="E584" s="12">
        <f ca="1">IFERROR(__xludf.DUMMYFUNCTION("""COMPUTED_VALUE"""),42889)</f>
        <v>42889</v>
      </c>
      <c r="F584" t="str">
        <f ca="1">IFERROR(__xludf.DUMMYFUNCTION("""COMPUTED_VALUE"""),"KP0625AF")</f>
        <v>KP0625AF</v>
      </c>
      <c r="G584" s="11">
        <f ca="1">IFERROR(__xludf.DUMMYFUNCTION("""COMPUTED_VALUE"""),48000000)</f>
        <v>48000000</v>
      </c>
      <c r="H584">
        <f ca="1">IFERROR(__xludf.DUMMYFUNCTION("""COMPUTED_VALUE"""),35455)</f>
        <v>35455</v>
      </c>
      <c r="I584">
        <f ca="1">IFERROR(__xludf.DUMMYFUNCTION("""COMPUTED_VALUE"""),4)</f>
        <v>4</v>
      </c>
      <c r="J584" t="str">
        <f ca="1">IFERROR(__xludf.DUMMYFUNCTION("""COMPUTED_VALUE"""),"N/A")</f>
        <v>N/A</v>
      </c>
      <c r="K584" t="str">
        <f ca="1">IFERROR(__xludf.DUMMYFUNCTION("""COMPUTED_VALUE"""),"JENT")</f>
        <v>JENT</v>
      </c>
      <c r="L584" t="str">
        <f ca="1">IFERROR(__xludf.DUMMYFUNCTION("""COMPUTED_VALUE"""),"Y")</f>
        <v>Y</v>
      </c>
      <c r="M584" t="str">
        <f ca="1">IFERROR(__xludf.DUMMYFUNCTION("""COMPUTED_VALUE"""),"it-409")</f>
        <v>it-409</v>
      </c>
    </row>
    <row r="585" spans="1:13" ht="12.5" x14ac:dyDescent="0.25">
      <c r="A585" t="str">
        <f ca="1">IFERROR(__xludf.DUMMYFUNCTION("""COMPUTED_VALUE"""),"Go")</f>
        <v>Go</v>
      </c>
      <c r="B585" t="str">
        <f ca="1">IFERROR(__xludf.DUMMYFUNCTION("""COMPUTED_VALUE"""),"Budiman")</f>
        <v>Budiman</v>
      </c>
      <c r="C585" t="str">
        <f ca="1">IFERROR(__xludf.DUMMYFUNCTION("""COMPUTED_VALUE"""),"Budiman@gmailx.com")</f>
        <v>Budiman@gmailx.com</v>
      </c>
      <c r="D585" t="str">
        <f ca="1">IFERROR(__xludf.DUMMYFUNCTION("""COMPUTED_VALUE"""),"Bau-Bau")</f>
        <v>Bau-Bau</v>
      </c>
      <c r="E585" s="12">
        <f ca="1">IFERROR(__xludf.DUMMYFUNCTION("""COMPUTED_VALUE"""),42828)</f>
        <v>42828</v>
      </c>
      <c r="F585" t="str">
        <f ca="1">IFERROR(__xludf.DUMMYFUNCTION("""COMPUTED_VALUE"""),"KP0625AF")</f>
        <v>KP0625AF</v>
      </c>
      <c r="G585" s="11">
        <f ca="1">IFERROR(__xludf.DUMMYFUNCTION("""COMPUTED_VALUE"""),96000000)</f>
        <v>96000000</v>
      </c>
      <c r="H585">
        <f ca="1">IFERROR(__xludf.DUMMYFUNCTION("""COMPUTED_VALUE"""),36599)</f>
        <v>36599</v>
      </c>
      <c r="I585">
        <f ca="1">IFERROR(__xludf.DUMMYFUNCTION("""COMPUTED_VALUE"""),8)</f>
        <v>8</v>
      </c>
      <c r="J585" t="str">
        <f ca="1">IFERROR(__xludf.DUMMYFUNCTION("""COMPUTED_VALUE"""),"N/A")</f>
        <v>N/A</v>
      </c>
      <c r="K585" t="str">
        <f ca="1">IFERROR(__xludf.DUMMYFUNCTION("""COMPUTED_VALUE"""),"Pru Logistic")</f>
        <v>Pru Logistic</v>
      </c>
      <c r="L585" t="str">
        <f ca="1">IFERROR(__xludf.DUMMYFUNCTION("""COMPUTED_VALUE"""),"Y")</f>
        <v>Y</v>
      </c>
      <c r="M585" t="str">
        <f ca="1">IFERROR(__xludf.DUMMYFUNCTION("""COMPUTED_VALUE"""),"wy-250")</f>
        <v>wy-250</v>
      </c>
    </row>
    <row r="586" spans="1:13" ht="12.5" x14ac:dyDescent="0.25">
      <c r="A586" t="str">
        <f ca="1">IFERROR(__xludf.DUMMYFUNCTION("""COMPUTED_VALUE"""),"Indrajaty")</f>
        <v>Indrajaty</v>
      </c>
      <c r="B586" t="str">
        <f ca="1">IFERROR(__xludf.DUMMYFUNCTION("""COMPUTED_VALUE"""),"Sandjojo")</f>
        <v>Sandjojo</v>
      </c>
      <c r="C586" t="str">
        <f ca="1">IFERROR(__xludf.DUMMYFUNCTION("""COMPUTED_VALUE"""),"Sandjojo@ymailx.com")</f>
        <v>Sandjojo@ymailx.com</v>
      </c>
      <c r="D586" t="str">
        <f ca="1">IFERROR(__xludf.DUMMYFUNCTION("""COMPUTED_VALUE"""),"Purwokerto")</f>
        <v>Purwokerto</v>
      </c>
      <c r="E586" s="12">
        <f ca="1">IFERROR(__xludf.DUMMYFUNCTION("""COMPUTED_VALUE"""),42769)</f>
        <v>42769</v>
      </c>
      <c r="F586" t="str">
        <f ca="1">IFERROR(__xludf.DUMMYFUNCTION("""COMPUTED_VALUE"""),"KP0350CF")</f>
        <v>KP0350CF</v>
      </c>
      <c r="G586" s="11">
        <f ca="1">IFERROR(__xludf.DUMMYFUNCTION("""COMPUTED_VALUE"""),350000000)</f>
        <v>350000000</v>
      </c>
      <c r="H586">
        <f ca="1">IFERROR(__xludf.DUMMYFUNCTION("""COMPUTED_VALUE"""),36893)</f>
        <v>36893</v>
      </c>
      <c r="I586">
        <f ca="1">IFERROR(__xludf.DUMMYFUNCTION("""COMPUTED_VALUE"""),10)</f>
        <v>10</v>
      </c>
      <c r="J586">
        <f ca="1">IFERROR(__xludf.DUMMYFUNCTION("""COMPUTED_VALUE"""),5)</f>
        <v>5</v>
      </c>
      <c r="K586" t="str">
        <f ca="1">IFERROR(__xludf.DUMMYFUNCTION("""COMPUTED_VALUE"""),"Cepat Kirim")</f>
        <v>Cepat Kirim</v>
      </c>
      <c r="L586" t="str">
        <f ca="1">IFERROR(__xludf.DUMMYFUNCTION("""COMPUTED_VALUE"""),"Y")</f>
        <v>Y</v>
      </c>
      <c r="M586" t="str">
        <f ca="1">IFERROR(__xludf.DUMMYFUNCTION("""COMPUTED_VALUE"""),"zz-410")</f>
        <v>zz-410</v>
      </c>
    </row>
    <row r="587" spans="1:13" ht="12.5" x14ac:dyDescent="0.25">
      <c r="A587" t="str">
        <f ca="1">IFERROR(__xludf.DUMMYFUNCTION("""COMPUTED_VALUE"""),"Kirk")</f>
        <v>Kirk</v>
      </c>
      <c r="B587" t="str">
        <f ca="1">IFERROR(__xludf.DUMMYFUNCTION("""COMPUTED_VALUE"""),"Harsono")</f>
        <v>Harsono</v>
      </c>
      <c r="C587" t="str">
        <f ca="1">IFERROR(__xludf.DUMMYFUNCTION("""COMPUTED_VALUE"""),"Harsono@gmailx.com")</f>
        <v>Harsono@gmailx.com</v>
      </c>
      <c r="D587" t="str">
        <f ca="1">IFERROR(__xludf.DUMMYFUNCTION("""COMPUTED_VALUE"""),"Tomohon")</f>
        <v>Tomohon</v>
      </c>
      <c r="E587" s="12">
        <f ca="1">IFERROR(__xludf.DUMMYFUNCTION("""COMPUTED_VALUE"""),42792)</f>
        <v>42792</v>
      </c>
      <c r="F587" t="str">
        <f ca="1">IFERROR(__xludf.DUMMYFUNCTION("""COMPUTED_VALUE"""),"KP0750AJ")</f>
        <v>KP0750AJ</v>
      </c>
      <c r="G587" s="11">
        <f ca="1">IFERROR(__xludf.DUMMYFUNCTION("""COMPUTED_VALUE"""),162000000)</f>
        <v>162000000</v>
      </c>
      <c r="H587">
        <f ca="1">IFERROR(__xludf.DUMMYFUNCTION("""COMPUTED_VALUE"""),36709)</f>
        <v>36709</v>
      </c>
      <c r="I587">
        <f ca="1">IFERROR(__xludf.DUMMYFUNCTION("""COMPUTED_VALUE"""),9)</f>
        <v>9</v>
      </c>
      <c r="J587" t="str">
        <f ca="1">IFERROR(__xludf.DUMMYFUNCTION("""COMPUTED_VALUE"""),"N/A")</f>
        <v>N/A</v>
      </c>
      <c r="K587" t="str">
        <f ca="1">IFERROR(__xludf.DUMMYFUNCTION("""COMPUTED_VALUE"""),"JENT")</f>
        <v>JENT</v>
      </c>
      <c r="L587" t="str">
        <f ca="1">IFERROR(__xludf.DUMMYFUNCTION("""COMPUTED_VALUE"""),"Y")</f>
        <v>Y</v>
      </c>
      <c r="M587" t="str">
        <f ca="1">IFERROR(__xludf.DUMMYFUNCTION("""COMPUTED_VALUE"""),"ge-221")</f>
        <v>ge-221</v>
      </c>
    </row>
    <row r="588" spans="1:13" ht="12.5" x14ac:dyDescent="0.25">
      <c r="A588" t="str">
        <f ca="1">IFERROR(__xludf.DUMMYFUNCTION("""COMPUTED_VALUE"""),"Aji")</f>
        <v>Aji</v>
      </c>
      <c r="B588" t="str">
        <f ca="1">IFERROR(__xludf.DUMMYFUNCTION("""COMPUTED_VALUE"""),"Wikarsa")</f>
        <v>Wikarsa</v>
      </c>
      <c r="C588" t="str">
        <f ca="1">IFERROR(__xludf.DUMMYFUNCTION("""COMPUTED_VALUE"""),"Wikarsa@ymailx.com")</f>
        <v>Wikarsa@ymailx.com</v>
      </c>
      <c r="D588" t="str">
        <f ca="1">IFERROR(__xludf.DUMMYFUNCTION("""COMPUTED_VALUE"""),"Bukittinggi")</f>
        <v>Bukittinggi</v>
      </c>
      <c r="E588" s="12">
        <f ca="1">IFERROR(__xludf.DUMMYFUNCTION("""COMPUTED_VALUE"""),42789)</f>
        <v>42789</v>
      </c>
      <c r="F588" t="str">
        <f ca="1">IFERROR(__xludf.DUMMYFUNCTION("""COMPUTED_VALUE"""),"KP0350CF")</f>
        <v>KP0350CF</v>
      </c>
      <c r="G588" s="11">
        <f ca="1">IFERROR(__xludf.DUMMYFUNCTION("""COMPUTED_VALUE"""),70000000)</f>
        <v>70000000</v>
      </c>
      <c r="H588">
        <f ca="1">IFERROR(__xludf.DUMMYFUNCTION("""COMPUTED_VALUE"""),36609)</f>
        <v>36609</v>
      </c>
      <c r="I588">
        <f ca="1">IFERROR(__xludf.DUMMYFUNCTION("""COMPUTED_VALUE"""),2)</f>
        <v>2</v>
      </c>
      <c r="J588">
        <f ca="1">IFERROR(__xludf.DUMMYFUNCTION("""COMPUTED_VALUE"""),2)</f>
        <v>2</v>
      </c>
      <c r="K588" t="str">
        <f ca="1">IFERROR(__xludf.DUMMYFUNCTION("""COMPUTED_VALUE"""),"Swift Delivery")</f>
        <v>Swift Delivery</v>
      </c>
      <c r="L588" t="str">
        <f ca="1">IFERROR(__xludf.DUMMYFUNCTION("""COMPUTED_VALUE"""),"Y")</f>
        <v>Y</v>
      </c>
      <c r="M588" t="str">
        <f ca="1">IFERROR(__xludf.DUMMYFUNCTION("""COMPUTED_VALUE"""),"fm-559")</f>
        <v>fm-559</v>
      </c>
    </row>
    <row r="589" spans="1:13" ht="12.5" x14ac:dyDescent="0.25">
      <c r="A589" t="str">
        <f ca="1">IFERROR(__xludf.DUMMYFUNCTION("""COMPUTED_VALUE"""),"Suarmin")</f>
        <v>Suarmin</v>
      </c>
      <c r="B589" t="str">
        <f ca="1">IFERROR(__xludf.DUMMYFUNCTION("""COMPUTED_VALUE"""),"Chowdhry")</f>
        <v>Chowdhry</v>
      </c>
      <c r="C589" t="str">
        <f ca="1">IFERROR(__xludf.DUMMYFUNCTION("""COMPUTED_VALUE"""),"Suarmin@icloudx.com")</f>
        <v>Suarmin@icloudx.com</v>
      </c>
      <c r="D589" t="str">
        <f ca="1">IFERROR(__xludf.DUMMYFUNCTION("""COMPUTED_VALUE"""),"Serang")</f>
        <v>Serang</v>
      </c>
      <c r="E589" s="12">
        <f ca="1">IFERROR(__xludf.DUMMYFUNCTION("""COMPUTED_VALUE"""),42788)</f>
        <v>42788</v>
      </c>
      <c r="F589" t="str">
        <f ca="1">IFERROR(__xludf.DUMMYFUNCTION("""COMPUTED_VALUE"""),"KP0225BB")</f>
        <v>KP0225BB</v>
      </c>
      <c r="G589" s="11">
        <f ca="1">IFERROR(__xludf.DUMMYFUNCTION("""COMPUTED_VALUE"""),20000000)</f>
        <v>20000000</v>
      </c>
      <c r="H589">
        <f ca="1">IFERROR(__xludf.DUMMYFUNCTION("""COMPUTED_VALUE"""),35840)</f>
        <v>35840</v>
      </c>
      <c r="I589">
        <f ca="1">IFERROR(__xludf.DUMMYFUNCTION("""COMPUTED_VALUE"""),2)</f>
        <v>2</v>
      </c>
      <c r="J589" t="str">
        <f ca="1">IFERROR(__xludf.DUMMYFUNCTION("""COMPUTED_VALUE"""),"N/A")</f>
        <v>N/A</v>
      </c>
      <c r="K589" t="str">
        <f ca="1">IFERROR(__xludf.DUMMYFUNCTION("""COMPUTED_VALUE"""),"JENT")</f>
        <v>JENT</v>
      </c>
      <c r="L589" t="str">
        <f ca="1">IFERROR(__xludf.DUMMYFUNCTION("""COMPUTED_VALUE"""),"N")</f>
        <v>N</v>
      </c>
      <c r="M589" t="str">
        <f ca="1">IFERROR(__xludf.DUMMYFUNCTION("""COMPUTED_VALUE"""),"ih-500")</f>
        <v>ih-500</v>
      </c>
    </row>
    <row r="590" spans="1:13" ht="12.5" x14ac:dyDescent="0.25">
      <c r="A590" t="str">
        <f ca="1">IFERROR(__xludf.DUMMYFUNCTION("""COMPUTED_VALUE"""),"Evie")</f>
        <v>Evie</v>
      </c>
      <c r="B590" t="str">
        <f ca="1">IFERROR(__xludf.DUMMYFUNCTION("""COMPUTED_VALUE"""),"Wijaya")</f>
        <v>Wijaya</v>
      </c>
      <c r="C590" t="str">
        <f ca="1">IFERROR(__xludf.DUMMYFUNCTION("""COMPUTED_VALUE"""),"Evie@icloudx.com")</f>
        <v>Evie@icloudx.com</v>
      </c>
      <c r="D590" t="str">
        <f ca="1">IFERROR(__xludf.DUMMYFUNCTION("""COMPUTED_VALUE"""),"Yogyakarta")</f>
        <v>Yogyakarta</v>
      </c>
      <c r="E590" s="12">
        <f ca="1">IFERROR(__xludf.DUMMYFUNCTION("""COMPUTED_VALUE"""),42788)</f>
        <v>42788</v>
      </c>
      <c r="F590" t="str">
        <f ca="1">IFERROR(__xludf.DUMMYFUNCTION("""COMPUTED_VALUE"""),"KP0750AJ")</f>
        <v>KP0750AJ</v>
      </c>
      <c r="G590" s="11">
        <f ca="1">IFERROR(__xludf.DUMMYFUNCTION("""COMPUTED_VALUE"""),180000000)</f>
        <v>180000000</v>
      </c>
      <c r="H590">
        <f ca="1">IFERROR(__xludf.DUMMYFUNCTION("""COMPUTED_VALUE"""),35454)</f>
        <v>35454</v>
      </c>
      <c r="I590">
        <f ca="1">IFERROR(__xludf.DUMMYFUNCTION("""COMPUTED_VALUE"""),10)</f>
        <v>10</v>
      </c>
      <c r="J590">
        <f ca="1">IFERROR(__xludf.DUMMYFUNCTION("""COMPUTED_VALUE"""),4)</f>
        <v>4</v>
      </c>
      <c r="K590" t="str">
        <f ca="1">IFERROR(__xludf.DUMMYFUNCTION("""COMPUTED_VALUE"""),"JENT")</f>
        <v>JENT</v>
      </c>
      <c r="L590" t="str">
        <f ca="1">IFERROR(__xludf.DUMMYFUNCTION("""COMPUTED_VALUE"""),"Y")</f>
        <v>Y</v>
      </c>
      <c r="M590" t="str">
        <f ca="1">IFERROR(__xludf.DUMMYFUNCTION("""COMPUTED_VALUE"""),"ii-444")</f>
        <v>ii-444</v>
      </c>
    </row>
    <row r="591" spans="1:13" ht="12.5" x14ac:dyDescent="0.25">
      <c r="A591" t="str">
        <f ca="1">IFERROR(__xludf.DUMMYFUNCTION("""COMPUTED_VALUE"""),"K.P.")</f>
        <v>K.P.</v>
      </c>
      <c r="B591" t="str">
        <f ca="1">IFERROR(__xludf.DUMMYFUNCTION("""COMPUTED_VALUE"""),"Sri")</f>
        <v>Sri</v>
      </c>
      <c r="C591" t="str">
        <f ca="1">IFERROR(__xludf.DUMMYFUNCTION("""COMPUTED_VALUE"""),"K.P.@ymailx.com")</f>
        <v>K.P.@ymailx.com</v>
      </c>
      <c r="D591" t="str">
        <f ca="1">IFERROR(__xludf.DUMMYFUNCTION("""COMPUTED_VALUE"""),"Sibolga")</f>
        <v>Sibolga</v>
      </c>
      <c r="E591" s="12">
        <f ca="1">IFERROR(__xludf.DUMMYFUNCTION("""COMPUTED_VALUE"""),42787)</f>
        <v>42787</v>
      </c>
      <c r="F591" t="str">
        <f ca="1">IFERROR(__xludf.DUMMYFUNCTION("""COMPUTED_VALUE"""),"KP0925SG")</f>
        <v>KP0925SG</v>
      </c>
      <c r="G591" s="11">
        <f ca="1">IFERROR(__xludf.DUMMYFUNCTION("""COMPUTED_VALUE"""),30000000)</f>
        <v>30000000</v>
      </c>
      <c r="H591">
        <f ca="1">IFERROR(__xludf.DUMMYFUNCTION("""COMPUTED_VALUE"""),36474)</f>
        <v>36474</v>
      </c>
      <c r="I591">
        <f ca="1">IFERROR(__xludf.DUMMYFUNCTION("""COMPUTED_VALUE"""),2)</f>
        <v>2</v>
      </c>
      <c r="J591" t="str">
        <f ca="1">IFERROR(__xludf.DUMMYFUNCTION("""COMPUTED_VALUE"""),"N/A")</f>
        <v>N/A</v>
      </c>
      <c r="K591" t="str">
        <f ca="1">IFERROR(__xludf.DUMMYFUNCTION("""COMPUTED_VALUE"""),"JENT")</f>
        <v>JENT</v>
      </c>
      <c r="L591" t="str">
        <f ca="1">IFERROR(__xludf.DUMMYFUNCTION("""COMPUTED_VALUE"""),"Y")</f>
        <v>Y</v>
      </c>
      <c r="M591" t="str">
        <f ca="1">IFERROR(__xludf.DUMMYFUNCTION("""COMPUTED_VALUE"""),"gk-662")</f>
        <v>gk-662</v>
      </c>
    </row>
    <row r="592" spans="1:13" ht="12.5" x14ac:dyDescent="0.25">
      <c r="A592" t="str">
        <f ca="1">IFERROR(__xludf.DUMMYFUNCTION("""COMPUTED_VALUE"""),"Christiana")</f>
        <v>Christiana</v>
      </c>
      <c r="B592" t="str">
        <f ca="1">IFERROR(__xludf.DUMMYFUNCTION("""COMPUTED_VALUE"""),"Hermanto")</f>
        <v>Hermanto</v>
      </c>
      <c r="C592" t="str">
        <f ca="1">IFERROR(__xludf.DUMMYFUNCTION("""COMPUTED_VALUE"""),"Hermanto@ymailx.com")</f>
        <v>Hermanto@ymailx.com</v>
      </c>
      <c r="D592" t="str">
        <f ca="1">IFERROR(__xludf.DUMMYFUNCTION("""COMPUTED_VALUE"""),"Padangpanjang")</f>
        <v>Padangpanjang</v>
      </c>
      <c r="E592" s="12">
        <f ca="1">IFERROR(__xludf.DUMMYFUNCTION("""COMPUTED_VALUE"""),42786)</f>
        <v>42786</v>
      </c>
      <c r="F592" t="str">
        <f ca="1">IFERROR(__xludf.DUMMYFUNCTION("""COMPUTED_VALUE"""),"KP0850FB")</f>
        <v>KP0850FB</v>
      </c>
      <c r="G592" s="11">
        <f ca="1">IFERROR(__xludf.DUMMYFUNCTION("""COMPUTED_VALUE"""),210000000)</f>
        <v>210000000</v>
      </c>
      <c r="H592">
        <f ca="1">IFERROR(__xludf.DUMMYFUNCTION("""COMPUTED_VALUE"""),35681)</f>
        <v>35681</v>
      </c>
      <c r="I592">
        <f ca="1">IFERROR(__xludf.DUMMYFUNCTION("""COMPUTED_VALUE"""),10)</f>
        <v>10</v>
      </c>
      <c r="J592">
        <f ca="1">IFERROR(__xludf.DUMMYFUNCTION("""COMPUTED_VALUE"""),2)</f>
        <v>2</v>
      </c>
      <c r="K592" t="str">
        <f ca="1">IFERROR(__xludf.DUMMYFUNCTION("""COMPUTED_VALUE"""),"Swift Delivery")</f>
        <v>Swift Delivery</v>
      </c>
      <c r="L592" t="str">
        <f ca="1">IFERROR(__xludf.DUMMYFUNCTION("""COMPUTED_VALUE"""),"Y")</f>
        <v>Y</v>
      </c>
      <c r="M592" t="str">
        <f ca="1">IFERROR(__xludf.DUMMYFUNCTION("""COMPUTED_VALUE"""),"rc-559")</f>
        <v>rc-559</v>
      </c>
    </row>
    <row r="593" spans="1:13" ht="12.5" x14ac:dyDescent="0.25">
      <c r="A593" t="str">
        <f ca="1">IFERROR(__xludf.DUMMYFUNCTION("""COMPUTED_VALUE"""),"Jovanka")</f>
        <v>Jovanka</v>
      </c>
      <c r="B593" t="str">
        <f ca="1">IFERROR(__xludf.DUMMYFUNCTION("""COMPUTED_VALUE"""),"Kurniadi")</f>
        <v>Kurniadi</v>
      </c>
      <c r="C593" t="str">
        <f ca="1">IFERROR(__xludf.DUMMYFUNCTION("""COMPUTED_VALUE"""),"Kurniadi@ymailx.com")</f>
        <v>Kurniadi@ymailx.com</v>
      </c>
      <c r="D593" t="str">
        <f ca="1">IFERROR(__xludf.DUMMYFUNCTION("""COMPUTED_VALUE"""),"Bengkulu")</f>
        <v>Bengkulu</v>
      </c>
      <c r="E593" s="12">
        <f ca="1">IFERROR(__xludf.DUMMYFUNCTION("""COMPUTED_VALUE"""),42786)</f>
        <v>42786</v>
      </c>
      <c r="F593" t="str">
        <f ca="1">IFERROR(__xludf.DUMMYFUNCTION("""COMPUTED_VALUE"""),"KP0750AJ")</f>
        <v>KP0750AJ</v>
      </c>
      <c r="G593" s="11">
        <f ca="1">IFERROR(__xludf.DUMMYFUNCTION("""COMPUTED_VALUE"""),162000000)</f>
        <v>162000000</v>
      </c>
      <c r="H593">
        <f ca="1">IFERROR(__xludf.DUMMYFUNCTION("""COMPUTED_VALUE"""),36729)</f>
        <v>36729</v>
      </c>
      <c r="I593">
        <f ca="1">IFERROR(__xludf.DUMMYFUNCTION("""COMPUTED_VALUE"""),9)</f>
        <v>9</v>
      </c>
      <c r="J593" t="str">
        <f ca="1">IFERROR(__xludf.DUMMYFUNCTION("""COMPUTED_VALUE"""),"N/A")</f>
        <v>N/A</v>
      </c>
      <c r="K593" t="str">
        <f ca="1">IFERROR(__xludf.DUMMYFUNCTION("""COMPUTED_VALUE"""),"Pru Logistic")</f>
        <v>Pru Logistic</v>
      </c>
      <c r="L593" t="str">
        <f ca="1">IFERROR(__xludf.DUMMYFUNCTION("""COMPUTED_VALUE"""),"Y")</f>
        <v>Y</v>
      </c>
      <c r="M593" t="str">
        <f ca="1">IFERROR(__xludf.DUMMYFUNCTION("""COMPUTED_VALUE"""),"gu-300")</f>
        <v>gu-300</v>
      </c>
    </row>
    <row r="594" spans="1:13" ht="12.5" x14ac:dyDescent="0.25">
      <c r="A594" t="str">
        <f ca="1">IFERROR(__xludf.DUMMYFUNCTION("""COMPUTED_VALUE"""),"Ishak")</f>
        <v>Ishak</v>
      </c>
      <c r="B594" t="str">
        <f ca="1">IFERROR(__xludf.DUMMYFUNCTION("""COMPUTED_VALUE"""),"Sim")</f>
        <v>Sim</v>
      </c>
      <c r="C594" t="str">
        <f ca="1">IFERROR(__xludf.DUMMYFUNCTION("""COMPUTED_VALUE"""),"Ishak@ymailx.com")</f>
        <v>Ishak@ymailx.com</v>
      </c>
      <c r="D594" t="str">
        <f ca="1">IFERROR(__xludf.DUMMYFUNCTION("""COMPUTED_VALUE"""),"Pekalongan")</f>
        <v>Pekalongan</v>
      </c>
      <c r="E594" s="12">
        <f ca="1">IFERROR(__xludf.DUMMYFUNCTION("""COMPUTED_VALUE"""),42784)</f>
        <v>42784</v>
      </c>
      <c r="F594" t="str">
        <f ca="1">IFERROR(__xludf.DUMMYFUNCTION("""COMPUTED_VALUE"""),"KP0850FB")</f>
        <v>KP0850FB</v>
      </c>
      <c r="G594" s="11">
        <f ca="1">IFERROR(__xludf.DUMMYFUNCTION("""COMPUTED_VALUE"""),84000000)</f>
        <v>84000000</v>
      </c>
      <c r="H594">
        <f ca="1">IFERROR(__xludf.DUMMYFUNCTION("""COMPUTED_VALUE"""),36774)</f>
        <v>36774</v>
      </c>
      <c r="I594">
        <f ca="1">IFERROR(__xludf.DUMMYFUNCTION("""COMPUTED_VALUE"""),4)</f>
        <v>4</v>
      </c>
      <c r="J594">
        <f ca="1">IFERROR(__xludf.DUMMYFUNCTION("""COMPUTED_VALUE"""),3)</f>
        <v>3</v>
      </c>
      <c r="K594" t="str">
        <f ca="1">IFERROR(__xludf.DUMMYFUNCTION("""COMPUTED_VALUE"""),"JENT")</f>
        <v>JENT</v>
      </c>
      <c r="L594" t="str">
        <f ca="1">IFERROR(__xludf.DUMMYFUNCTION("""COMPUTED_VALUE"""),"Y")</f>
        <v>Y</v>
      </c>
      <c r="M594" t="str">
        <f ca="1">IFERROR(__xludf.DUMMYFUNCTION("""COMPUTED_VALUE"""),"eb-410")</f>
        <v>eb-410</v>
      </c>
    </row>
    <row r="595" spans="1:13" ht="12.5" x14ac:dyDescent="0.25">
      <c r="A595" t="str">
        <f ca="1">IFERROR(__xludf.DUMMYFUNCTION("""COMPUTED_VALUE"""),"Jap")</f>
        <v>Jap</v>
      </c>
      <c r="B595" t="str">
        <f ca="1">IFERROR(__xludf.DUMMYFUNCTION("""COMPUTED_VALUE"""),"Gunawan")</f>
        <v>Gunawan</v>
      </c>
      <c r="C595" t="str">
        <f ca="1">IFERROR(__xludf.DUMMYFUNCTION("""COMPUTED_VALUE"""),"Jap@gmailx.com")</f>
        <v>Jap@gmailx.com</v>
      </c>
      <c r="D595" t="str">
        <f ca="1">IFERROR(__xludf.DUMMYFUNCTION("""COMPUTED_VALUE"""),"Pariaman")</f>
        <v>Pariaman</v>
      </c>
      <c r="E595" s="12">
        <f ca="1">IFERROR(__xludf.DUMMYFUNCTION("""COMPUTED_VALUE"""),42781)</f>
        <v>42781</v>
      </c>
      <c r="F595" t="str">
        <f ca="1">IFERROR(__xludf.DUMMYFUNCTION("""COMPUTED_VALUE"""),"KP0850FB")</f>
        <v>KP0850FB</v>
      </c>
      <c r="G595" s="11">
        <f ca="1">IFERROR(__xludf.DUMMYFUNCTION("""COMPUTED_VALUE"""),84000000)</f>
        <v>84000000</v>
      </c>
      <c r="H595">
        <f ca="1">IFERROR(__xludf.DUMMYFUNCTION("""COMPUTED_VALUE"""),35358)</f>
        <v>35358</v>
      </c>
      <c r="I595">
        <f ca="1">IFERROR(__xludf.DUMMYFUNCTION("""COMPUTED_VALUE"""),4)</f>
        <v>4</v>
      </c>
      <c r="J595" t="str">
        <f ca="1">IFERROR(__xludf.DUMMYFUNCTION("""COMPUTED_VALUE"""),"N/A")</f>
        <v>N/A</v>
      </c>
      <c r="K595" t="str">
        <f ca="1">IFERROR(__xludf.DUMMYFUNCTION("""COMPUTED_VALUE"""),"Cepat Kirim")</f>
        <v>Cepat Kirim</v>
      </c>
      <c r="L595" t="str">
        <f ca="1">IFERROR(__xludf.DUMMYFUNCTION("""COMPUTED_VALUE"""),"Y")</f>
        <v>Y</v>
      </c>
      <c r="M595" t="str">
        <f ca="1">IFERROR(__xludf.DUMMYFUNCTION("""COMPUTED_VALUE"""),"qp-559")</f>
        <v>qp-559</v>
      </c>
    </row>
    <row r="596" spans="1:13" ht="12.5" x14ac:dyDescent="0.25">
      <c r="A596" t="str">
        <f ca="1">IFERROR(__xludf.DUMMYFUNCTION("""COMPUTED_VALUE"""),"Handaja")</f>
        <v>Handaja</v>
      </c>
      <c r="B596" t="str">
        <f ca="1">IFERROR(__xludf.DUMMYFUNCTION("""COMPUTED_VALUE"""),"Latief")</f>
        <v>Latief</v>
      </c>
      <c r="C596" t="str">
        <f ca="1">IFERROR(__xludf.DUMMYFUNCTION("""COMPUTED_VALUE"""),"Handaja@gmailx.com")</f>
        <v>Handaja@gmailx.com</v>
      </c>
      <c r="D596" t="str">
        <f ca="1">IFERROR(__xludf.DUMMYFUNCTION("""COMPUTED_VALUE"""),"Padangpanjang")</f>
        <v>Padangpanjang</v>
      </c>
      <c r="E596" s="12">
        <f ca="1">IFERROR(__xludf.DUMMYFUNCTION("""COMPUTED_VALUE"""),42780)</f>
        <v>42780</v>
      </c>
      <c r="F596" t="str">
        <f ca="1">IFERROR(__xludf.DUMMYFUNCTION("""COMPUTED_VALUE"""),"KP0750AJ")</f>
        <v>KP0750AJ</v>
      </c>
      <c r="G596" s="11">
        <f ca="1">IFERROR(__xludf.DUMMYFUNCTION("""COMPUTED_VALUE"""),126000000)</f>
        <v>126000000</v>
      </c>
      <c r="H596">
        <f ca="1">IFERROR(__xludf.DUMMYFUNCTION("""COMPUTED_VALUE"""),35752)</f>
        <v>35752</v>
      </c>
      <c r="I596">
        <f ca="1">IFERROR(__xludf.DUMMYFUNCTION("""COMPUTED_VALUE"""),7)</f>
        <v>7</v>
      </c>
      <c r="J596" t="str">
        <f ca="1">IFERROR(__xludf.DUMMYFUNCTION("""COMPUTED_VALUE"""),"N/A")</f>
        <v>N/A</v>
      </c>
      <c r="K596" t="str">
        <f ca="1">IFERROR(__xludf.DUMMYFUNCTION("""COMPUTED_VALUE"""),"Wakanda Express")</f>
        <v>Wakanda Express</v>
      </c>
      <c r="L596" t="str">
        <f ca="1">IFERROR(__xludf.DUMMYFUNCTION("""COMPUTED_VALUE"""),"Y")</f>
        <v>Y</v>
      </c>
      <c r="M596" t="str">
        <f ca="1">IFERROR(__xludf.DUMMYFUNCTION("""COMPUTED_VALUE"""),"gb-559")</f>
        <v>gb-559</v>
      </c>
    </row>
    <row r="597" spans="1:13" ht="12.5" x14ac:dyDescent="0.25">
      <c r="A597" t="str">
        <f ca="1">IFERROR(__xludf.DUMMYFUNCTION("""COMPUTED_VALUE"""),"Niniek")</f>
        <v>Niniek</v>
      </c>
      <c r="B597" t="str">
        <f ca="1">IFERROR(__xludf.DUMMYFUNCTION("""COMPUTED_VALUE"""),"Tanojo")</f>
        <v>Tanojo</v>
      </c>
      <c r="C597" t="str">
        <f ca="1">IFERROR(__xludf.DUMMYFUNCTION("""COMPUTED_VALUE"""),"Tanojo@icloudx.com")</f>
        <v>Tanojo@icloudx.com</v>
      </c>
      <c r="D597" t="str">
        <f ca="1">IFERROR(__xludf.DUMMYFUNCTION("""COMPUTED_VALUE"""),"Purwokerto")</f>
        <v>Purwokerto</v>
      </c>
      <c r="E597" s="12">
        <f ca="1">IFERROR(__xludf.DUMMYFUNCTION("""COMPUTED_VALUE"""),42779)</f>
        <v>42779</v>
      </c>
      <c r="F597" t="str">
        <f ca="1">IFERROR(__xludf.DUMMYFUNCTION("""COMPUTED_VALUE"""),"KP0625AF")</f>
        <v>KP0625AF</v>
      </c>
      <c r="G597" s="11">
        <f ca="1">IFERROR(__xludf.DUMMYFUNCTION("""COMPUTED_VALUE"""),96000000)</f>
        <v>96000000</v>
      </c>
      <c r="H597">
        <f ca="1">IFERROR(__xludf.DUMMYFUNCTION("""COMPUTED_VALUE"""),36524)</f>
        <v>36524</v>
      </c>
      <c r="I597">
        <f ca="1">IFERROR(__xludf.DUMMYFUNCTION("""COMPUTED_VALUE"""),8)</f>
        <v>8</v>
      </c>
      <c r="J597">
        <f ca="1">IFERROR(__xludf.DUMMYFUNCTION("""COMPUTED_VALUE"""),4)</f>
        <v>4</v>
      </c>
      <c r="K597" t="str">
        <f ca="1">IFERROR(__xludf.DUMMYFUNCTION("""COMPUTED_VALUE"""),"Swift Delivery")</f>
        <v>Swift Delivery</v>
      </c>
      <c r="L597" t="str">
        <f ca="1">IFERROR(__xludf.DUMMYFUNCTION("""COMPUTED_VALUE"""),"N")</f>
        <v>N</v>
      </c>
      <c r="M597" t="str">
        <f ca="1">IFERROR(__xludf.DUMMYFUNCTION("""COMPUTED_VALUE"""),"hb-410")</f>
        <v>hb-410</v>
      </c>
    </row>
    <row r="598" spans="1:13" ht="12.5" x14ac:dyDescent="0.25">
      <c r="A598" t="str">
        <f ca="1">IFERROR(__xludf.DUMMYFUNCTION("""COMPUTED_VALUE"""),"Irwan")</f>
        <v>Irwan</v>
      </c>
      <c r="B598" t="str">
        <f ca="1">IFERROR(__xludf.DUMMYFUNCTION("""COMPUTED_VALUE"""),"Hartono")</f>
        <v>Hartono</v>
      </c>
      <c r="C598" t="str">
        <f ca="1">IFERROR(__xludf.DUMMYFUNCTION("""COMPUTED_VALUE"""),"Irwan@ymailx.com")</f>
        <v>Irwan@ymailx.com</v>
      </c>
      <c r="D598" t="str">
        <f ca="1">IFERROR(__xludf.DUMMYFUNCTION("""COMPUTED_VALUE"""),"Batu")</f>
        <v>Batu</v>
      </c>
      <c r="E598" s="12">
        <f ca="1">IFERROR(__xludf.DUMMYFUNCTION("""COMPUTED_VALUE"""),42779)</f>
        <v>42779</v>
      </c>
      <c r="F598" t="str">
        <f ca="1">IFERROR(__xludf.DUMMYFUNCTION("""COMPUTED_VALUE"""),"KP0150BH")</f>
        <v>KP0150BH</v>
      </c>
      <c r="G598" s="11">
        <f ca="1">IFERROR(__xludf.DUMMYFUNCTION("""COMPUTED_VALUE"""),243000000)</f>
        <v>243000000</v>
      </c>
      <c r="H598">
        <f ca="1">IFERROR(__xludf.DUMMYFUNCTION("""COMPUTED_VALUE"""),36366)</f>
        <v>36366</v>
      </c>
      <c r="I598">
        <f ca="1">IFERROR(__xludf.DUMMYFUNCTION("""COMPUTED_VALUE"""),9)</f>
        <v>9</v>
      </c>
      <c r="J598" t="str">
        <f ca="1">IFERROR(__xludf.DUMMYFUNCTION("""COMPUTED_VALUE"""),"N/A")</f>
        <v>N/A</v>
      </c>
      <c r="K598" t="str">
        <f ca="1">IFERROR(__xludf.DUMMYFUNCTION("""COMPUTED_VALUE"""),"Wakanda Express")</f>
        <v>Wakanda Express</v>
      </c>
      <c r="L598" t="str">
        <f ca="1">IFERROR(__xludf.DUMMYFUNCTION("""COMPUTED_VALUE"""),"Y")</f>
        <v>Y</v>
      </c>
      <c r="M598" t="str">
        <f ca="1">IFERROR(__xludf.DUMMYFUNCTION("""COMPUTED_VALUE"""),"pc-123")</f>
        <v>pc-123</v>
      </c>
    </row>
    <row r="599" spans="1:13" ht="12.5" x14ac:dyDescent="0.25">
      <c r="A599" t="str">
        <f ca="1">IFERROR(__xludf.DUMMYFUNCTION("""COMPUTED_VALUE"""),"Eko")</f>
        <v>Eko</v>
      </c>
      <c r="B599" t="str">
        <f ca="1">IFERROR(__xludf.DUMMYFUNCTION("""COMPUTED_VALUE"""),"Gozali")</f>
        <v>Gozali</v>
      </c>
      <c r="C599" t="str">
        <f ca="1">IFERROR(__xludf.DUMMYFUNCTION("""COMPUTED_VALUE"""),"Gozali@livex.com")</f>
        <v>Gozali@livex.com</v>
      </c>
      <c r="D599" t="str">
        <f ca="1">IFERROR(__xludf.DUMMYFUNCTION("""COMPUTED_VALUE"""),"Tebingtinggi")</f>
        <v>Tebingtinggi</v>
      </c>
      <c r="E599" s="12">
        <f ca="1">IFERROR(__xludf.DUMMYFUNCTION("""COMPUTED_VALUE"""),43041)</f>
        <v>43041</v>
      </c>
      <c r="F599" t="str">
        <f ca="1">IFERROR(__xludf.DUMMYFUNCTION("""COMPUTED_VALUE"""),"KP0225BB")</f>
        <v>KP0225BB</v>
      </c>
      <c r="G599" s="11">
        <f ca="1">IFERROR(__xludf.DUMMYFUNCTION("""COMPUTED_VALUE"""),80000000)</f>
        <v>80000000</v>
      </c>
      <c r="H599">
        <f ca="1">IFERROR(__xludf.DUMMYFUNCTION("""COMPUTED_VALUE"""),35300)</f>
        <v>35300</v>
      </c>
      <c r="I599">
        <f ca="1">IFERROR(__xludf.DUMMYFUNCTION("""COMPUTED_VALUE"""),8)</f>
        <v>8</v>
      </c>
      <c r="J599">
        <f ca="1">IFERROR(__xludf.DUMMYFUNCTION("""COMPUTED_VALUE"""),5)</f>
        <v>5</v>
      </c>
      <c r="K599" t="str">
        <f ca="1">IFERROR(__xludf.DUMMYFUNCTION("""COMPUTED_VALUE"""),"Wakanda Express")</f>
        <v>Wakanda Express</v>
      </c>
      <c r="L599" t="str">
        <f ca="1">IFERROR(__xludf.DUMMYFUNCTION("""COMPUTED_VALUE"""),"Y")</f>
        <v>Y</v>
      </c>
      <c r="M599" t="str">
        <f ca="1">IFERROR(__xludf.DUMMYFUNCTION("""COMPUTED_VALUE"""),"oz-662")</f>
        <v>oz-662</v>
      </c>
    </row>
    <row r="600" spans="1:13" ht="12.5" x14ac:dyDescent="0.25">
      <c r="A600" t="str">
        <f ca="1">IFERROR(__xludf.DUMMYFUNCTION("""COMPUTED_VALUE"""),"Arifin")</f>
        <v>Arifin</v>
      </c>
      <c r="B600" t="str">
        <f ca="1">IFERROR(__xludf.DUMMYFUNCTION("""COMPUTED_VALUE"""),"Susila")</f>
        <v>Susila</v>
      </c>
      <c r="C600" t="str">
        <f ca="1">IFERROR(__xludf.DUMMYFUNCTION("""COMPUTED_VALUE"""),"Arifin@ymailx.com")</f>
        <v>Arifin@ymailx.com</v>
      </c>
      <c r="D600" t="str">
        <f ca="1">IFERROR(__xludf.DUMMYFUNCTION("""COMPUTED_VALUE"""),"Jakarta Barat")</f>
        <v>Jakarta Barat</v>
      </c>
      <c r="E600" s="12">
        <f ca="1">IFERROR(__xludf.DUMMYFUNCTION("""COMPUTED_VALUE"""),42980)</f>
        <v>42980</v>
      </c>
      <c r="F600" t="str">
        <f ca="1">IFERROR(__xludf.DUMMYFUNCTION("""COMPUTED_VALUE"""),"KP0750AJ")</f>
        <v>KP0750AJ</v>
      </c>
      <c r="G600" s="11">
        <f ca="1">IFERROR(__xludf.DUMMYFUNCTION("""COMPUTED_VALUE"""),36000000)</f>
        <v>36000000</v>
      </c>
      <c r="H600">
        <f ca="1">IFERROR(__xludf.DUMMYFUNCTION("""COMPUTED_VALUE"""),36634)</f>
        <v>36634</v>
      </c>
      <c r="I600">
        <f ca="1">IFERROR(__xludf.DUMMYFUNCTION("""COMPUTED_VALUE"""),2)</f>
        <v>2</v>
      </c>
      <c r="J600" t="str">
        <f ca="1">IFERROR(__xludf.DUMMYFUNCTION("""COMPUTED_VALUE"""),"N/A")</f>
        <v>N/A</v>
      </c>
      <c r="K600" t="str">
        <f ca="1">IFERROR(__xludf.DUMMYFUNCTION("""COMPUTED_VALUE"""),"Pru Logistic")</f>
        <v>Pru Logistic</v>
      </c>
      <c r="L600" t="str">
        <f ca="1">IFERROR(__xludf.DUMMYFUNCTION("""COMPUTED_VALUE"""),"Y")</f>
        <v>Y</v>
      </c>
      <c r="M600" t="str">
        <f ca="1">IFERROR(__xludf.DUMMYFUNCTION("""COMPUTED_VALUE"""),"sd-333")</f>
        <v>sd-333</v>
      </c>
    </row>
    <row r="601" spans="1:13" ht="12.5" x14ac:dyDescent="0.25">
      <c r="A601" t="str">
        <f ca="1">IFERROR(__xludf.DUMMYFUNCTION("""COMPUTED_VALUE"""),"Achmad")</f>
        <v>Achmad</v>
      </c>
      <c r="B601" t="str">
        <f ca="1">IFERROR(__xludf.DUMMYFUNCTION("""COMPUTED_VALUE"""),"Vishamkar")</f>
        <v>Vishamkar</v>
      </c>
      <c r="C601" t="str">
        <f ca="1">IFERROR(__xludf.DUMMYFUNCTION("""COMPUTED_VALUE"""),"Vishamkar@gmailx.com")</f>
        <v>Vishamkar@gmailx.com</v>
      </c>
      <c r="D601" t="str">
        <f ca="1">IFERROR(__xludf.DUMMYFUNCTION("""COMPUTED_VALUE"""),"Jakarta Pusat")</f>
        <v>Jakarta Pusat</v>
      </c>
      <c r="E601" s="12">
        <f ca="1">IFERROR(__xludf.DUMMYFUNCTION("""COMPUTED_VALUE"""),42980)</f>
        <v>42980</v>
      </c>
      <c r="F601" t="str">
        <f ca="1">IFERROR(__xludf.DUMMYFUNCTION("""COMPUTED_VALUE"""),"KP0625AF")</f>
        <v>KP0625AF</v>
      </c>
      <c r="G601" s="11">
        <f ca="1">IFERROR(__xludf.DUMMYFUNCTION("""COMPUTED_VALUE"""),108000000)</f>
        <v>108000000</v>
      </c>
      <c r="H601" t="str">
        <f ca="1">IFERROR(__xludf.DUMMYFUNCTION("""COMPUTED_VALUE"""),"36869")</f>
        <v>36869</v>
      </c>
      <c r="I601" t="str">
        <f ca="1">IFERROR(__xludf.DUMMYFUNCTION("""COMPUTED_VALUE"""),"9")</f>
        <v>9</v>
      </c>
      <c r="J601" t="str">
        <f ca="1">IFERROR(__xludf.DUMMYFUNCTION("""COMPUTED_VALUE"""),"N/A")</f>
        <v>N/A</v>
      </c>
      <c r="K601" t="str">
        <f ca="1">IFERROR(__xludf.DUMMYFUNCTION("""COMPUTED_VALUE"""),"JENT")</f>
        <v>JENT</v>
      </c>
      <c r="L601" t="str">
        <f ca="1">IFERROR(__xludf.DUMMYFUNCTION("""COMPUTED_VALUE"""),"Y")</f>
        <v>Y</v>
      </c>
      <c r="M601" t="str">
        <f ca="1">IFERROR(__xludf.DUMMYFUNCTION("""COMPUTED_VALUE"""),"vo-333")</f>
        <v>vo-333</v>
      </c>
    </row>
    <row r="602" spans="1:13" ht="12.5" x14ac:dyDescent="0.25">
      <c r="A602" t="str">
        <f ca="1">IFERROR(__xludf.DUMMYFUNCTION("""COMPUTED_VALUE"""),"Harmiono")</f>
        <v>Harmiono</v>
      </c>
      <c r="B602" t="str">
        <f ca="1">IFERROR(__xludf.DUMMYFUNCTION("""COMPUTED_VALUE"""),"Rita")</f>
        <v>Rita</v>
      </c>
      <c r="C602" t="str">
        <f ca="1">IFERROR(__xludf.DUMMYFUNCTION("""COMPUTED_VALUE"""),"Harmiono@gmailx.com")</f>
        <v>Harmiono@gmailx.com</v>
      </c>
      <c r="D602" t="str">
        <f ca="1">IFERROR(__xludf.DUMMYFUNCTION("""COMPUTED_VALUE"""),"Jakarta Selatan")</f>
        <v>Jakarta Selatan</v>
      </c>
      <c r="E602" s="12">
        <f ca="1">IFERROR(__xludf.DUMMYFUNCTION("""COMPUTED_VALUE"""),42980)</f>
        <v>42980</v>
      </c>
      <c r="F602" t="str">
        <f ca="1">IFERROR(__xludf.DUMMYFUNCTION("""COMPUTED_VALUE"""),"KP0925SG")</f>
        <v>KP0925SG</v>
      </c>
      <c r="G602" s="11">
        <f ca="1">IFERROR(__xludf.DUMMYFUNCTION("""COMPUTED_VALUE"""),45000000)</f>
        <v>45000000</v>
      </c>
      <c r="H602">
        <f ca="1">IFERROR(__xludf.DUMMYFUNCTION("""COMPUTED_VALUE"""),36387)</f>
        <v>36387</v>
      </c>
      <c r="I602">
        <f ca="1">IFERROR(__xludf.DUMMYFUNCTION("""COMPUTED_VALUE"""),3)</f>
        <v>3</v>
      </c>
      <c r="J602" t="str">
        <f ca="1">IFERROR(__xludf.DUMMYFUNCTION("""COMPUTED_VALUE"""),"N/A")</f>
        <v>N/A</v>
      </c>
      <c r="K602" t="str">
        <f ca="1">IFERROR(__xludf.DUMMYFUNCTION("""COMPUTED_VALUE"""),"Pru Logistic")</f>
        <v>Pru Logistic</v>
      </c>
      <c r="L602" t="str">
        <f ca="1">IFERROR(__xludf.DUMMYFUNCTION("""COMPUTED_VALUE"""),"Y")</f>
        <v>Y</v>
      </c>
      <c r="M602" t="str">
        <f ca="1">IFERROR(__xludf.DUMMYFUNCTION("""COMPUTED_VALUE"""),"bg-333")</f>
        <v>bg-333</v>
      </c>
    </row>
    <row r="603" spans="1:13" ht="12.5" x14ac:dyDescent="0.25">
      <c r="A603" t="str">
        <f ca="1">IFERROR(__xludf.DUMMYFUNCTION("""COMPUTED_VALUE"""),"G.")</f>
        <v>G.</v>
      </c>
      <c r="B603" t="str">
        <f ca="1">IFERROR(__xludf.DUMMYFUNCTION("""COMPUTED_VALUE"""),"Pudji")</f>
        <v>Pudji</v>
      </c>
      <c r="C603" t="str">
        <f ca="1">IFERROR(__xludf.DUMMYFUNCTION("""COMPUTED_VALUE"""),"Pudji@gmailx.com")</f>
        <v>Pudji@gmailx.com</v>
      </c>
      <c r="D603" t="str">
        <f ca="1">IFERROR(__xludf.DUMMYFUNCTION("""COMPUTED_VALUE"""),"Purwokerto")</f>
        <v>Purwokerto</v>
      </c>
      <c r="E603" s="12">
        <f ca="1">IFERROR(__xludf.DUMMYFUNCTION("""COMPUTED_VALUE"""),42949)</f>
        <v>42949</v>
      </c>
      <c r="F603" t="str">
        <f ca="1">IFERROR(__xludf.DUMMYFUNCTION("""COMPUTED_VALUE"""),"KP0150BH")</f>
        <v>KP0150BH</v>
      </c>
      <c r="G603" s="11">
        <f ca="1">IFERROR(__xludf.DUMMYFUNCTION("""COMPUTED_VALUE"""),270000000)</f>
        <v>270000000</v>
      </c>
      <c r="H603">
        <f ca="1">IFERROR(__xludf.DUMMYFUNCTION("""COMPUTED_VALUE"""),35125)</f>
        <v>35125</v>
      </c>
      <c r="I603">
        <f ca="1">IFERROR(__xludf.DUMMYFUNCTION("""COMPUTED_VALUE"""),10)</f>
        <v>10</v>
      </c>
      <c r="J603">
        <f ca="1">IFERROR(__xludf.DUMMYFUNCTION("""COMPUTED_VALUE"""),5)</f>
        <v>5</v>
      </c>
      <c r="K603" t="str">
        <f ca="1">IFERROR(__xludf.DUMMYFUNCTION("""COMPUTED_VALUE"""),"JENT")</f>
        <v>JENT</v>
      </c>
      <c r="L603" t="str">
        <f ca="1">IFERROR(__xludf.DUMMYFUNCTION("""COMPUTED_VALUE"""),"Y")</f>
        <v>Y</v>
      </c>
      <c r="M603" t="str">
        <f ca="1">IFERROR(__xludf.DUMMYFUNCTION("""COMPUTED_VALUE"""),"at-410")</f>
        <v>at-410</v>
      </c>
    </row>
    <row r="604" spans="1:13" ht="12.5" x14ac:dyDescent="0.25">
      <c r="A604" t="str">
        <f ca="1">IFERROR(__xludf.DUMMYFUNCTION("""COMPUTED_VALUE"""),"Michael")</f>
        <v>Michael</v>
      </c>
      <c r="B604" t="str">
        <f ca="1">IFERROR(__xludf.DUMMYFUNCTION("""COMPUTED_VALUE"""),"Basoeki")</f>
        <v>Basoeki</v>
      </c>
      <c r="C604" t="str">
        <f ca="1">IFERROR(__xludf.DUMMYFUNCTION("""COMPUTED_VALUE"""),"MICHAEL@outlookx.com")</f>
        <v>MICHAEL@outlookx.com</v>
      </c>
      <c r="D604" t="str">
        <f ca="1">IFERROR(__xludf.DUMMYFUNCTION("""COMPUTED_VALUE"""),"Tebingtinggi")</f>
        <v>Tebingtinggi</v>
      </c>
      <c r="E604" s="12">
        <f ca="1">IFERROR(__xludf.DUMMYFUNCTION("""COMPUTED_VALUE"""),42949)</f>
        <v>42949</v>
      </c>
      <c r="F604" t="str">
        <f ca="1">IFERROR(__xludf.DUMMYFUNCTION("""COMPUTED_VALUE"""),"KP0850FB")</f>
        <v>KP0850FB</v>
      </c>
      <c r="G604" s="11">
        <f ca="1">IFERROR(__xludf.DUMMYFUNCTION("""COMPUTED_VALUE"""),84000000)</f>
        <v>84000000</v>
      </c>
      <c r="H604">
        <f ca="1">IFERROR(__xludf.DUMMYFUNCTION("""COMPUTED_VALUE"""),35669)</f>
        <v>35669</v>
      </c>
      <c r="I604">
        <f ca="1">IFERROR(__xludf.DUMMYFUNCTION("""COMPUTED_VALUE"""),4)</f>
        <v>4</v>
      </c>
      <c r="J604" t="str">
        <f ca="1">IFERROR(__xludf.DUMMYFUNCTION("""COMPUTED_VALUE"""),"N/A")</f>
        <v>N/A</v>
      </c>
      <c r="K604" t="str">
        <f ca="1">IFERROR(__xludf.DUMMYFUNCTION("""COMPUTED_VALUE"""),"JENT")</f>
        <v>JENT</v>
      </c>
      <c r="L604" t="str">
        <f ca="1">IFERROR(__xludf.DUMMYFUNCTION("""COMPUTED_VALUE"""),"Y")</f>
        <v>Y</v>
      </c>
      <c r="M604" t="str">
        <f ca="1">IFERROR(__xludf.DUMMYFUNCTION("""COMPUTED_VALUE"""),"mz-662")</f>
        <v>mz-662</v>
      </c>
    </row>
    <row r="605" spans="1:13" ht="12.5" x14ac:dyDescent="0.25">
      <c r="A605" t="str">
        <f ca="1">IFERROR(__xludf.DUMMYFUNCTION("""COMPUTED_VALUE"""),"Michael")</f>
        <v>Michael</v>
      </c>
      <c r="B605" t="str">
        <f ca="1">IFERROR(__xludf.DUMMYFUNCTION("""COMPUTED_VALUE"""),"Kian")</f>
        <v>Kian</v>
      </c>
      <c r="C605" t="str">
        <f ca="1">IFERROR(__xludf.DUMMYFUNCTION("""COMPUTED_VALUE"""),"Kian@outlookx.com")</f>
        <v>Kian@outlookx.com</v>
      </c>
      <c r="D605" t="str">
        <f ca="1">IFERROR(__xludf.DUMMYFUNCTION("""COMPUTED_VALUE"""),"Sungai Penuh")</f>
        <v>Sungai Penuh</v>
      </c>
      <c r="E605" s="12">
        <f ca="1">IFERROR(__xludf.DUMMYFUNCTION("""COMPUTED_VALUE"""),42827)</f>
        <v>42827</v>
      </c>
      <c r="F605" t="str">
        <f ca="1">IFERROR(__xludf.DUMMYFUNCTION("""COMPUTED_VALUE"""),"KP0625AF")</f>
        <v>KP0625AF</v>
      </c>
      <c r="G605" s="11">
        <f ca="1">IFERROR(__xludf.DUMMYFUNCTION("""COMPUTED_VALUE"""),120000000)</f>
        <v>120000000</v>
      </c>
      <c r="H605">
        <f ca="1">IFERROR(__xludf.DUMMYFUNCTION("""COMPUTED_VALUE"""),36229)</f>
        <v>36229</v>
      </c>
      <c r="I605">
        <f ca="1">IFERROR(__xludf.DUMMYFUNCTION("""COMPUTED_VALUE"""),10)</f>
        <v>10</v>
      </c>
      <c r="J605" t="str">
        <f ca="1">IFERROR(__xludf.DUMMYFUNCTION("""COMPUTED_VALUE"""),"N/A")</f>
        <v>N/A</v>
      </c>
      <c r="K605" t="str">
        <f ca="1">IFERROR(__xludf.DUMMYFUNCTION("""COMPUTED_VALUE"""),"JENT")</f>
        <v>JENT</v>
      </c>
      <c r="L605" t="str">
        <f ca="1">IFERROR(__xludf.DUMMYFUNCTION("""COMPUTED_VALUE"""),"Y")</f>
        <v>Y</v>
      </c>
      <c r="M605" t="str">
        <f ca="1">IFERROR(__xludf.DUMMYFUNCTION("""COMPUTED_VALUE"""),"uz-512")</f>
        <v>uz-512</v>
      </c>
    </row>
    <row r="606" spans="1:13" ht="12.5" x14ac:dyDescent="0.25">
      <c r="A606" t="str">
        <f ca="1">IFERROR(__xludf.DUMMYFUNCTION("""COMPUTED_VALUE"""),"Soeparman")</f>
        <v>Soeparman</v>
      </c>
      <c r="B606" t="str">
        <f ca="1">IFERROR(__xludf.DUMMYFUNCTION("""COMPUTED_VALUE"""),"Group")</f>
        <v>Group</v>
      </c>
      <c r="C606" t="str">
        <f ca="1">IFERROR(__xludf.DUMMYFUNCTION("""COMPUTED_VALUE"""),"Group@livex.com")</f>
        <v>Group@livex.com</v>
      </c>
      <c r="D606" t="str">
        <f ca="1">IFERROR(__xludf.DUMMYFUNCTION("""COMPUTED_VALUE"""),"Jakarta Utara")</f>
        <v>Jakarta Utara</v>
      </c>
      <c r="E606" s="12">
        <f ca="1">IFERROR(__xludf.DUMMYFUNCTION("""COMPUTED_VALUE"""),42827)</f>
        <v>42827</v>
      </c>
      <c r="F606" t="str">
        <f ca="1">IFERROR(__xludf.DUMMYFUNCTION("""COMPUTED_VALUE"""),"KP0850FB")</f>
        <v>KP0850FB</v>
      </c>
      <c r="G606" s="11">
        <f ca="1">IFERROR(__xludf.DUMMYFUNCTION("""COMPUTED_VALUE"""),168000000)</f>
        <v>168000000</v>
      </c>
      <c r="H606">
        <f ca="1">IFERROR(__xludf.DUMMYFUNCTION("""COMPUTED_VALUE"""),36713)</f>
        <v>36713</v>
      </c>
      <c r="I606">
        <f ca="1">IFERROR(__xludf.DUMMYFUNCTION("""COMPUTED_VALUE"""),8)</f>
        <v>8</v>
      </c>
      <c r="J606">
        <f ca="1">IFERROR(__xludf.DUMMYFUNCTION("""COMPUTED_VALUE"""),2)</f>
        <v>2</v>
      </c>
      <c r="K606" t="str">
        <f ca="1">IFERROR(__xludf.DUMMYFUNCTION("""COMPUTED_VALUE"""),"Cepat Kirim")</f>
        <v>Cepat Kirim</v>
      </c>
      <c r="L606" t="str">
        <f ca="1">IFERROR(__xludf.DUMMYFUNCTION("""COMPUTED_VALUE"""),"N")</f>
        <v>N</v>
      </c>
      <c r="M606" t="str">
        <f ca="1">IFERROR(__xludf.DUMMYFUNCTION("""COMPUTED_VALUE"""),"dm-333")</f>
        <v>dm-333</v>
      </c>
    </row>
    <row r="607" spans="1:13" ht="12.5" x14ac:dyDescent="0.25">
      <c r="A607" t="str">
        <f ca="1">IFERROR(__xludf.DUMMYFUNCTION("""COMPUTED_VALUE"""),"Hiswara")</f>
        <v>Hiswara</v>
      </c>
      <c r="B607" t="str">
        <f ca="1">IFERROR(__xludf.DUMMYFUNCTION("""COMPUTED_VALUE"""),"Taira")</f>
        <v>Taira</v>
      </c>
      <c r="C607" t="str">
        <f ca="1">IFERROR(__xludf.DUMMYFUNCTION("""COMPUTED_VALUE"""),"Hiswara@ymailx.com")</f>
        <v>Hiswara@ymailx.com</v>
      </c>
      <c r="D607" t="str">
        <f ca="1">IFERROR(__xludf.DUMMYFUNCTION("""COMPUTED_VALUE"""),"Purwokerto")</f>
        <v>Purwokerto</v>
      </c>
      <c r="E607" s="12">
        <f ca="1">IFERROR(__xludf.DUMMYFUNCTION("""COMPUTED_VALUE"""),42796)</f>
        <v>42796</v>
      </c>
      <c r="F607" t="str">
        <f ca="1">IFERROR(__xludf.DUMMYFUNCTION("""COMPUTED_VALUE"""),"KP0625AF")</f>
        <v>KP0625AF</v>
      </c>
      <c r="G607" s="11">
        <f ca="1">IFERROR(__xludf.DUMMYFUNCTION("""COMPUTED_VALUE"""),108000000)</f>
        <v>108000000</v>
      </c>
      <c r="H607">
        <f ca="1">IFERROR(__xludf.DUMMYFUNCTION("""COMPUTED_VALUE"""),35929)</f>
        <v>35929</v>
      </c>
      <c r="I607">
        <f ca="1">IFERROR(__xludf.DUMMYFUNCTION("""COMPUTED_VALUE"""),9)</f>
        <v>9</v>
      </c>
      <c r="J607">
        <f ca="1">IFERROR(__xludf.DUMMYFUNCTION("""COMPUTED_VALUE"""),4)</f>
        <v>4</v>
      </c>
      <c r="K607" t="str">
        <f ca="1">IFERROR(__xludf.DUMMYFUNCTION("""COMPUTED_VALUE"""),"JENT")</f>
        <v>JENT</v>
      </c>
      <c r="L607" t="str">
        <f ca="1">IFERROR(__xludf.DUMMYFUNCTION("""COMPUTED_VALUE"""),"Y")</f>
        <v>Y</v>
      </c>
      <c r="M607" t="str">
        <f ca="1">IFERROR(__xludf.DUMMYFUNCTION("""COMPUTED_VALUE"""),"xm-410")</f>
        <v>xm-410</v>
      </c>
    </row>
    <row r="608" spans="1:13" ht="12.5" x14ac:dyDescent="0.25">
      <c r="A608" t="str">
        <f ca="1">IFERROR(__xludf.DUMMYFUNCTION("""COMPUTED_VALUE"""),"Citrawinda")</f>
        <v>Citrawinda</v>
      </c>
      <c r="B608" t="str">
        <f ca="1">IFERROR(__xludf.DUMMYFUNCTION("""COMPUTED_VALUE"""),"Alicia,")</f>
        <v>Alicia,</v>
      </c>
      <c r="C608" t="str">
        <f ca="1">IFERROR(__xludf.DUMMYFUNCTION("""COMPUTED_VALUE"""),"Alicia@outlookx.com")</f>
        <v>Alicia@outlookx.com</v>
      </c>
      <c r="D608" t="str">
        <f ca="1">IFERROR(__xludf.DUMMYFUNCTION("""COMPUTED_VALUE"""),"Bekasi")</f>
        <v>Bekasi</v>
      </c>
      <c r="E608" s="12">
        <f ca="1">IFERROR(__xludf.DUMMYFUNCTION("""COMPUTED_VALUE"""),42737)</f>
        <v>42737</v>
      </c>
      <c r="F608" t="str">
        <f ca="1">IFERROR(__xludf.DUMMYFUNCTION("""COMPUTED_VALUE"""),"KP0425CB")</f>
        <v>KP0425CB</v>
      </c>
      <c r="G608" s="11">
        <f ca="1">IFERROR(__xludf.DUMMYFUNCTION("""COMPUTED_VALUE"""),245250000)</f>
        <v>245250000</v>
      </c>
      <c r="H608">
        <f ca="1">IFERROR(__xludf.DUMMYFUNCTION("""COMPUTED_VALUE"""),35603)</f>
        <v>35603</v>
      </c>
      <c r="I608">
        <f ca="1">IFERROR(__xludf.DUMMYFUNCTION("""COMPUTED_VALUE"""),9)</f>
        <v>9</v>
      </c>
      <c r="J608">
        <f ca="1">IFERROR(__xludf.DUMMYFUNCTION("""COMPUTED_VALUE"""),5)</f>
        <v>5</v>
      </c>
      <c r="K608" t="str">
        <f ca="1">IFERROR(__xludf.DUMMYFUNCTION("""COMPUTED_VALUE"""),"Swift Delivery")</f>
        <v>Swift Delivery</v>
      </c>
      <c r="L608" t="str">
        <f ca="1">IFERROR(__xludf.DUMMYFUNCTION("""COMPUTED_VALUE"""),"Y")</f>
        <v>Y</v>
      </c>
      <c r="M608" t="str">
        <f ca="1">IFERROR(__xludf.DUMMYFUNCTION("""COMPUTED_VALUE"""),"xa-409")</f>
        <v>xa-409</v>
      </c>
    </row>
    <row r="609" spans="1:13" ht="12.5" x14ac:dyDescent="0.25">
      <c r="A609" t="str">
        <f ca="1">IFERROR(__xludf.DUMMYFUNCTION("""COMPUTED_VALUE"""),"Jahjaa")</f>
        <v>Jahjaa</v>
      </c>
      <c r="B609" t="str">
        <f ca="1">IFERROR(__xludf.DUMMYFUNCTION("""COMPUTED_VALUE"""),"Wiriawan")</f>
        <v>Wiriawan</v>
      </c>
      <c r="C609" t="str">
        <f ca="1">IFERROR(__xludf.DUMMYFUNCTION("""COMPUTED_VALUE"""),"Jahjaa@gmailx.com")</f>
        <v>Jahjaa@gmailx.com</v>
      </c>
      <c r="D609" t="str">
        <f ca="1">IFERROR(__xludf.DUMMYFUNCTION("""COMPUTED_VALUE"""),"Bitung")</f>
        <v>Bitung</v>
      </c>
      <c r="E609" s="12">
        <f ca="1">IFERROR(__xludf.DUMMYFUNCTION("""COMPUTED_VALUE"""),42737)</f>
        <v>42737</v>
      </c>
      <c r="F609" t="str">
        <f ca="1">IFERROR(__xludf.DUMMYFUNCTION("""COMPUTED_VALUE"""),"KP0750AJ")</f>
        <v>KP0750AJ</v>
      </c>
      <c r="G609" s="11">
        <f ca="1">IFERROR(__xludf.DUMMYFUNCTION("""COMPUTED_VALUE"""),36000000)</f>
        <v>36000000</v>
      </c>
      <c r="H609">
        <f ca="1">IFERROR(__xludf.DUMMYFUNCTION("""COMPUTED_VALUE"""),35222)</f>
        <v>35222</v>
      </c>
      <c r="I609">
        <f ca="1">IFERROR(__xludf.DUMMYFUNCTION("""COMPUTED_VALUE"""),2)</f>
        <v>2</v>
      </c>
      <c r="J609" t="str">
        <f ca="1">IFERROR(__xludf.DUMMYFUNCTION("""COMPUTED_VALUE"""),"N/A")</f>
        <v>N/A</v>
      </c>
      <c r="K609" t="str">
        <f ca="1">IFERROR(__xludf.DUMMYFUNCTION("""COMPUTED_VALUE"""),"Cepat Kirim")</f>
        <v>Cepat Kirim</v>
      </c>
      <c r="L609" t="str">
        <f ca="1">IFERROR(__xludf.DUMMYFUNCTION("""COMPUTED_VALUE"""),"Y")</f>
        <v>Y</v>
      </c>
      <c r="M609" t="str">
        <f ca="1">IFERROR(__xludf.DUMMYFUNCTION("""COMPUTED_VALUE"""),"wz-221")</f>
        <v>wz-221</v>
      </c>
    </row>
    <row r="610" spans="1:13" ht="12.5" x14ac:dyDescent="0.25">
      <c r="A610" t="str">
        <f ca="1">IFERROR(__xludf.DUMMYFUNCTION("""COMPUTED_VALUE"""),"Ferdinand")</f>
        <v>Ferdinand</v>
      </c>
      <c r="B610" t="str">
        <f ca="1">IFERROR(__xludf.DUMMYFUNCTION("""COMPUTED_VALUE"""),"Mirza")</f>
        <v>Mirza</v>
      </c>
      <c r="C610" t="str">
        <f ca="1">IFERROR(__xludf.DUMMYFUNCTION("""COMPUTED_VALUE"""),"Mirza@ymailx.com")</f>
        <v>Mirza@ymailx.com</v>
      </c>
      <c r="D610" t="str">
        <f ca="1">IFERROR(__xludf.DUMMYFUNCTION("""COMPUTED_VALUE"""),"Tasikmalaya")</f>
        <v>Tasikmalaya</v>
      </c>
      <c r="E610" s="12">
        <f ca="1">IFERROR(__xludf.DUMMYFUNCTION("""COMPUTED_VALUE"""),42761)</f>
        <v>42761</v>
      </c>
      <c r="F610" t="str">
        <f ca="1">IFERROR(__xludf.DUMMYFUNCTION("""COMPUTED_VALUE"""),"KP0850FB")</f>
        <v>KP0850FB</v>
      </c>
      <c r="G610" s="11">
        <f ca="1">IFERROR(__xludf.DUMMYFUNCTION("""COMPUTED_VALUE"""),189000000)</f>
        <v>189000000</v>
      </c>
      <c r="H610">
        <f ca="1">IFERROR(__xludf.DUMMYFUNCTION("""COMPUTED_VALUE"""),35321)</f>
        <v>35321</v>
      </c>
      <c r="I610">
        <f ca="1">IFERROR(__xludf.DUMMYFUNCTION("""COMPUTED_VALUE"""),9)</f>
        <v>9</v>
      </c>
      <c r="J610">
        <f ca="1">IFERROR(__xludf.DUMMYFUNCTION("""COMPUTED_VALUE"""),5)</f>
        <v>5</v>
      </c>
      <c r="K610" t="str">
        <f ca="1">IFERROR(__xludf.DUMMYFUNCTION("""COMPUTED_VALUE"""),"JENT")</f>
        <v>JENT</v>
      </c>
      <c r="L610" t="str">
        <f ca="1">IFERROR(__xludf.DUMMYFUNCTION("""COMPUTED_VALUE"""),"Y")</f>
        <v>Y</v>
      </c>
      <c r="M610" t="str">
        <f ca="1">IFERROR(__xludf.DUMMYFUNCTION("""COMPUTED_VALUE"""),"tg-409")</f>
        <v>tg-409</v>
      </c>
    </row>
    <row r="611" spans="1:13" ht="12.5" x14ac:dyDescent="0.25">
      <c r="A611" t="str">
        <f ca="1">IFERROR(__xludf.DUMMYFUNCTION("""COMPUTED_VALUE"""),"Netcorp")</f>
        <v>Netcorp</v>
      </c>
      <c r="B611" t="str">
        <f ca="1">IFERROR(__xludf.DUMMYFUNCTION("""COMPUTED_VALUE"""),"Yohan")</f>
        <v>Yohan</v>
      </c>
      <c r="C611" t="str">
        <f ca="1">IFERROR(__xludf.DUMMYFUNCTION("""COMPUTED_VALUE"""),"Yohan@icloudx.com")</f>
        <v>Yohan@icloudx.com</v>
      </c>
      <c r="D611" t="str">
        <f ca="1">IFERROR(__xludf.DUMMYFUNCTION("""COMPUTED_VALUE"""),"Cirebon")</f>
        <v>Cirebon</v>
      </c>
      <c r="E611" s="12">
        <f ca="1">IFERROR(__xludf.DUMMYFUNCTION("""COMPUTED_VALUE"""),42759)</f>
        <v>42759</v>
      </c>
      <c r="F611" t="str">
        <f ca="1">IFERROR(__xludf.DUMMYFUNCTION("""COMPUTED_VALUE"""),"KP0925SG")</f>
        <v>KP0925SG</v>
      </c>
      <c r="G611" s="11">
        <f ca="1">IFERROR(__xludf.DUMMYFUNCTION("""COMPUTED_VALUE"""),90000000)</f>
        <v>90000000</v>
      </c>
      <c r="H611">
        <f ca="1">IFERROR(__xludf.DUMMYFUNCTION("""COMPUTED_VALUE"""),35469)</f>
        <v>35469</v>
      </c>
      <c r="I611">
        <f ca="1">IFERROR(__xludf.DUMMYFUNCTION("""COMPUTED_VALUE"""),6)</f>
        <v>6</v>
      </c>
      <c r="J611">
        <f ca="1">IFERROR(__xludf.DUMMYFUNCTION("""COMPUTED_VALUE"""),4)</f>
        <v>4</v>
      </c>
      <c r="K611" t="str">
        <f ca="1">IFERROR(__xludf.DUMMYFUNCTION("""COMPUTED_VALUE"""),"JENT")</f>
        <v>JENT</v>
      </c>
      <c r="L611" t="str">
        <f ca="1">IFERROR(__xludf.DUMMYFUNCTION("""COMPUTED_VALUE"""),"N")</f>
        <v>N</v>
      </c>
      <c r="M611" t="str">
        <f ca="1">IFERROR(__xludf.DUMMYFUNCTION("""COMPUTED_VALUE"""),"vr-409")</f>
        <v>vr-409</v>
      </c>
    </row>
    <row r="612" spans="1:13" ht="12.5" x14ac:dyDescent="0.25">
      <c r="A612" t="str">
        <f ca="1">IFERROR(__xludf.DUMMYFUNCTION("""COMPUTED_VALUE"""),"Johannes")</f>
        <v>Johannes</v>
      </c>
      <c r="B612" t="str">
        <f ca="1">IFERROR(__xludf.DUMMYFUNCTION("""COMPUTED_VALUE"""),"Yoshawirja")</f>
        <v>Yoshawirja</v>
      </c>
      <c r="C612" t="str">
        <f ca="1">IFERROR(__xludf.DUMMYFUNCTION("""COMPUTED_VALUE"""),"Johannes@gmailx.com")</f>
        <v>Johannes@gmailx.com</v>
      </c>
      <c r="D612" t="str">
        <f ca="1">IFERROR(__xludf.DUMMYFUNCTION("""COMPUTED_VALUE"""),"Salatiga")</f>
        <v>Salatiga</v>
      </c>
      <c r="E612" s="12">
        <f ca="1">IFERROR(__xludf.DUMMYFUNCTION("""COMPUTED_VALUE"""),42758)</f>
        <v>42758</v>
      </c>
      <c r="F612" t="str">
        <f ca="1">IFERROR(__xludf.DUMMYFUNCTION("""COMPUTED_VALUE"""),"KP0225BB")</f>
        <v>KP0225BB</v>
      </c>
      <c r="G612" s="11">
        <f ca="1">IFERROR(__xludf.DUMMYFUNCTION("""COMPUTED_VALUE"""),80000000)</f>
        <v>80000000</v>
      </c>
      <c r="H612">
        <f ca="1">IFERROR(__xludf.DUMMYFUNCTION("""COMPUTED_VALUE"""),35055)</f>
        <v>35055</v>
      </c>
      <c r="I612">
        <f ca="1">IFERROR(__xludf.DUMMYFUNCTION("""COMPUTED_VALUE"""),8)</f>
        <v>8</v>
      </c>
      <c r="J612" t="str">
        <f ca="1">IFERROR(__xludf.DUMMYFUNCTION("""COMPUTED_VALUE"""),"N/A")</f>
        <v>N/A</v>
      </c>
      <c r="K612" t="str">
        <f ca="1">IFERROR(__xludf.DUMMYFUNCTION("""COMPUTED_VALUE"""),"Swift Delivery")</f>
        <v>Swift Delivery</v>
      </c>
      <c r="L612" t="str">
        <f ca="1">IFERROR(__xludf.DUMMYFUNCTION("""COMPUTED_VALUE"""),"Y")</f>
        <v>Y</v>
      </c>
      <c r="M612" t="str">
        <f ca="1">IFERROR(__xludf.DUMMYFUNCTION("""COMPUTED_VALUE"""),"xq-410")</f>
        <v>xq-410</v>
      </c>
    </row>
    <row r="613" spans="1:13" ht="12.5" x14ac:dyDescent="0.25">
      <c r="A613" t="str">
        <f ca="1">IFERROR(__xludf.DUMMYFUNCTION("""COMPUTED_VALUE"""),"Agus")</f>
        <v>Agus</v>
      </c>
      <c r="B613" t="str">
        <f ca="1">IFERROR(__xludf.DUMMYFUNCTION("""COMPUTED_VALUE"""),"K.")</f>
        <v>K.</v>
      </c>
      <c r="C613" t="str">
        <f ca="1">IFERROR(__xludf.DUMMYFUNCTION("""COMPUTED_VALUE"""),"Agus@livex.com")</f>
        <v>Agus@livex.com</v>
      </c>
      <c r="D613" t="str">
        <f ca="1">IFERROR(__xludf.DUMMYFUNCTION("""COMPUTED_VALUE"""),"Prabumulih")</f>
        <v>Prabumulih</v>
      </c>
      <c r="E613" s="12">
        <f ca="1">IFERROR(__xludf.DUMMYFUNCTION("""COMPUTED_VALUE"""),42757)</f>
        <v>42757</v>
      </c>
      <c r="F613" t="str">
        <f ca="1">IFERROR(__xludf.DUMMYFUNCTION("""COMPUTED_VALUE"""),"KP0850FB")</f>
        <v>KP0850FB</v>
      </c>
      <c r="G613" s="11">
        <f ca="1">IFERROR(__xludf.DUMMYFUNCTION("""COMPUTED_VALUE"""),168000000)</f>
        <v>168000000</v>
      </c>
      <c r="H613">
        <f ca="1">IFERROR(__xludf.DUMMYFUNCTION("""COMPUTED_VALUE"""),36458)</f>
        <v>36458</v>
      </c>
      <c r="I613">
        <f ca="1">IFERROR(__xludf.DUMMYFUNCTION("""COMPUTED_VALUE"""),8)</f>
        <v>8</v>
      </c>
      <c r="J613" t="str">
        <f ca="1">IFERROR(__xludf.DUMMYFUNCTION("""COMPUTED_VALUE"""),"N/A")</f>
        <v>N/A</v>
      </c>
      <c r="K613" t="str">
        <f ca="1">IFERROR(__xludf.DUMMYFUNCTION("""COMPUTED_VALUE"""),"Wakanda Express")</f>
        <v>Wakanda Express</v>
      </c>
      <c r="L613" t="str">
        <f ca="1">IFERROR(__xludf.DUMMYFUNCTION("""COMPUTED_VALUE"""),"Y")</f>
        <v>Y</v>
      </c>
      <c r="M613" t="str">
        <f ca="1">IFERROR(__xludf.DUMMYFUNCTION("""COMPUTED_VALUE"""),"yw-661")</f>
        <v>yw-661</v>
      </c>
    </row>
    <row r="614" spans="1:13" ht="12.5" x14ac:dyDescent="0.25">
      <c r="A614" t="str">
        <f ca="1">IFERROR(__xludf.DUMMYFUNCTION("""COMPUTED_VALUE"""),"Rudy")</f>
        <v>Rudy</v>
      </c>
      <c r="B614" t="str">
        <f ca="1">IFERROR(__xludf.DUMMYFUNCTION("""COMPUTED_VALUE"""),"Pinder")</f>
        <v>Pinder</v>
      </c>
      <c r="C614" t="str">
        <f ca="1">IFERROR(__xludf.DUMMYFUNCTION("""COMPUTED_VALUE"""),"Pinder@outlookx.com")</f>
        <v>Pinder@outlookx.com</v>
      </c>
      <c r="D614" t="str">
        <f ca="1">IFERROR(__xludf.DUMMYFUNCTION("""COMPUTED_VALUE"""),"Cilegon")</f>
        <v>Cilegon</v>
      </c>
      <c r="E614" s="12">
        <f ca="1">IFERROR(__xludf.DUMMYFUNCTION("""COMPUTED_VALUE"""),42756)</f>
        <v>42756</v>
      </c>
      <c r="F614" t="str">
        <f ca="1">IFERROR(__xludf.DUMMYFUNCTION("""COMPUTED_VALUE"""),"KP0625AF")</f>
        <v>KP0625AF</v>
      </c>
      <c r="G614" s="11">
        <f ca="1">IFERROR(__xludf.DUMMYFUNCTION("""COMPUTED_VALUE"""),36000000)</f>
        <v>36000000</v>
      </c>
      <c r="H614">
        <f ca="1">IFERROR(__xludf.DUMMYFUNCTION("""COMPUTED_VALUE"""),36786)</f>
        <v>36786</v>
      </c>
      <c r="I614">
        <f ca="1">IFERROR(__xludf.DUMMYFUNCTION("""COMPUTED_VALUE"""),3)</f>
        <v>3</v>
      </c>
      <c r="J614">
        <f ca="1">IFERROR(__xludf.DUMMYFUNCTION("""COMPUTED_VALUE"""),4)</f>
        <v>4</v>
      </c>
      <c r="K614" t="str">
        <f ca="1">IFERROR(__xludf.DUMMYFUNCTION("""COMPUTED_VALUE"""),"Pru Logistic")</f>
        <v>Pru Logistic</v>
      </c>
      <c r="L614" t="str">
        <f ca="1">IFERROR(__xludf.DUMMYFUNCTION("""COMPUTED_VALUE"""),"N")</f>
        <v>N</v>
      </c>
      <c r="M614" t="str">
        <f ca="1">IFERROR(__xludf.DUMMYFUNCTION("""COMPUTED_VALUE"""),"ei-500")</f>
        <v>ei-500</v>
      </c>
    </row>
    <row r="615" spans="1:13" ht="12.5" x14ac:dyDescent="0.25">
      <c r="A615" t="str">
        <f ca="1">IFERROR(__xludf.DUMMYFUNCTION("""COMPUTED_VALUE"""),"Christian")</f>
        <v>Christian</v>
      </c>
      <c r="B615" t="str">
        <f ca="1">IFERROR(__xludf.DUMMYFUNCTION("""COMPUTED_VALUE"""),"Lay")</f>
        <v>Lay</v>
      </c>
      <c r="C615" t="str">
        <f ca="1">IFERROR(__xludf.DUMMYFUNCTION("""COMPUTED_VALUE"""),"Lay@ymailx.com")</f>
        <v>Lay@ymailx.com</v>
      </c>
      <c r="D615" t="str">
        <f ca="1">IFERROR(__xludf.DUMMYFUNCTION("""COMPUTED_VALUE"""),"Tanjungpinang")</f>
        <v>Tanjungpinang</v>
      </c>
      <c r="E615" s="12">
        <f ca="1">IFERROR(__xludf.DUMMYFUNCTION("""COMPUTED_VALUE"""),42756)</f>
        <v>42756</v>
      </c>
      <c r="F615" t="str">
        <f ca="1">IFERROR(__xludf.DUMMYFUNCTION("""COMPUTED_VALUE"""),"KP0850FB")</f>
        <v>KP0850FB</v>
      </c>
      <c r="G615" s="11">
        <f ca="1">IFERROR(__xludf.DUMMYFUNCTION("""COMPUTED_VALUE"""),42000000)</f>
        <v>42000000</v>
      </c>
      <c r="H615">
        <f ca="1">IFERROR(__xludf.DUMMYFUNCTION("""COMPUTED_VALUE"""),36146)</f>
        <v>36146</v>
      </c>
      <c r="I615">
        <f ca="1">IFERROR(__xludf.DUMMYFUNCTION("""COMPUTED_VALUE"""),2)</f>
        <v>2</v>
      </c>
      <c r="J615" t="str">
        <f ca="1">IFERROR(__xludf.DUMMYFUNCTION("""COMPUTED_VALUE"""),"N/A")</f>
        <v>N/A</v>
      </c>
      <c r="K615" t="str">
        <f ca="1">IFERROR(__xludf.DUMMYFUNCTION("""COMPUTED_VALUE"""),"JENT")</f>
        <v>JENT</v>
      </c>
      <c r="L615" t="str">
        <f ca="1">IFERROR(__xludf.DUMMYFUNCTION("""COMPUTED_VALUE"""),"Y")</f>
        <v>Y</v>
      </c>
      <c r="M615" t="str">
        <f ca="1">IFERROR(__xludf.DUMMYFUNCTION("""COMPUTED_VALUE"""),"xu-809")</f>
        <v>xu-809</v>
      </c>
    </row>
    <row r="616" spans="1:13" ht="12.5" x14ac:dyDescent="0.25">
      <c r="A616" t="str">
        <f ca="1">IFERROR(__xludf.DUMMYFUNCTION("""COMPUTED_VALUE"""),"Soekrisman")</f>
        <v>Soekrisman</v>
      </c>
      <c r="B616" t="str">
        <f ca="1">IFERROR(__xludf.DUMMYFUNCTION("""COMPUTED_VALUE"""),"Ismulyatie")</f>
        <v>Ismulyatie</v>
      </c>
      <c r="C616" t="str">
        <f ca="1">IFERROR(__xludf.DUMMYFUNCTION("""COMPUTED_VALUE"""),"Ismulyatie@icloudx.com")</f>
        <v>Ismulyatie@icloudx.com</v>
      </c>
      <c r="D616" t="str">
        <f ca="1">IFERROR(__xludf.DUMMYFUNCTION("""COMPUTED_VALUE"""),"Tarakan")</f>
        <v>Tarakan</v>
      </c>
      <c r="E616" s="12">
        <f ca="1">IFERROR(__xludf.DUMMYFUNCTION("""COMPUTED_VALUE"""),42756)</f>
        <v>42756</v>
      </c>
      <c r="F616" t="str">
        <f ca="1">IFERROR(__xludf.DUMMYFUNCTION("""COMPUTED_VALUE"""),"KP0850FB")</f>
        <v>KP0850FB</v>
      </c>
      <c r="G616" s="11">
        <f ca="1">IFERROR(__xludf.DUMMYFUNCTION("""COMPUTED_VALUE"""),105000000)</f>
        <v>105000000</v>
      </c>
      <c r="H616">
        <f ca="1">IFERROR(__xludf.DUMMYFUNCTION("""COMPUTED_VALUE"""),35986)</f>
        <v>35986</v>
      </c>
      <c r="I616">
        <f ca="1">IFERROR(__xludf.DUMMYFUNCTION("""COMPUTED_VALUE"""),5)</f>
        <v>5</v>
      </c>
      <c r="J616" t="str">
        <f ca="1">IFERROR(__xludf.DUMMYFUNCTION("""COMPUTED_VALUE"""),"N/A")</f>
        <v>N/A</v>
      </c>
      <c r="K616" t="str">
        <f ca="1">IFERROR(__xludf.DUMMYFUNCTION("""COMPUTED_VALUE"""),"JENT")</f>
        <v>JENT</v>
      </c>
      <c r="L616" t="str">
        <f ca="1">IFERROR(__xludf.DUMMYFUNCTION("""COMPUTED_VALUE"""),"N")</f>
        <v>N</v>
      </c>
      <c r="M616" t="str">
        <f ca="1">IFERROR(__xludf.DUMMYFUNCTION("""COMPUTED_VALUE"""),"vn-994")</f>
        <v>vn-994</v>
      </c>
    </row>
    <row r="617" spans="1:13" ht="12.5" x14ac:dyDescent="0.25">
      <c r="A617" t="str">
        <f ca="1">IFERROR(__xludf.DUMMYFUNCTION("""COMPUTED_VALUE"""),"Payal")</f>
        <v>Payal</v>
      </c>
      <c r="B617" t="str">
        <f ca="1">IFERROR(__xludf.DUMMYFUNCTION("""COMPUTED_VALUE"""),"Harjani")</f>
        <v>Harjani</v>
      </c>
      <c r="C617" t="str">
        <f ca="1">IFERROR(__xludf.DUMMYFUNCTION("""COMPUTED_VALUE"""),"Payal@livex.com")</f>
        <v>Payal@livex.com</v>
      </c>
      <c r="D617" t="str">
        <f ca="1">IFERROR(__xludf.DUMMYFUNCTION("""COMPUTED_VALUE"""),"Kediri")</f>
        <v>Kediri</v>
      </c>
      <c r="E617" s="12">
        <f ca="1">IFERROR(__xludf.DUMMYFUNCTION("""COMPUTED_VALUE"""),42756)</f>
        <v>42756</v>
      </c>
      <c r="F617" t="str">
        <f ca="1">IFERROR(__xludf.DUMMYFUNCTION("""COMPUTED_VALUE"""),"KP0150BH")</f>
        <v>KP0150BH</v>
      </c>
      <c r="G617" s="11">
        <f ca="1">IFERROR(__xludf.DUMMYFUNCTION("""COMPUTED_VALUE"""),270000000)</f>
        <v>270000000</v>
      </c>
      <c r="H617">
        <f ca="1">IFERROR(__xludf.DUMMYFUNCTION("""COMPUTED_VALUE"""),36822)</f>
        <v>36822</v>
      </c>
      <c r="I617">
        <f ca="1">IFERROR(__xludf.DUMMYFUNCTION("""COMPUTED_VALUE"""),10)</f>
        <v>10</v>
      </c>
      <c r="J617" t="str">
        <f ca="1">IFERROR(__xludf.DUMMYFUNCTION("""COMPUTED_VALUE"""),"N/A")</f>
        <v>N/A</v>
      </c>
      <c r="K617" t="str">
        <f ca="1">IFERROR(__xludf.DUMMYFUNCTION("""COMPUTED_VALUE"""),"Wakanda Express")</f>
        <v>Wakanda Express</v>
      </c>
      <c r="L617" t="str">
        <f ca="1">IFERROR(__xludf.DUMMYFUNCTION("""COMPUTED_VALUE"""),"N")</f>
        <v>N</v>
      </c>
      <c r="M617" t="str">
        <f ca="1">IFERROR(__xludf.DUMMYFUNCTION("""COMPUTED_VALUE"""),"gk-123")</f>
        <v>gk-123</v>
      </c>
    </row>
    <row r="618" spans="1:13" ht="12.5" x14ac:dyDescent="0.25">
      <c r="A618" t="str">
        <f ca="1">IFERROR(__xludf.DUMMYFUNCTION("""COMPUTED_VALUE"""),"S.H.C.N")</f>
        <v>S.H.C.N</v>
      </c>
      <c r="B618" t="str">
        <f ca="1">IFERROR(__xludf.DUMMYFUNCTION("""COMPUTED_VALUE"""),"Kurniawan")</f>
        <v>Kurniawan</v>
      </c>
      <c r="C618" t="str">
        <f ca="1">IFERROR(__xludf.DUMMYFUNCTION("""COMPUTED_VALUE"""),"S.H.C.N@icloudx.com")</f>
        <v>S.H.C.N@icloudx.com</v>
      </c>
      <c r="D618" t="str">
        <f ca="1">IFERROR(__xludf.DUMMYFUNCTION("""COMPUTED_VALUE"""),"Jakarta Barat")</f>
        <v>Jakarta Barat</v>
      </c>
      <c r="E618" s="12">
        <f ca="1">IFERROR(__xludf.DUMMYFUNCTION("""COMPUTED_VALUE"""),42755)</f>
        <v>42755</v>
      </c>
      <c r="F618" t="str">
        <f ca="1">IFERROR(__xludf.DUMMYFUNCTION("""COMPUTED_VALUE"""),"KP0850FB")</f>
        <v>KP0850FB</v>
      </c>
      <c r="G618" s="11">
        <f ca="1">IFERROR(__xludf.DUMMYFUNCTION("""COMPUTED_VALUE"""),189000000)</f>
        <v>189000000</v>
      </c>
      <c r="H618">
        <f ca="1">IFERROR(__xludf.DUMMYFUNCTION("""COMPUTED_VALUE"""),35174)</f>
        <v>35174</v>
      </c>
      <c r="I618">
        <f ca="1">IFERROR(__xludf.DUMMYFUNCTION("""COMPUTED_VALUE"""),9)</f>
        <v>9</v>
      </c>
      <c r="J618">
        <f ca="1">IFERROR(__xludf.DUMMYFUNCTION("""COMPUTED_VALUE"""),4)</f>
        <v>4</v>
      </c>
      <c r="K618" t="str">
        <f ca="1">IFERROR(__xludf.DUMMYFUNCTION("""COMPUTED_VALUE"""),"JENT")</f>
        <v>JENT</v>
      </c>
      <c r="L618" t="str">
        <f ca="1">IFERROR(__xludf.DUMMYFUNCTION("""COMPUTED_VALUE"""),"N")</f>
        <v>N</v>
      </c>
      <c r="M618" t="str">
        <f ca="1">IFERROR(__xludf.DUMMYFUNCTION("""COMPUTED_VALUE"""),"ob-333")</f>
        <v>ob-333</v>
      </c>
    </row>
    <row r="619" spans="1:13" ht="12.5" x14ac:dyDescent="0.25">
      <c r="A619" t="str">
        <f ca="1">IFERROR(__xludf.DUMMYFUNCTION("""COMPUTED_VALUE"""),"Bambang")</f>
        <v>Bambang</v>
      </c>
      <c r="B619" t="str">
        <f ca="1">IFERROR(__xludf.DUMMYFUNCTION("""COMPUTED_VALUE"""),"Abdurachman")</f>
        <v>Abdurachman</v>
      </c>
      <c r="C619" t="str">
        <f ca="1">IFERROR(__xludf.DUMMYFUNCTION("""COMPUTED_VALUE"""),"Bambang@ymailx.com")</f>
        <v>Bambang@ymailx.com</v>
      </c>
      <c r="D619" t="str">
        <f ca="1">IFERROR(__xludf.DUMMYFUNCTION("""COMPUTED_VALUE"""),"Pontianak")</f>
        <v>Pontianak</v>
      </c>
      <c r="E619" s="12">
        <f ca="1">IFERROR(__xludf.DUMMYFUNCTION("""COMPUTED_VALUE"""),42755)</f>
        <v>42755</v>
      </c>
      <c r="F619" t="str">
        <f ca="1">IFERROR(__xludf.DUMMYFUNCTION("""COMPUTED_VALUE"""),"KP0850FB")</f>
        <v>KP0850FB</v>
      </c>
      <c r="G619" s="11">
        <f ca="1">IFERROR(__xludf.DUMMYFUNCTION("""COMPUTED_VALUE"""),84000000)</f>
        <v>84000000</v>
      </c>
      <c r="H619">
        <f ca="1">IFERROR(__xludf.DUMMYFUNCTION("""COMPUTED_VALUE"""),35447)</f>
        <v>35447</v>
      </c>
      <c r="I619">
        <f ca="1">IFERROR(__xludf.DUMMYFUNCTION("""COMPUTED_VALUE"""),4)</f>
        <v>4</v>
      </c>
      <c r="J619">
        <f ca="1">IFERROR(__xludf.DUMMYFUNCTION("""COMPUTED_VALUE"""),1)</f>
        <v>1</v>
      </c>
      <c r="K619" t="str">
        <f ca="1">IFERROR(__xludf.DUMMYFUNCTION("""COMPUTED_VALUE"""),"Wakanda Express")</f>
        <v>Wakanda Express</v>
      </c>
      <c r="L619" t="str">
        <f ca="1">IFERROR(__xludf.DUMMYFUNCTION("""COMPUTED_VALUE"""),"Y")</f>
        <v>Y</v>
      </c>
      <c r="M619" t="str">
        <f ca="1">IFERROR(__xludf.DUMMYFUNCTION("""COMPUTED_VALUE"""),"xf-880")</f>
        <v>xf-880</v>
      </c>
    </row>
    <row r="620" spans="1:13" ht="12.5" x14ac:dyDescent="0.25">
      <c r="A620" t="str">
        <f ca="1">IFERROR(__xludf.DUMMYFUNCTION("""COMPUTED_VALUE"""),"Prakoso")</f>
        <v>Prakoso</v>
      </c>
      <c r="B620" t="str">
        <f ca="1">IFERROR(__xludf.DUMMYFUNCTION("""COMPUTED_VALUE"""),"Yusrizal")</f>
        <v>Yusrizal</v>
      </c>
      <c r="C620" t="str">
        <f ca="1">IFERROR(__xludf.DUMMYFUNCTION("""COMPUTED_VALUE"""),"YUSRIZAL@mex.com")</f>
        <v>YUSRIZAL@mex.com</v>
      </c>
      <c r="D620" t="str">
        <f ca="1">IFERROR(__xludf.DUMMYFUNCTION("""COMPUTED_VALUE"""),"Palembang")</f>
        <v>Palembang</v>
      </c>
      <c r="E620" s="12">
        <f ca="1">IFERROR(__xludf.DUMMYFUNCTION("""COMPUTED_VALUE"""),42754)</f>
        <v>42754</v>
      </c>
      <c r="F620" t="str">
        <f ca="1">IFERROR(__xludf.DUMMYFUNCTION("""COMPUTED_VALUE"""),"KP0750AJ")</f>
        <v>KP0750AJ</v>
      </c>
      <c r="G620" s="11">
        <f ca="1">IFERROR(__xludf.DUMMYFUNCTION("""COMPUTED_VALUE"""),72000000)</f>
        <v>72000000</v>
      </c>
      <c r="H620">
        <f ca="1">IFERROR(__xludf.DUMMYFUNCTION("""COMPUTED_VALUE"""),35766)</f>
        <v>35766</v>
      </c>
      <c r="I620">
        <f ca="1">IFERROR(__xludf.DUMMYFUNCTION("""COMPUTED_VALUE"""),4)</f>
        <v>4</v>
      </c>
      <c r="J620">
        <f ca="1">IFERROR(__xludf.DUMMYFUNCTION("""COMPUTED_VALUE"""),4)</f>
        <v>4</v>
      </c>
      <c r="K620" t="str">
        <f ca="1">IFERROR(__xludf.DUMMYFUNCTION("""COMPUTED_VALUE"""),"Cepat Kirim")</f>
        <v>Cepat Kirim</v>
      </c>
      <c r="L620" t="str">
        <f ca="1">IFERROR(__xludf.DUMMYFUNCTION("""COMPUTED_VALUE"""),"N")</f>
        <v>N</v>
      </c>
      <c r="M620" t="str">
        <f ca="1">IFERROR(__xludf.DUMMYFUNCTION("""COMPUTED_VALUE"""),"js-661")</f>
        <v>js-661</v>
      </c>
    </row>
    <row r="621" spans="1:13" ht="12.5" x14ac:dyDescent="0.25">
      <c r="A621" t="str">
        <f ca="1">IFERROR(__xludf.DUMMYFUNCTION("""COMPUTED_VALUE"""),"Freddy")</f>
        <v>Freddy</v>
      </c>
      <c r="B621" t="str">
        <f ca="1">IFERROR(__xludf.DUMMYFUNCTION("""COMPUTED_VALUE"""),"Budi")</f>
        <v>Budi</v>
      </c>
      <c r="C621" t="str">
        <f ca="1">IFERROR(__xludf.DUMMYFUNCTION("""COMPUTED_VALUE"""),"Freddy@gmailx.com")</f>
        <v>Freddy@gmailx.com</v>
      </c>
      <c r="D621" t="str">
        <f ca="1">IFERROR(__xludf.DUMMYFUNCTION("""COMPUTED_VALUE"""),"Palembang")</f>
        <v>Palembang</v>
      </c>
      <c r="E621" s="12">
        <f ca="1">IFERROR(__xludf.DUMMYFUNCTION("""COMPUTED_VALUE"""),42753)</f>
        <v>42753</v>
      </c>
      <c r="F621" t="str">
        <f ca="1">IFERROR(__xludf.DUMMYFUNCTION("""COMPUTED_VALUE"""),"KP0625AF")</f>
        <v>KP0625AF</v>
      </c>
      <c r="G621" s="11">
        <f ca="1">IFERROR(__xludf.DUMMYFUNCTION("""COMPUTED_VALUE"""),36000000)</f>
        <v>36000000</v>
      </c>
      <c r="H621">
        <f ca="1">IFERROR(__xludf.DUMMYFUNCTION("""COMPUTED_VALUE"""),36697)</f>
        <v>36697</v>
      </c>
      <c r="I621">
        <f ca="1">IFERROR(__xludf.DUMMYFUNCTION("""COMPUTED_VALUE"""),3)</f>
        <v>3</v>
      </c>
      <c r="J621">
        <f ca="1">IFERROR(__xludf.DUMMYFUNCTION("""COMPUTED_VALUE"""),4)</f>
        <v>4</v>
      </c>
      <c r="K621" t="str">
        <f ca="1">IFERROR(__xludf.DUMMYFUNCTION("""COMPUTED_VALUE"""),"Cepat Kirim")</f>
        <v>Cepat Kirim</v>
      </c>
      <c r="L621" t="str">
        <f ca="1">IFERROR(__xludf.DUMMYFUNCTION("""COMPUTED_VALUE"""),"Y")</f>
        <v>Y</v>
      </c>
      <c r="M621" t="str">
        <f ca="1">IFERROR(__xludf.DUMMYFUNCTION("""COMPUTED_VALUE"""),"mv-661")</f>
        <v>mv-661</v>
      </c>
    </row>
    <row r="622" spans="1:13" ht="12.5" x14ac:dyDescent="0.25">
      <c r="A622" t="str">
        <f ca="1">IFERROR(__xludf.DUMMYFUNCTION("""COMPUTED_VALUE"""),"Jusuf")</f>
        <v>Jusuf</v>
      </c>
      <c r="B622" t="str">
        <f ca="1">IFERROR(__xludf.DUMMYFUNCTION("""COMPUTED_VALUE"""),"Dian")</f>
        <v>Dian</v>
      </c>
      <c r="C622" t="str">
        <f ca="1">IFERROR(__xludf.DUMMYFUNCTION("""COMPUTED_VALUE"""),"Dian@ymailx.com")</f>
        <v>Dian@ymailx.com</v>
      </c>
      <c r="D622" t="str">
        <f ca="1">IFERROR(__xludf.DUMMYFUNCTION("""COMPUTED_VALUE"""),"Tebingtinggi")</f>
        <v>Tebingtinggi</v>
      </c>
      <c r="E622" s="12">
        <f ca="1">IFERROR(__xludf.DUMMYFUNCTION("""COMPUTED_VALUE"""),42753)</f>
        <v>42753</v>
      </c>
      <c r="F622" t="str">
        <f ca="1">IFERROR(__xludf.DUMMYFUNCTION("""COMPUTED_VALUE"""),"KP0850FB")</f>
        <v>KP0850FB</v>
      </c>
      <c r="G622" s="11">
        <f ca="1">IFERROR(__xludf.DUMMYFUNCTION("""COMPUTED_VALUE"""),168000000)</f>
        <v>168000000</v>
      </c>
      <c r="H622">
        <f ca="1">IFERROR(__xludf.DUMMYFUNCTION("""COMPUTED_VALUE"""),35589)</f>
        <v>35589</v>
      </c>
      <c r="I622">
        <f ca="1">IFERROR(__xludf.DUMMYFUNCTION("""COMPUTED_VALUE"""),8)</f>
        <v>8</v>
      </c>
      <c r="J622">
        <f ca="1">IFERROR(__xludf.DUMMYFUNCTION("""COMPUTED_VALUE"""),4)</f>
        <v>4</v>
      </c>
      <c r="K622" t="str">
        <f ca="1">IFERROR(__xludf.DUMMYFUNCTION("""COMPUTED_VALUE"""),"Swift Delivery")</f>
        <v>Swift Delivery</v>
      </c>
      <c r="L622" t="str">
        <f ca="1">IFERROR(__xludf.DUMMYFUNCTION("""COMPUTED_VALUE"""),"Y")</f>
        <v>Y</v>
      </c>
      <c r="M622" t="str">
        <f ca="1">IFERROR(__xludf.DUMMYFUNCTION("""COMPUTED_VALUE"""),"dx-662")</f>
        <v>dx-662</v>
      </c>
    </row>
    <row r="623" spans="1:13" ht="12.5" x14ac:dyDescent="0.25">
      <c r="A623" t="str">
        <f ca="1">IFERROR(__xludf.DUMMYFUNCTION("""COMPUTED_VALUE"""),"Rilantini")</f>
        <v>Rilantini</v>
      </c>
      <c r="B623" t="str">
        <f ca="1">IFERROR(__xludf.DUMMYFUNCTION("""COMPUTED_VALUE"""),"Jenny")</f>
        <v>Jenny</v>
      </c>
      <c r="C623" t="str">
        <f ca="1">IFERROR(__xludf.DUMMYFUNCTION("""COMPUTED_VALUE"""),"Rilantini@icloudx.com")</f>
        <v>Rilantini@icloudx.com</v>
      </c>
      <c r="D623" t="str">
        <f ca="1">IFERROR(__xludf.DUMMYFUNCTION("""COMPUTED_VALUE"""),"Kotamobagu")</f>
        <v>Kotamobagu</v>
      </c>
      <c r="E623" s="12">
        <f ca="1">IFERROR(__xludf.DUMMYFUNCTION("""COMPUTED_VALUE"""),42750)</f>
        <v>42750</v>
      </c>
      <c r="F623" t="str">
        <f ca="1">IFERROR(__xludf.DUMMYFUNCTION("""COMPUTED_VALUE"""),"KP0850FB")</f>
        <v>KP0850FB</v>
      </c>
      <c r="G623" s="11">
        <f ca="1">IFERROR(__xludf.DUMMYFUNCTION("""COMPUTED_VALUE"""),189000000)</f>
        <v>189000000</v>
      </c>
      <c r="H623">
        <f ca="1">IFERROR(__xludf.DUMMYFUNCTION("""COMPUTED_VALUE"""),36898)</f>
        <v>36898</v>
      </c>
      <c r="I623">
        <f ca="1">IFERROR(__xludf.DUMMYFUNCTION("""COMPUTED_VALUE"""),9)</f>
        <v>9</v>
      </c>
      <c r="J623" t="str">
        <f ca="1">IFERROR(__xludf.DUMMYFUNCTION("""COMPUTED_VALUE"""),"N/A")</f>
        <v>N/A</v>
      </c>
      <c r="K623" t="str">
        <f ca="1">IFERROR(__xludf.DUMMYFUNCTION("""COMPUTED_VALUE"""),"Swift Delivery")</f>
        <v>Swift Delivery</v>
      </c>
      <c r="L623" t="str">
        <f ca="1">IFERROR(__xludf.DUMMYFUNCTION("""COMPUTED_VALUE"""),"N")</f>
        <v>N</v>
      </c>
      <c r="M623" t="str">
        <f ca="1">IFERROR(__xludf.DUMMYFUNCTION("""COMPUTED_VALUE"""),"qz-221")</f>
        <v>qz-221</v>
      </c>
    </row>
    <row r="624" spans="1:13" ht="12.5" x14ac:dyDescent="0.25">
      <c r="A624" t="str">
        <f ca="1">IFERROR(__xludf.DUMMYFUNCTION("""COMPUTED_VALUE"""),"Apex")</f>
        <v>Apex</v>
      </c>
      <c r="B624" t="str">
        <f ca="1">IFERROR(__xludf.DUMMYFUNCTION("""COMPUTED_VALUE"""),"Leonard")</f>
        <v>Leonard</v>
      </c>
      <c r="C624" t="str">
        <f ca="1">IFERROR(__xludf.DUMMYFUNCTION("""COMPUTED_VALUE"""),"Apex@gmailx.com")</f>
        <v>Apex@gmailx.com</v>
      </c>
      <c r="D624" t="str">
        <f ca="1">IFERROR(__xludf.DUMMYFUNCTION("""COMPUTED_VALUE"""),"Tomohon")</f>
        <v>Tomohon</v>
      </c>
      <c r="E624" s="12">
        <f ca="1">IFERROR(__xludf.DUMMYFUNCTION("""COMPUTED_VALUE"""),42750)</f>
        <v>42750</v>
      </c>
      <c r="F624" t="str">
        <f ca="1">IFERROR(__xludf.DUMMYFUNCTION("""COMPUTED_VALUE"""),"KP0350CF")</f>
        <v>KP0350CF</v>
      </c>
      <c r="G624" s="11">
        <f ca="1">IFERROR(__xludf.DUMMYFUNCTION("""COMPUTED_VALUE"""),350000000)</f>
        <v>350000000</v>
      </c>
      <c r="H624">
        <f ca="1">IFERROR(__xludf.DUMMYFUNCTION("""COMPUTED_VALUE"""),36411)</f>
        <v>36411</v>
      </c>
      <c r="I624">
        <f ca="1">IFERROR(__xludf.DUMMYFUNCTION("""COMPUTED_VALUE"""),10)</f>
        <v>10</v>
      </c>
      <c r="J624">
        <f ca="1">IFERROR(__xludf.DUMMYFUNCTION("""COMPUTED_VALUE"""),2)</f>
        <v>2</v>
      </c>
      <c r="K624" t="str">
        <f ca="1">IFERROR(__xludf.DUMMYFUNCTION("""COMPUTED_VALUE"""),"JENT")</f>
        <v>JENT</v>
      </c>
      <c r="L624" t="str">
        <f ca="1">IFERROR(__xludf.DUMMYFUNCTION("""COMPUTED_VALUE"""),"Y")</f>
        <v>Y</v>
      </c>
      <c r="M624" t="str">
        <f ca="1">IFERROR(__xludf.DUMMYFUNCTION("""COMPUTED_VALUE"""),"re-221")</f>
        <v>re-221</v>
      </c>
    </row>
    <row r="625" spans="1:13" ht="12.5" x14ac:dyDescent="0.25">
      <c r="A625" t="str">
        <f ca="1">IFERROR(__xludf.DUMMYFUNCTION("""COMPUTED_VALUE"""),"Adriana")</f>
        <v>Adriana</v>
      </c>
      <c r="B625" t="str">
        <f ca="1">IFERROR(__xludf.DUMMYFUNCTION("""COMPUTED_VALUE"""),"Tjin")</f>
        <v>Tjin</v>
      </c>
      <c r="C625" t="str">
        <f ca="1">IFERROR(__xludf.DUMMYFUNCTION("""COMPUTED_VALUE"""),"Adriana@ymailx.com")</f>
        <v>Adriana@ymailx.com</v>
      </c>
      <c r="D625" t="str">
        <f ca="1">IFERROR(__xludf.DUMMYFUNCTION("""COMPUTED_VALUE"""),"Palopo")</f>
        <v>Palopo</v>
      </c>
      <c r="E625" s="12">
        <f ca="1">IFERROR(__xludf.DUMMYFUNCTION("""COMPUTED_VALUE"""),42750)</f>
        <v>42750</v>
      </c>
      <c r="F625" t="str">
        <f ca="1">IFERROR(__xludf.DUMMYFUNCTION("""COMPUTED_VALUE"""),"KP0925SG")</f>
        <v>KP0925SG</v>
      </c>
      <c r="G625" s="11">
        <f ca="1">IFERROR(__xludf.DUMMYFUNCTION("""COMPUTED_VALUE"""),105000000)</f>
        <v>105000000</v>
      </c>
      <c r="H625">
        <f ca="1">IFERROR(__xludf.DUMMYFUNCTION("""COMPUTED_VALUE"""),35280)</f>
        <v>35280</v>
      </c>
      <c r="I625">
        <f ca="1">IFERROR(__xludf.DUMMYFUNCTION("""COMPUTED_VALUE"""),7)</f>
        <v>7</v>
      </c>
      <c r="J625" t="str">
        <f ca="1">IFERROR(__xludf.DUMMYFUNCTION("""COMPUTED_VALUE"""),"N/A")</f>
        <v>N/A</v>
      </c>
      <c r="K625" t="str">
        <f ca="1">IFERROR(__xludf.DUMMYFUNCTION("""COMPUTED_VALUE"""),"JENT")</f>
        <v>JENT</v>
      </c>
      <c r="L625" t="str">
        <f ca="1">IFERROR(__xludf.DUMMYFUNCTION("""COMPUTED_VALUE"""),"Y")</f>
        <v>Y</v>
      </c>
      <c r="M625" t="str">
        <f ca="1">IFERROR(__xludf.DUMMYFUNCTION("""COMPUTED_VALUE"""),"ds-290")</f>
        <v>ds-290</v>
      </c>
    </row>
    <row r="626" spans="1:13" ht="12.5" x14ac:dyDescent="0.25">
      <c r="A626" t="str">
        <f ca="1">IFERROR(__xludf.DUMMYFUNCTION("""COMPUTED_VALUE"""),"F.")</f>
        <v>F.</v>
      </c>
      <c r="B626" t="str">
        <f ca="1">IFERROR(__xludf.DUMMYFUNCTION("""COMPUTED_VALUE"""),"Riupassa")</f>
        <v>Riupassa</v>
      </c>
      <c r="C626" t="str">
        <f ca="1">IFERROR(__xludf.DUMMYFUNCTION("""COMPUTED_VALUE"""),"Riupassa@livex.com")</f>
        <v>Riupassa@livex.com</v>
      </c>
      <c r="D626" t="str">
        <f ca="1">IFERROR(__xludf.DUMMYFUNCTION("""COMPUTED_VALUE"""),"Purwokerto")</f>
        <v>Purwokerto</v>
      </c>
      <c r="E626" s="12">
        <f ca="1">IFERROR(__xludf.DUMMYFUNCTION("""COMPUTED_VALUE"""),43040)</f>
        <v>43040</v>
      </c>
      <c r="F626" t="str">
        <f ca="1">IFERROR(__xludf.DUMMYFUNCTION("""COMPUTED_VALUE"""),"KP0925SG")</f>
        <v>KP0925SG</v>
      </c>
      <c r="G626" s="11">
        <f ca="1">IFERROR(__xludf.DUMMYFUNCTION("""COMPUTED_VALUE"""),105000000)</f>
        <v>105000000</v>
      </c>
      <c r="H626">
        <f ca="1">IFERROR(__xludf.DUMMYFUNCTION("""COMPUTED_VALUE"""),35305)</f>
        <v>35305</v>
      </c>
      <c r="I626">
        <f ca="1">IFERROR(__xludf.DUMMYFUNCTION("""COMPUTED_VALUE"""),7)</f>
        <v>7</v>
      </c>
      <c r="J626">
        <f ca="1">IFERROR(__xludf.DUMMYFUNCTION("""COMPUTED_VALUE"""),4)</f>
        <v>4</v>
      </c>
      <c r="K626" t="str">
        <f ca="1">IFERROR(__xludf.DUMMYFUNCTION("""COMPUTED_VALUE"""),"JENT")</f>
        <v>JENT</v>
      </c>
      <c r="L626" t="str">
        <f ca="1">IFERROR(__xludf.DUMMYFUNCTION("""COMPUTED_VALUE"""),"Y")</f>
        <v>Y</v>
      </c>
      <c r="M626" t="str">
        <f ca="1">IFERROR(__xludf.DUMMYFUNCTION("""COMPUTED_VALUE"""),"wu-410")</f>
        <v>wu-410</v>
      </c>
    </row>
    <row r="627" spans="1:13" ht="12.5" x14ac:dyDescent="0.25">
      <c r="A627" t="str">
        <f ca="1">IFERROR(__xludf.DUMMYFUNCTION("""COMPUTED_VALUE"""),"Northstar")</f>
        <v>Northstar</v>
      </c>
      <c r="B627" t="str">
        <f ca="1">IFERROR(__xludf.DUMMYFUNCTION("""COMPUTED_VALUE"""),"Andersen")</f>
        <v>Andersen</v>
      </c>
      <c r="C627" t="str">
        <f ca="1">IFERROR(__xludf.DUMMYFUNCTION("""COMPUTED_VALUE"""),"Northstar@mex.com")</f>
        <v>Northstar@mex.com</v>
      </c>
      <c r="D627" t="str">
        <f ca="1">IFERROR(__xludf.DUMMYFUNCTION("""COMPUTED_VALUE"""),"Semarang")</f>
        <v>Semarang</v>
      </c>
      <c r="E627" s="12">
        <f ca="1">IFERROR(__xludf.DUMMYFUNCTION("""COMPUTED_VALUE"""),43009)</f>
        <v>43009</v>
      </c>
      <c r="F627" t="str">
        <f ca="1">IFERROR(__xludf.DUMMYFUNCTION("""COMPUTED_VALUE"""),"KP0850FB")</f>
        <v>KP0850FB</v>
      </c>
      <c r="G627" s="11">
        <f ca="1">IFERROR(__xludf.DUMMYFUNCTION("""COMPUTED_VALUE"""),42000000)</f>
        <v>42000000</v>
      </c>
      <c r="H627">
        <f ca="1">IFERROR(__xludf.DUMMYFUNCTION("""COMPUTED_VALUE"""),35658)</f>
        <v>35658</v>
      </c>
      <c r="I627">
        <f ca="1">IFERROR(__xludf.DUMMYFUNCTION("""COMPUTED_VALUE"""),2)</f>
        <v>2</v>
      </c>
      <c r="J627" t="str">
        <f ca="1">IFERROR(__xludf.DUMMYFUNCTION("""COMPUTED_VALUE"""),"N/A")</f>
        <v>N/A</v>
      </c>
      <c r="K627" t="str">
        <f ca="1">IFERROR(__xludf.DUMMYFUNCTION("""COMPUTED_VALUE"""),"Wakanda Express")</f>
        <v>Wakanda Express</v>
      </c>
      <c r="L627" t="str">
        <f ca="1">IFERROR(__xludf.DUMMYFUNCTION("""COMPUTED_VALUE"""),"N")</f>
        <v>N</v>
      </c>
      <c r="M627" t="str">
        <f ca="1">IFERROR(__xludf.DUMMYFUNCTION("""COMPUTED_VALUE"""),"fo-410")</f>
        <v>fo-410</v>
      </c>
    </row>
    <row r="628" spans="1:13" ht="12.5" x14ac:dyDescent="0.25">
      <c r="A628" t="str">
        <f ca="1">IFERROR(__xludf.DUMMYFUNCTION("""COMPUTED_VALUE"""),"Hianto")</f>
        <v>Hianto</v>
      </c>
      <c r="B628" t="str">
        <f ca="1">IFERROR(__xludf.DUMMYFUNCTION("""COMPUTED_VALUE"""),"Tanoko")</f>
        <v>Tanoko</v>
      </c>
      <c r="C628" t="str">
        <f ca="1">IFERROR(__xludf.DUMMYFUNCTION("""COMPUTED_VALUE"""),"HIANTO@gmailx.com")</f>
        <v>HIANTO@gmailx.com</v>
      </c>
      <c r="D628" t="str">
        <f ca="1">IFERROR(__xludf.DUMMYFUNCTION("""COMPUTED_VALUE"""),"Yogyakarta")</f>
        <v>Yogyakarta</v>
      </c>
      <c r="E628" s="12">
        <f ca="1">IFERROR(__xludf.DUMMYFUNCTION("""COMPUTED_VALUE"""),42979)</f>
        <v>42979</v>
      </c>
      <c r="F628" t="str">
        <f ca="1">IFERROR(__xludf.DUMMYFUNCTION("""COMPUTED_VALUE"""),"KP0750AJ")</f>
        <v>KP0750AJ</v>
      </c>
      <c r="G628" s="11">
        <f ca="1">IFERROR(__xludf.DUMMYFUNCTION("""COMPUTED_VALUE"""),54000000)</f>
        <v>54000000</v>
      </c>
      <c r="H628">
        <f ca="1">IFERROR(__xludf.DUMMYFUNCTION("""COMPUTED_VALUE"""),36359)</f>
        <v>36359</v>
      </c>
      <c r="I628">
        <f ca="1">IFERROR(__xludf.DUMMYFUNCTION("""COMPUTED_VALUE"""),3)</f>
        <v>3</v>
      </c>
      <c r="J628">
        <f ca="1">IFERROR(__xludf.DUMMYFUNCTION("""COMPUTED_VALUE"""),4)</f>
        <v>4</v>
      </c>
      <c r="K628" t="str">
        <f ca="1">IFERROR(__xludf.DUMMYFUNCTION("""COMPUTED_VALUE"""),"Cepat Kirim")</f>
        <v>Cepat Kirim</v>
      </c>
      <c r="L628" t="str">
        <f ca="1">IFERROR(__xludf.DUMMYFUNCTION("""COMPUTED_VALUE"""),"Y")</f>
        <v>Y</v>
      </c>
      <c r="M628" t="str">
        <f ca="1">IFERROR(__xludf.DUMMYFUNCTION("""COMPUTED_VALUE"""),"ic-444")</f>
        <v>ic-444</v>
      </c>
    </row>
    <row r="629" spans="1:13" ht="12.5" x14ac:dyDescent="0.25">
      <c r="A629" t="str">
        <f ca="1">IFERROR(__xludf.DUMMYFUNCTION("""COMPUTED_VALUE"""),"Hendry")</f>
        <v>Hendry</v>
      </c>
      <c r="B629" t="str">
        <f ca="1">IFERROR(__xludf.DUMMYFUNCTION("""COMPUTED_VALUE"""),"E.")</f>
        <v>E.</v>
      </c>
      <c r="C629" t="str">
        <f ca="1">IFERROR(__xludf.DUMMYFUNCTION("""COMPUTED_VALUE"""),"E.@gmailx.com")</f>
        <v>E.@gmailx.com</v>
      </c>
      <c r="D629" t="str">
        <f ca="1">IFERROR(__xludf.DUMMYFUNCTION("""COMPUTED_VALUE"""),"Padang")</f>
        <v>Padang</v>
      </c>
      <c r="E629" s="12">
        <f ca="1">IFERROR(__xludf.DUMMYFUNCTION("""COMPUTED_VALUE"""),42948)</f>
        <v>42948</v>
      </c>
      <c r="F629" t="str">
        <f ca="1">IFERROR(__xludf.DUMMYFUNCTION("""COMPUTED_VALUE"""),"KP0425CB")</f>
        <v>KP0425CB</v>
      </c>
      <c r="G629" s="11">
        <f ca="1">IFERROR(__xludf.DUMMYFUNCTION("""COMPUTED_VALUE"""),245250000)</f>
        <v>245250000</v>
      </c>
      <c r="H629">
        <f ca="1">IFERROR(__xludf.DUMMYFUNCTION("""COMPUTED_VALUE"""),35806)</f>
        <v>35806</v>
      </c>
      <c r="I629">
        <f ca="1">IFERROR(__xludf.DUMMYFUNCTION("""COMPUTED_VALUE"""),9)</f>
        <v>9</v>
      </c>
      <c r="J629">
        <f ca="1">IFERROR(__xludf.DUMMYFUNCTION("""COMPUTED_VALUE"""),4)</f>
        <v>4</v>
      </c>
      <c r="K629" t="str">
        <f ca="1">IFERROR(__xludf.DUMMYFUNCTION("""COMPUTED_VALUE"""),"Wakanda Express")</f>
        <v>Wakanda Express</v>
      </c>
      <c r="L629" t="str">
        <f ca="1">IFERROR(__xludf.DUMMYFUNCTION("""COMPUTED_VALUE"""),"Y")</f>
        <v>Y</v>
      </c>
      <c r="M629" t="str">
        <f ca="1">IFERROR(__xludf.DUMMYFUNCTION("""COMPUTED_VALUE"""),"pk-559")</f>
        <v>pk-559</v>
      </c>
    </row>
    <row r="630" spans="1:13" ht="12.5" x14ac:dyDescent="0.25">
      <c r="A630" t="str">
        <f ca="1">IFERROR(__xludf.DUMMYFUNCTION("""COMPUTED_VALUE"""),"Jeffrey")</f>
        <v>Jeffrey</v>
      </c>
      <c r="B630" t="str">
        <f ca="1">IFERROR(__xludf.DUMMYFUNCTION("""COMPUTED_VALUE"""),"Tjokrosaputro")</f>
        <v>Tjokrosaputro</v>
      </c>
      <c r="C630" t="str">
        <f ca="1">IFERROR(__xludf.DUMMYFUNCTION("""COMPUTED_VALUE"""),"Tjokrosaputro@ymailx.com")</f>
        <v>Tjokrosaputro@ymailx.com</v>
      </c>
      <c r="D630" t="str">
        <f ca="1">IFERROR(__xludf.DUMMYFUNCTION("""COMPUTED_VALUE"""),"Surabaya")</f>
        <v>Surabaya</v>
      </c>
      <c r="E630" s="12">
        <f ca="1">IFERROR(__xludf.DUMMYFUNCTION("""COMPUTED_VALUE"""),42917)</f>
        <v>42917</v>
      </c>
      <c r="F630" t="str">
        <f ca="1">IFERROR(__xludf.DUMMYFUNCTION("""COMPUTED_VALUE"""),"KP0150BH")</f>
        <v>KP0150BH</v>
      </c>
      <c r="G630" s="11">
        <f ca="1">IFERROR(__xludf.DUMMYFUNCTION("""COMPUTED_VALUE"""),189000000)</f>
        <v>189000000</v>
      </c>
      <c r="H630">
        <f ca="1">IFERROR(__xludf.DUMMYFUNCTION("""COMPUTED_VALUE"""),36459)</f>
        <v>36459</v>
      </c>
      <c r="I630">
        <f ca="1">IFERROR(__xludf.DUMMYFUNCTION("""COMPUTED_VALUE"""),7)</f>
        <v>7</v>
      </c>
      <c r="J630" t="str">
        <f ca="1">IFERROR(__xludf.DUMMYFUNCTION("""COMPUTED_VALUE"""),"N/A")</f>
        <v>N/A</v>
      </c>
      <c r="K630" t="str">
        <f ca="1">IFERROR(__xludf.DUMMYFUNCTION("""COMPUTED_VALUE"""),"Swift Delivery")</f>
        <v>Swift Delivery</v>
      </c>
      <c r="L630" t="str">
        <f ca="1">IFERROR(__xludf.DUMMYFUNCTION("""COMPUTED_VALUE"""),"Y")</f>
        <v>Y</v>
      </c>
      <c r="M630" t="str">
        <f ca="1">IFERROR(__xludf.DUMMYFUNCTION("""COMPUTED_VALUE"""),"bn-123")</f>
        <v>bn-123</v>
      </c>
    </row>
    <row r="631" spans="1:13" ht="12.5" x14ac:dyDescent="0.25">
      <c r="A631" t="str">
        <f ca="1">IFERROR(__xludf.DUMMYFUNCTION("""COMPUTED_VALUE"""),"Bimo")</f>
        <v>Bimo</v>
      </c>
      <c r="B631" t="str">
        <f ca="1">IFERROR(__xludf.DUMMYFUNCTION("""COMPUTED_VALUE"""),"Wirawan")</f>
        <v>Wirawan</v>
      </c>
      <c r="C631" t="str">
        <f ca="1">IFERROR(__xludf.DUMMYFUNCTION("""COMPUTED_VALUE"""),"Bimo@gmailx.com")</f>
        <v>Bimo@gmailx.com</v>
      </c>
      <c r="D631" t="str">
        <f ca="1">IFERROR(__xludf.DUMMYFUNCTION("""COMPUTED_VALUE"""),"Lhokseumawe")</f>
        <v>Lhokseumawe</v>
      </c>
      <c r="E631" s="12">
        <f ca="1">IFERROR(__xludf.DUMMYFUNCTION("""COMPUTED_VALUE"""),42917)</f>
        <v>42917</v>
      </c>
      <c r="F631" t="str">
        <f ca="1">IFERROR(__xludf.DUMMYFUNCTION("""COMPUTED_VALUE"""),"KP0150BH")</f>
        <v>KP0150BH</v>
      </c>
      <c r="G631" s="11">
        <f ca="1">IFERROR(__xludf.DUMMYFUNCTION("""COMPUTED_VALUE"""),81000000)</f>
        <v>81000000</v>
      </c>
      <c r="H631">
        <f ca="1">IFERROR(__xludf.DUMMYFUNCTION("""COMPUTED_VALUE"""),36672)</f>
        <v>36672</v>
      </c>
      <c r="I631">
        <f ca="1">IFERROR(__xludf.DUMMYFUNCTION("""COMPUTED_VALUE"""),3)</f>
        <v>3</v>
      </c>
      <c r="J631">
        <f ca="1">IFERROR(__xludf.DUMMYFUNCTION("""COMPUTED_VALUE"""),4)</f>
        <v>4</v>
      </c>
      <c r="K631" t="str">
        <f ca="1">IFERROR(__xludf.DUMMYFUNCTION("""COMPUTED_VALUE"""),"JENT")</f>
        <v>JENT</v>
      </c>
      <c r="L631" t="str">
        <f ca="1">IFERROR(__xludf.DUMMYFUNCTION("""COMPUTED_VALUE"""),"Y")</f>
        <v>Y</v>
      </c>
      <c r="M631" t="str">
        <f ca="1">IFERROR(__xludf.DUMMYFUNCTION("""COMPUTED_VALUE"""),"ks-101")</f>
        <v>ks-101</v>
      </c>
    </row>
    <row r="632" spans="1:13" ht="12.5" x14ac:dyDescent="0.25">
      <c r="A632" t="str">
        <f ca="1">IFERROR(__xludf.DUMMYFUNCTION("""COMPUTED_VALUE"""),"Djoko")</f>
        <v>Djoko</v>
      </c>
      <c r="B632" t="str">
        <f ca="1">IFERROR(__xludf.DUMMYFUNCTION("""COMPUTED_VALUE"""),"Setiadi")</f>
        <v>Setiadi</v>
      </c>
      <c r="C632" t="str">
        <f ca="1">IFERROR(__xludf.DUMMYFUNCTION("""COMPUTED_VALUE"""),"Setiadi@icloudx.com")</f>
        <v>Setiadi@icloudx.com</v>
      </c>
      <c r="D632" t="str">
        <f ca="1">IFERROR(__xludf.DUMMYFUNCTION("""COMPUTED_VALUE"""),"Tangerang")</f>
        <v>Tangerang</v>
      </c>
      <c r="E632" s="12">
        <f ca="1">IFERROR(__xludf.DUMMYFUNCTION("""COMPUTED_VALUE"""),42917)</f>
        <v>42917</v>
      </c>
      <c r="F632" t="str">
        <f ca="1">IFERROR(__xludf.DUMMYFUNCTION("""COMPUTED_VALUE"""),"KP0050AG")</f>
        <v>KP0050AG</v>
      </c>
      <c r="G632" s="11">
        <f ca="1">IFERROR(__xludf.DUMMYFUNCTION("""COMPUTED_VALUE"""),81250000)</f>
        <v>81250000</v>
      </c>
      <c r="H632">
        <f ca="1">IFERROR(__xludf.DUMMYFUNCTION("""COMPUTED_VALUE"""),36416)</f>
        <v>36416</v>
      </c>
      <c r="I632">
        <f ca="1">IFERROR(__xludf.DUMMYFUNCTION("""COMPUTED_VALUE"""),5)</f>
        <v>5</v>
      </c>
      <c r="J632" t="str">
        <f ca="1">IFERROR(__xludf.DUMMYFUNCTION("""COMPUTED_VALUE"""),"N/A")</f>
        <v>N/A</v>
      </c>
      <c r="K632" t="str">
        <f ca="1">IFERROR(__xludf.DUMMYFUNCTION("""COMPUTED_VALUE"""),"Pru Logistic")</f>
        <v>Pru Logistic</v>
      </c>
      <c r="L632" t="str">
        <f ca="1">IFERROR(__xludf.DUMMYFUNCTION("""COMPUTED_VALUE"""),"Y")</f>
        <v>Y</v>
      </c>
      <c r="M632" t="str">
        <f ca="1">IFERROR(__xludf.DUMMYFUNCTION("""COMPUTED_VALUE"""),"ow-500")</f>
        <v>ow-500</v>
      </c>
    </row>
    <row r="633" spans="1:13" ht="12.5" x14ac:dyDescent="0.25">
      <c r="A633" t="str">
        <f ca="1">IFERROR(__xludf.DUMMYFUNCTION("""COMPUTED_VALUE"""),"Febrina")</f>
        <v>Febrina</v>
      </c>
      <c r="B633" t="str">
        <f ca="1">IFERROR(__xludf.DUMMYFUNCTION("""COMPUTED_VALUE"""),"Express")</f>
        <v>Express</v>
      </c>
      <c r="C633" t="str">
        <f ca="1">IFERROR(__xludf.DUMMYFUNCTION("""COMPUTED_VALUE"""),"Febrina@icloudx.com")</f>
        <v>Febrina@icloudx.com</v>
      </c>
      <c r="D633" t="str">
        <f ca="1">IFERROR(__xludf.DUMMYFUNCTION("""COMPUTED_VALUE"""),"Tegal")</f>
        <v>Tegal</v>
      </c>
      <c r="E633" s="12">
        <f ca="1">IFERROR(__xludf.DUMMYFUNCTION("""COMPUTED_VALUE"""),42887)</f>
        <v>42887</v>
      </c>
      <c r="F633" t="str">
        <f ca="1">IFERROR(__xludf.DUMMYFUNCTION("""COMPUTED_VALUE"""),"KP0750AJ")</f>
        <v>KP0750AJ</v>
      </c>
      <c r="G633" s="11">
        <f ca="1">IFERROR(__xludf.DUMMYFUNCTION("""COMPUTED_VALUE"""),126000000)</f>
        <v>126000000</v>
      </c>
      <c r="H633">
        <f ca="1">IFERROR(__xludf.DUMMYFUNCTION("""COMPUTED_VALUE"""),35241)</f>
        <v>35241</v>
      </c>
      <c r="I633">
        <f ca="1">IFERROR(__xludf.DUMMYFUNCTION("""COMPUTED_VALUE"""),7)</f>
        <v>7</v>
      </c>
      <c r="J633">
        <f ca="1">IFERROR(__xludf.DUMMYFUNCTION("""COMPUTED_VALUE"""),4)</f>
        <v>4</v>
      </c>
      <c r="K633" t="str">
        <f ca="1">IFERROR(__xludf.DUMMYFUNCTION("""COMPUTED_VALUE"""),"JENT")</f>
        <v>JENT</v>
      </c>
      <c r="L633" t="str">
        <f ca="1">IFERROR(__xludf.DUMMYFUNCTION("""COMPUTED_VALUE"""),"Y")</f>
        <v>Y</v>
      </c>
      <c r="M633" t="str">
        <f ca="1">IFERROR(__xludf.DUMMYFUNCTION("""COMPUTED_VALUE"""),"or-410")</f>
        <v>or-410</v>
      </c>
    </row>
    <row r="634" spans="1:13" ht="12.5" x14ac:dyDescent="0.25">
      <c r="A634" t="str">
        <f ca="1">IFERROR(__xludf.DUMMYFUNCTION("""COMPUTED_VALUE"""),"Dr.")</f>
        <v>Dr.</v>
      </c>
      <c r="B634" t="str">
        <f ca="1">IFERROR(__xludf.DUMMYFUNCTION("""COMPUTED_VALUE"""),"Louis")</f>
        <v>Louis</v>
      </c>
      <c r="C634" t="str">
        <f ca="1">IFERROR(__xludf.DUMMYFUNCTION("""COMPUTED_VALUE"""),"Dr.@icloudx.com")</f>
        <v>Dr.@icloudx.com</v>
      </c>
      <c r="D634" t="str">
        <f ca="1">IFERROR(__xludf.DUMMYFUNCTION("""COMPUTED_VALUE"""),"Prabumulih")</f>
        <v>Prabumulih</v>
      </c>
      <c r="E634" s="12">
        <f ca="1">IFERROR(__xludf.DUMMYFUNCTION("""COMPUTED_VALUE"""),42826)</f>
        <v>42826</v>
      </c>
      <c r="F634" t="str">
        <f ca="1">IFERROR(__xludf.DUMMYFUNCTION("""COMPUTED_VALUE"""),"KP0625AF")</f>
        <v>KP0625AF</v>
      </c>
      <c r="G634" s="11">
        <f ca="1">IFERROR(__xludf.DUMMYFUNCTION("""COMPUTED_VALUE"""),108000000)</f>
        <v>108000000</v>
      </c>
      <c r="H634">
        <f ca="1">IFERROR(__xludf.DUMMYFUNCTION("""COMPUTED_VALUE"""),35151)</f>
        <v>35151</v>
      </c>
      <c r="I634">
        <f ca="1">IFERROR(__xludf.DUMMYFUNCTION("""COMPUTED_VALUE"""),9)</f>
        <v>9</v>
      </c>
      <c r="J634">
        <f ca="1">IFERROR(__xludf.DUMMYFUNCTION("""COMPUTED_VALUE"""),3)</f>
        <v>3</v>
      </c>
      <c r="K634" t="str">
        <f ca="1">IFERROR(__xludf.DUMMYFUNCTION("""COMPUTED_VALUE"""),"Swift Delivery")</f>
        <v>Swift Delivery</v>
      </c>
      <c r="L634" t="str">
        <f ca="1">IFERROR(__xludf.DUMMYFUNCTION("""COMPUTED_VALUE"""),"Y")</f>
        <v>Y</v>
      </c>
      <c r="M634" t="str">
        <f ca="1">IFERROR(__xludf.DUMMYFUNCTION("""COMPUTED_VALUE"""),"kk-661")</f>
        <v>kk-661</v>
      </c>
    </row>
    <row r="635" spans="1:13" ht="12.5" x14ac:dyDescent="0.25">
      <c r="A635" t="str">
        <f ca="1">IFERROR(__xludf.DUMMYFUNCTION("""COMPUTED_VALUE"""),"Sistha")</f>
        <v>Sistha</v>
      </c>
      <c r="B635" t="str">
        <f ca="1">IFERROR(__xludf.DUMMYFUNCTION("""COMPUTED_VALUE"""),"Yordan")</f>
        <v>Yordan</v>
      </c>
      <c r="C635" t="str">
        <f ca="1">IFERROR(__xludf.DUMMYFUNCTION("""COMPUTED_VALUE"""),"Sistha@ymailx.com")</f>
        <v>Sistha@ymailx.com</v>
      </c>
      <c r="D635" t="str">
        <f ca="1">IFERROR(__xludf.DUMMYFUNCTION("""COMPUTED_VALUE"""),"Bitung")</f>
        <v>Bitung</v>
      </c>
      <c r="E635" s="12">
        <f ca="1">IFERROR(__xludf.DUMMYFUNCTION("""COMPUTED_VALUE"""),42826)</f>
        <v>42826</v>
      </c>
      <c r="F635" t="str">
        <f ca="1">IFERROR(__xludf.DUMMYFUNCTION("""COMPUTED_VALUE"""),"KP0925SG")</f>
        <v>KP0925SG</v>
      </c>
      <c r="G635" s="11">
        <f ca="1">IFERROR(__xludf.DUMMYFUNCTION("""COMPUTED_VALUE"""),150000000)</f>
        <v>150000000</v>
      </c>
      <c r="H635">
        <f ca="1">IFERROR(__xludf.DUMMYFUNCTION("""COMPUTED_VALUE"""),36310)</f>
        <v>36310</v>
      </c>
      <c r="I635">
        <f ca="1">IFERROR(__xludf.DUMMYFUNCTION("""COMPUTED_VALUE"""),10)</f>
        <v>10</v>
      </c>
      <c r="J635" t="str">
        <f ca="1">IFERROR(__xludf.DUMMYFUNCTION("""COMPUTED_VALUE"""),"N/A")</f>
        <v>N/A</v>
      </c>
      <c r="K635" t="str">
        <f ca="1">IFERROR(__xludf.DUMMYFUNCTION("""COMPUTED_VALUE"""),"Pru Logistic")</f>
        <v>Pru Logistic</v>
      </c>
      <c r="L635" t="str">
        <f ca="1">IFERROR(__xludf.DUMMYFUNCTION("""COMPUTED_VALUE"""),"N")</f>
        <v>N</v>
      </c>
      <c r="M635" t="str">
        <f ca="1">IFERROR(__xludf.DUMMYFUNCTION("""COMPUTED_VALUE"""),"dw-221")</f>
        <v>dw-221</v>
      </c>
    </row>
    <row r="636" spans="1:13" ht="12.5" x14ac:dyDescent="0.25">
      <c r="A636" t="str">
        <f ca="1">IFERROR(__xludf.DUMMYFUNCTION("""COMPUTED_VALUE"""),"Bambang")</f>
        <v>Bambang</v>
      </c>
      <c r="B636" t="str">
        <f ca="1">IFERROR(__xludf.DUMMYFUNCTION("""COMPUTED_VALUE"""),"Wirajang")</f>
        <v>Wirajang</v>
      </c>
      <c r="C636" t="str">
        <f ca="1">IFERROR(__xludf.DUMMYFUNCTION("""COMPUTED_VALUE"""),"Bambang@gmailx.com")</f>
        <v>Bambang@gmailx.com</v>
      </c>
      <c r="D636" t="str">
        <f ca="1">IFERROR(__xludf.DUMMYFUNCTION("""COMPUTED_VALUE"""),"Jakarta Pusat")</f>
        <v>Jakarta Pusat</v>
      </c>
      <c r="E636" s="12">
        <f ca="1">IFERROR(__xludf.DUMMYFUNCTION("""COMPUTED_VALUE"""),42795)</f>
        <v>42795</v>
      </c>
      <c r="F636" t="str">
        <f ca="1">IFERROR(__xludf.DUMMYFUNCTION("""COMPUTED_VALUE"""),"KP0625AF")</f>
        <v>KP0625AF</v>
      </c>
      <c r="G636" s="11">
        <f ca="1">IFERROR(__xludf.DUMMYFUNCTION("""COMPUTED_VALUE"""),96000000)</f>
        <v>96000000</v>
      </c>
      <c r="H636">
        <f ca="1">IFERROR(__xludf.DUMMYFUNCTION("""COMPUTED_VALUE"""),37000)</f>
        <v>37000</v>
      </c>
      <c r="I636">
        <f ca="1">IFERROR(__xludf.DUMMYFUNCTION("""COMPUTED_VALUE"""),8)</f>
        <v>8</v>
      </c>
      <c r="J636" t="str">
        <f ca="1">IFERROR(__xludf.DUMMYFUNCTION("""COMPUTED_VALUE"""),"N/A")</f>
        <v>N/A</v>
      </c>
      <c r="K636" t="str">
        <f ca="1">IFERROR(__xludf.DUMMYFUNCTION("""COMPUTED_VALUE"""),"Swift Delivery")</f>
        <v>Swift Delivery</v>
      </c>
      <c r="L636" t="str">
        <f ca="1">IFERROR(__xludf.DUMMYFUNCTION("""COMPUTED_VALUE"""),"Y")</f>
        <v>Y</v>
      </c>
      <c r="M636" t="str">
        <f ca="1">IFERROR(__xludf.DUMMYFUNCTION("""COMPUTED_VALUE"""),"jq-333")</f>
        <v>jq-333</v>
      </c>
    </row>
    <row r="637" spans="1:13" ht="12.5" x14ac:dyDescent="0.25">
      <c r="A637" t="str">
        <f ca="1">IFERROR(__xludf.DUMMYFUNCTION("""COMPUTED_VALUE"""),"Edy")</f>
        <v>Edy</v>
      </c>
      <c r="B637" t="str">
        <f ca="1">IFERROR(__xludf.DUMMYFUNCTION("""COMPUTED_VALUE"""),"Podomoro")</f>
        <v>Podomoro</v>
      </c>
      <c r="C637" t="str">
        <f ca="1">IFERROR(__xludf.DUMMYFUNCTION("""COMPUTED_VALUE"""),"Podomoro@gmailx.com")</f>
        <v>Podomoro@gmailx.com</v>
      </c>
      <c r="D637" t="str">
        <f ca="1">IFERROR(__xludf.DUMMYFUNCTION("""COMPUTED_VALUE"""),"Sungai Penuh")</f>
        <v>Sungai Penuh</v>
      </c>
      <c r="E637" s="12">
        <f ca="1">IFERROR(__xludf.DUMMYFUNCTION("""COMPUTED_VALUE"""),42767)</f>
        <v>42767</v>
      </c>
      <c r="F637" t="str">
        <f ca="1">IFERROR(__xludf.DUMMYFUNCTION("""COMPUTED_VALUE"""),"KP0150BH")</f>
        <v>KP0150BH</v>
      </c>
      <c r="G637" s="11">
        <f ca="1">IFERROR(__xludf.DUMMYFUNCTION("""COMPUTED_VALUE"""),189000000)</f>
        <v>189000000</v>
      </c>
      <c r="H637">
        <f ca="1">IFERROR(__xludf.DUMMYFUNCTION("""COMPUTED_VALUE"""),35258)</f>
        <v>35258</v>
      </c>
      <c r="I637">
        <f ca="1">IFERROR(__xludf.DUMMYFUNCTION("""COMPUTED_VALUE"""),7)</f>
        <v>7</v>
      </c>
      <c r="J637">
        <f ca="1">IFERROR(__xludf.DUMMYFUNCTION("""COMPUTED_VALUE"""),4)</f>
        <v>4</v>
      </c>
      <c r="K637" t="str">
        <f ca="1">IFERROR(__xludf.DUMMYFUNCTION("""COMPUTED_VALUE"""),"Swift Delivery")</f>
        <v>Swift Delivery</v>
      </c>
      <c r="L637" t="str">
        <f ca="1">IFERROR(__xludf.DUMMYFUNCTION("""COMPUTED_VALUE"""),"Y")</f>
        <v>Y</v>
      </c>
      <c r="M637" t="str">
        <f ca="1">IFERROR(__xludf.DUMMYFUNCTION("""COMPUTED_VALUE"""),"te-512")</f>
        <v>te-512</v>
      </c>
    </row>
    <row r="638" spans="1:13" ht="12.5" x14ac:dyDescent="0.25">
      <c r="A638" t="str">
        <f ca="1">IFERROR(__xludf.DUMMYFUNCTION("""COMPUTED_VALUE"""),"Lukman")</f>
        <v>Lukman</v>
      </c>
      <c r="B638" t="str">
        <f ca="1">IFERROR(__xludf.DUMMYFUNCTION("""COMPUTED_VALUE"""),"Busono")</f>
        <v>Busono</v>
      </c>
      <c r="C638" t="str">
        <f ca="1">IFERROR(__xludf.DUMMYFUNCTION("""COMPUTED_VALUE"""),"Busono@gmailx.com")</f>
        <v>Busono@gmailx.com</v>
      </c>
      <c r="D638" t="str">
        <f ca="1">IFERROR(__xludf.DUMMYFUNCTION("""COMPUTED_VALUE"""),"Tebingtinggi")</f>
        <v>Tebingtinggi</v>
      </c>
      <c r="E638" s="12">
        <f ca="1">IFERROR(__xludf.DUMMYFUNCTION("""COMPUTED_VALUE"""),42736)</f>
        <v>42736</v>
      </c>
      <c r="F638" t="str">
        <f ca="1">IFERROR(__xludf.DUMMYFUNCTION("""COMPUTED_VALUE"""),"KP0150BH")</f>
        <v>KP0150BH</v>
      </c>
      <c r="G638" s="11">
        <f ca="1">IFERROR(__xludf.DUMMYFUNCTION("""COMPUTED_VALUE"""),189000000)</f>
        <v>189000000</v>
      </c>
      <c r="H638">
        <f ca="1">IFERROR(__xludf.DUMMYFUNCTION("""COMPUTED_VALUE"""),35024)</f>
        <v>35024</v>
      </c>
      <c r="I638">
        <f ca="1">IFERROR(__xludf.DUMMYFUNCTION("""COMPUTED_VALUE"""),7)</f>
        <v>7</v>
      </c>
      <c r="J638" t="str">
        <f ca="1">IFERROR(__xludf.DUMMYFUNCTION("""COMPUTED_VALUE"""),"N/A")</f>
        <v>N/A</v>
      </c>
      <c r="K638" t="str">
        <f ca="1">IFERROR(__xludf.DUMMYFUNCTION("""COMPUTED_VALUE"""),"Swift Delivery")</f>
        <v>Swift Delivery</v>
      </c>
      <c r="L638" t="str">
        <f ca="1">IFERROR(__xludf.DUMMYFUNCTION("""COMPUTED_VALUE"""),"Y")</f>
        <v>Y</v>
      </c>
      <c r="M638" t="str">
        <f ca="1">IFERROR(__xludf.DUMMYFUNCTION("""COMPUTED_VALUE"""),"yu-662")</f>
        <v>yu-662</v>
      </c>
    </row>
    <row r="639" spans="1:13" ht="12.5" x14ac:dyDescent="0.25">
      <c r="A639" t="str">
        <f ca="1">IFERROR(__xludf.DUMMYFUNCTION("""COMPUTED_VALUE"""),"Lilys")</f>
        <v>Lilys</v>
      </c>
      <c r="B639" t="str">
        <f ca="1">IFERROR(__xludf.DUMMYFUNCTION("""COMPUTED_VALUE"""),"Riady")</f>
        <v>Riady</v>
      </c>
      <c r="C639" t="str">
        <f ca="1">IFERROR(__xludf.DUMMYFUNCTION("""COMPUTED_VALUE"""),"Lilys@ymailx.com")</f>
        <v>Lilys@ymailx.com</v>
      </c>
      <c r="D639" t="str">
        <f ca="1">IFERROR(__xludf.DUMMYFUNCTION("""COMPUTED_VALUE"""),"Jakarta Pusat")</f>
        <v>Jakarta Pusat</v>
      </c>
      <c r="E639" s="12">
        <f ca="1">IFERROR(__xludf.DUMMYFUNCTION("""COMPUTED_VALUE"""),42731)</f>
        <v>42731</v>
      </c>
      <c r="F639" t="str">
        <f ca="1">IFERROR(__xludf.DUMMYFUNCTION("""COMPUTED_VALUE"""),"KP0750AJ")</f>
        <v>KP0750AJ</v>
      </c>
      <c r="G639" s="11">
        <f ca="1">IFERROR(__xludf.DUMMYFUNCTION("""COMPUTED_VALUE"""),144000000)</f>
        <v>144000000</v>
      </c>
      <c r="H639">
        <f ca="1">IFERROR(__xludf.DUMMYFUNCTION("""COMPUTED_VALUE"""),35064)</f>
        <v>35064</v>
      </c>
      <c r="I639">
        <f ca="1">IFERROR(__xludf.DUMMYFUNCTION("""COMPUTED_VALUE"""),8)</f>
        <v>8</v>
      </c>
      <c r="J639">
        <f ca="1">IFERROR(__xludf.DUMMYFUNCTION("""COMPUTED_VALUE"""),4)</f>
        <v>4</v>
      </c>
      <c r="K639" t="str">
        <f ca="1">IFERROR(__xludf.DUMMYFUNCTION("""COMPUTED_VALUE"""),"JENT")</f>
        <v>JENT</v>
      </c>
      <c r="L639" t="str">
        <f ca="1">IFERROR(__xludf.DUMMYFUNCTION("""COMPUTED_VALUE"""),"Y")</f>
        <v>Y</v>
      </c>
      <c r="M639" t="str">
        <f ca="1">IFERROR(__xludf.DUMMYFUNCTION("""COMPUTED_VALUE"""),"ik-333")</f>
        <v>ik-333</v>
      </c>
    </row>
    <row r="640" spans="1:13" ht="12.5" x14ac:dyDescent="0.25">
      <c r="A640" t="str">
        <f ca="1">IFERROR(__xludf.DUMMYFUNCTION("""COMPUTED_VALUE"""),"Kiki")</f>
        <v>Kiki</v>
      </c>
      <c r="B640" t="str">
        <f ca="1">IFERROR(__xludf.DUMMYFUNCTION("""COMPUTED_VALUE"""),"Utomo")</f>
        <v>Utomo</v>
      </c>
      <c r="C640" t="str">
        <f ca="1">IFERROR(__xludf.DUMMYFUNCTION("""COMPUTED_VALUE"""),"Utomo@ymailx.com")</f>
        <v>Utomo@ymailx.com</v>
      </c>
      <c r="D640" t="str">
        <f ca="1">IFERROR(__xludf.DUMMYFUNCTION("""COMPUTED_VALUE"""),"Yogyakarta")</f>
        <v>Yogyakarta</v>
      </c>
      <c r="E640" s="12">
        <f ca="1">IFERROR(__xludf.DUMMYFUNCTION("""COMPUTED_VALUE"""),42730)</f>
        <v>42730</v>
      </c>
      <c r="F640" t="str">
        <f ca="1">IFERROR(__xludf.DUMMYFUNCTION("""COMPUTED_VALUE"""),"KP0750AJ")</f>
        <v>KP0750AJ</v>
      </c>
      <c r="G640" s="11">
        <f ca="1">IFERROR(__xludf.DUMMYFUNCTION("""COMPUTED_VALUE"""),90000000)</f>
        <v>90000000</v>
      </c>
      <c r="H640">
        <f ca="1">IFERROR(__xludf.DUMMYFUNCTION("""COMPUTED_VALUE"""),36980)</f>
        <v>36980</v>
      </c>
      <c r="I640">
        <f ca="1">IFERROR(__xludf.DUMMYFUNCTION("""COMPUTED_VALUE"""),5)</f>
        <v>5</v>
      </c>
      <c r="J640">
        <f ca="1">IFERROR(__xludf.DUMMYFUNCTION("""COMPUTED_VALUE"""),4)</f>
        <v>4</v>
      </c>
      <c r="K640" t="str">
        <f ca="1">IFERROR(__xludf.DUMMYFUNCTION("""COMPUTED_VALUE"""),"JENT")</f>
        <v>JENT</v>
      </c>
      <c r="L640" t="str">
        <f ca="1">IFERROR(__xludf.DUMMYFUNCTION("""COMPUTED_VALUE"""),"Y")</f>
        <v>Y</v>
      </c>
      <c r="M640" t="str">
        <f ca="1">IFERROR(__xludf.DUMMYFUNCTION("""COMPUTED_VALUE"""),"hd-444")</f>
        <v>hd-444</v>
      </c>
    </row>
    <row r="641" spans="1:13" ht="12.5" x14ac:dyDescent="0.25">
      <c r="A641" t="str">
        <f ca="1">IFERROR(__xludf.DUMMYFUNCTION("""COMPUTED_VALUE"""),"Ronald")</f>
        <v>Ronald</v>
      </c>
      <c r="B641" t="str">
        <f ca="1">IFERROR(__xludf.DUMMYFUNCTION("""COMPUTED_VALUE"""),"Heryanto")</f>
        <v>Heryanto</v>
      </c>
      <c r="C641" t="str">
        <f ca="1">IFERROR(__xludf.DUMMYFUNCTION("""COMPUTED_VALUE"""),"Ronald@livex.com")</f>
        <v>Ronald@livex.com</v>
      </c>
      <c r="D641" t="str">
        <f ca="1">IFERROR(__xludf.DUMMYFUNCTION("""COMPUTED_VALUE"""),"Kendari")</f>
        <v>Kendari</v>
      </c>
      <c r="E641" s="12">
        <f ca="1">IFERROR(__xludf.DUMMYFUNCTION("""COMPUTED_VALUE"""),42728)</f>
        <v>42728</v>
      </c>
      <c r="F641" t="str">
        <f ca="1">IFERROR(__xludf.DUMMYFUNCTION("""COMPUTED_VALUE"""),"KP0425CB")</f>
        <v>KP0425CB</v>
      </c>
      <c r="G641" s="11">
        <f ca="1">IFERROR(__xludf.DUMMYFUNCTION("""COMPUTED_VALUE"""),272500000)</f>
        <v>272500000</v>
      </c>
      <c r="H641">
        <f ca="1">IFERROR(__xludf.DUMMYFUNCTION("""COMPUTED_VALUE"""),35362)</f>
        <v>35362</v>
      </c>
      <c r="I641">
        <f ca="1">IFERROR(__xludf.DUMMYFUNCTION("""COMPUTED_VALUE"""),10)</f>
        <v>10</v>
      </c>
      <c r="J641" t="str">
        <f ca="1">IFERROR(__xludf.DUMMYFUNCTION("""COMPUTED_VALUE"""),"N/A")</f>
        <v>N/A</v>
      </c>
      <c r="K641" t="str">
        <f ca="1">IFERROR(__xludf.DUMMYFUNCTION("""COMPUTED_VALUE"""),"Pru Logistic")</f>
        <v>Pru Logistic</v>
      </c>
      <c r="L641" t="str">
        <f ca="1">IFERROR(__xludf.DUMMYFUNCTION("""COMPUTED_VALUE"""),"N")</f>
        <v>N</v>
      </c>
      <c r="M641" t="str">
        <f ca="1">IFERROR(__xludf.DUMMYFUNCTION("""COMPUTED_VALUE"""),"qh-250")</f>
        <v>qh-250</v>
      </c>
    </row>
    <row r="642" spans="1:13" ht="12.5" x14ac:dyDescent="0.25">
      <c r="A642" t="str">
        <f ca="1">IFERROR(__xludf.DUMMYFUNCTION("""COMPUTED_VALUE"""),"Evelyn")</f>
        <v>Evelyn</v>
      </c>
      <c r="B642" t="str">
        <f ca="1">IFERROR(__xludf.DUMMYFUNCTION("""COMPUTED_VALUE"""),"Solana")</f>
        <v>Solana</v>
      </c>
      <c r="C642" t="str">
        <f ca="1">IFERROR(__xludf.DUMMYFUNCTION("""COMPUTED_VALUE"""),"Solana@livex.com")</f>
        <v>Solana@livex.com</v>
      </c>
      <c r="D642" t="str">
        <f ca="1">IFERROR(__xludf.DUMMYFUNCTION("""COMPUTED_VALUE"""),"Bima")</f>
        <v>Bima</v>
      </c>
      <c r="E642" s="12">
        <f ca="1">IFERROR(__xludf.DUMMYFUNCTION("""COMPUTED_VALUE"""),42727)</f>
        <v>42727</v>
      </c>
      <c r="F642" t="str">
        <f ca="1">IFERROR(__xludf.DUMMYFUNCTION("""COMPUTED_VALUE"""),"KP0850FB")</f>
        <v>KP0850FB</v>
      </c>
      <c r="G642" s="11">
        <f ca="1">IFERROR(__xludf.DUMMYFUNCTION("""COMPUTED_VALUE"""),168000000)</f>
        <v>168000000</v>
      </c>
      <c r="H642">
        <f ca="1">IFERROR(__xludf.DUMMYFUNCTION("""COMPUTED_VALUE"""),35449)</f>
        <v>35449</v>
      </c>
      <c r="I642">
        <f ca="1">IFERROR(__xludf.DUMMYFUNCTION("""COMPUTED_VALUE"""),8)</f>
        <v>8</v>
      </c>
      <c r="J642">
        <f ca="1">IFERROR(__xludf.DUMMYFUNCTION("""COMPUTED_VALUE"""),3)</f>
        <v>3</v>
      </c>
      <c r="K642" t="str">
        <f ca="1">IFERROR(__xludf.DUMMYFUNCTION("""COMPUTED_VALUE"""),"JENT")</f>
        <v>JENT</v>
      </c>
      <c r="L642" t="str">
        <f ca="1">IFERROR(__xludf.DUMMYFUNCTION("""COMPUTED_VALUE"""),"Y")</f>
        <v>Y</v>
      </c>
      <c r="M642" t="str">
        <f ca="1">IFERROR(__xludf.DUMMYFUNCTION("""COMPUTED_VALUE"""),"xn-183")</f>
        <v>xn-183</v>
      </c>
    </row>
    <row r="643" spans="1:13" ht="12.5" x14ac:dyDescent="0.25">
      <c r="A643" t="str">
        <f ca="1">IFERROR(__xludf.DUMMYFUNCTION("""COMPUTED_VALUE"""),"Ronald")</f>
        <v>Ronald</v>
      </c>
      <c r="B643" t="str">
        <f ca="1">IFERROR(__xludf.DUMMYFUNCTION("""COMPUTED_VALUE"""),"Irawan")</f>
        <v>Irawan</v>
      </c>
      <c r="C643" t="str">
        <f ca="1">IFERROR(__xludf.DUMMYFUNCTION("""COMPUTED_VALUE"""),"Irawan@mex.com")</f>
        <v>Irawan@mex.com</v>
      </c>
      <c r="D643" t="str">
        <f ca="1">IFERROR(__xludf.DUMMYFUNCTION("""COMPUTED_VALUE"""),"Depok")</f>
        <v>Depok</v>
      </c>
      <c r="E643" s="12">
        <f ca="1">IFERROR(__xludf.DUMMYFUNCTION("""COMPUTED_VALUE"""),42726)</f>
        <v>42726</v>
      </c>
      <c r="F643" t="str">
        <f ca="1">IFERROR(__xludf.DUMMYFUNCTION("""COMPUTED_VALUE"""),"KP0625AF")</f>
        <v>KP0625AF</v>
      </c>
      <c r="G643" s="11">
        <f ca="1">IFERROR(__xludf.DUMMYFUNCTION("""COMPUTED_VALUE"""),48000000)</f>
        <v>48000000</v>
      </c>
      <c r="H643">
        <f ca="1">IFERROR(__xludf.DUMMYFUNCTION("""COMPUTED_VALUE"""),36842)</f>
        <v>36842</v>
      </c>
      <c r="I643">
        <f ca="1">IFERROR(__xludf.DUMMYFUNCTION("""COMPUTED_VALUE"""),4)</f>
        <v>4</v>
      </c>
      <c r="J643" t="str">
        <f ca="1">IFERROR(__xludf.DUMMYFUNCTION("""COMPUTED_VALUE"""),"N/A")</f>
        <v>N/A</v>
      </c>
      <c r="K643" t="str">
        <f ca="1">IFERROR(__xludf.DUMMYFUNCTION("""COMPUTED_VALUE"""),"Wakanda Express")</f>
        <v>Wakanda Express</v>
      </c>
      <c r="L643" t="str">
        <f ca="1">IFERROR(__xludf.DUMMYFUNCTION("""COMPUTED_VALUE"""),"N")</f>
        <v>N</v>
      </c>
      <c r="M643" t="str">
        <f ca="1">IFERROR(__xludf.DUMMYFUNCTION("""COMPUTED_VALUE"""),"ft-409")</f>
        <v>ft-409</v>
      </c>
    </row>
    <row r="644" spans="1:13" ht="12.5" x14ac:dyDescent="0.25">
      <c r="A644" t="str">
        <f ca="1">IFERROR(__xludf.DUMMYFUNCTION("""COMPUTED_VALUE"""),"Nathalia")</f>
        <v>Nathalia</v>
      </c>
      <c r="B644" t="str">
        <f ca="1">IFERROR(__xludf.DUMMYFUNCTION("""COMPUTED_VALUE"""),"Edward")</f>
        <v>Edward</v>
      </c>
      <c r="C644" t="str">
        <f ca="1">IFERROR(__xludf.DUMMYFUNCTION("""COMPUTED_VALUE"""),"Nathalia@rocketmailx.com")</f>
        <v>Nathalia@rocketmailx.com</v>
      </c>
      <c r="D644" t="str">
        <f ca="1">IFERROR(__xludf.DUMMYFUNCTION("""COMPUTED_VALUE"""),"Probolinggo")</f>
        <v>Probolinggo</v>
      </c>
      <c r="E644" s="12">
        <f ca="1">IFERROR(__xludf.DUMMYFUNCTION("""COMPUTED_VALUE"""),42725)</f>
        <v>42725</v>
      </c>
      <c r="F644" t="str">
        <f ca="1">IFERROR(__xludf.DUMMYFUNCTION("""COMPUTED_VALUE"""),"KP0225BB")</f>
        <v>KP0225BB</v>
      </c>
      <c r="G644" s="11">
        <f ca="1">IFERROR(__xludf.DUMMYFUNCTION("""COMPUTED_VALUE"""),90000000)</f>
        <v>90000000</v>
      </c>
      <c r="H644">
        <f ca="1">IFERROR(__xludf.DUMMYFUNCTION("""COMPUTED_VALUE"""),35957)</f>
        <v>35957</v>
      </c>
      <c r="I644">
        <f ca="1">IFERROR(__xludf.DUMMYFUNCTION("""COMPUTED_VALUE"""),9)</f>
        <v>9</v>
      </c>
      <c r="J644">
        <f ca="1">IFERROR(__xludf.DUMMYFUNCTION("""COMPUTED_VALUE"""),4)</f>
        <v>4</v>
      </c>
      <c r="K644" t="str">
        <f ca="1">IFERROR(__xludf.DUMMYFUNCTION("""COMPUTED_VALUE"""),"JENT")</f>
        <v>JENT</v>
      </c>
      <c r="L644" t="str">
        <f ca="1">IFERROR(__xludf.DUMMYFUNCTION("""COMPUTED_VALUE"""),"N")</f>
        <v>N</v>
      </c>
      <c r="M644" t="str">
        <f ca="1">IFERROR(__xludf.DUMMYFUNCTION("""COMPUTED_VALUE"""),"wq-123")</f>
        <v>wq-123</v>
      </c>
    </row>
    <row r="645" spans="1:13" ht="12.5" x14ac:dyDescent="0.25">
      <c r="A645" t="str">
        <f ca="1">IFERROR(__xludf.DUMMYFUNCTION("""COMPUTED_VALUE"""),"Gerald")</f>
        <v>Gerald</v>
      </c>
      <c r="B645" t="str">
        <f ca="1">IFERROR(__xludf.DUMMYFUNCTION("""COMPUTED_VALUE"""),"Indrajani")</f>
        <v>Indrajani</v>
      </c>
      <c r="C645" t="str">
        <f ca="1">IFERROR(__xludf.DUMMYFUNCTION("""COMPUTED_VALUE"""),"Gerald@gmailx.com")</f>
        <v>Gerald@gmailx.com</v>
      </c>
      <c r="D645" t="str">
        <f ca="1">IFERROR(__xludf.DUMMYFUNCTION("""COMPUTED_VALUE"""),"Prabumulih")</f>
        <v>Prabumulih</v>
      </c>
      <c r="E645" s="12">
        <f ca="1">IFERROR(__xludf.DUMMYFUNCTION("""COMPUTED_VALUE"""),42724)</f>
        <v>42724</v>
      </c>
      <c r="F645" t="str">
        <f ca="1">IFERROR(__xludf.DUMMYFUNCTION("""COMPUTED_VALUE"""),"KP0750AJ")</f>
        <v>KP0750AJ</v>
      </c>
      <c r="G645" s="11">
        <f ca="1">IFERROR(__xludf.DUMMYFUNCTION("""COMPUTED_VALUE"""),36000000)</f>
        <v>36000000</v>
      </c>
      <c r="H645">
        <f ca="1">IFERROR(__xludf.DUMMYFUNCTION("""COMPUTED_VALUE"""),35128)</f>
        <v>35128</v>
      </c>
      <c r="I645">
        <f ca="1">IFERROR(__xludf.DUMMYFUNCTION("""COMPUTED_VALUE"""),2)</f>
        <v>2</v>
      </c>
      <c r="J645" t="str">
        <f ca="1">IFERROR(__xludf.DUMMYFUNCTION("""COMPUTED_VALUE"""),"N/A")</f>
        <v>N/A</v>
      </c>
      <c r="K645" t="str">
        <f ca="1">IFERROR(__xludf.DUMMYFUNCTION("""COMPUTED_VALUE"""),"JENT")</f>
        <v>JENT</v>
      </c>
      <c r="L645" t="str">
        <f ca="1">IFERROR(__xludf.DUMMYFUNCTION("""COMPUTED_VALUE"""),"Y")</f>
        <v>Y</v>
      </c>
      <c r="M645" t="str">
        <f ca="1">IFERROR(__xludf.DUMMYFUNCTION("""COMPUTED_VALUE"""),"ur-661")</f>
        <v>ur-661</v>
      </c>
    </row>
    <row r="646" spans="1:13" ht="12.5" x14ac:dyDescent="0.25">
      <c r="A646" t="str">
        <f ca="1">IFERROR(__xludf.DUMMYFUNCTION("""COMPUTED_VALUE"""),"Erwin")</f>
        <v>Erwin</v>
      </c>
      <c r="B646" t="str">
        <f ca="1">IFERROR(__xludf.DUMMYFUNCTION("""COMPUTED_VALUE"""),"Elizabeth")</f>
        <v>Elizabeth</v>
      </c>
      <c r="C646" t="str">
        <f ca="1">IFERROR(__xludf.DUMMYFUNCTION("""COMPUTED_VALUE"""),"Elizabeth@ymailx.com")</f>
        <v>Elizabeth@ymailx.com</v>
      </c>
      <c r="D646" t="str">
        <f ca="1">IFERROR(__xludf.DUMMYFUNCTION("""COMPUTED_VALUE"""),"Pasuruan")</f>
        <v>Pasuruan</v>
      </c>
      <c r="E646" s="12">
        <f ca="1">IFERROR(__xludf.DUMMYFUNCTION("""COMPUTED_VALUE"""),42724)</f>
        <v>42724</v>
      </c>
      <c r="F646" t="str">
        <f ca="1">IFERROR(__xludf.DUMMYFUNCTION("""COMPUTED_VALUE"""),"KP0850FB")</f>
        <v>KP0850FB</v>
      </c>
      <c r="G646" s="11">
        <f ca="1">IFERROR(__xludf.DUMMYFUNCTION("""COMPUTED_VALUE"""),105000000)</f>
        <v>105000000</v>
      </c>
      <c r="H646">
        <f ca="1">IFERROR(__xludf.DUMMYFUNCTION("""COMPUTED_VALUE"""),36587)</f>
        <v>36587</v>
      </c>
      <c r="I646">
        <f ca="1">IFERROR(__xludf.DUMMYFUNCTION("""COMPUTED_VALUE"""),5)</f>
        <v>5</v>
      </c>
      <c r="J646">
        <f ca="1">IFERROR(__xludf.DUMMYFUNCTION("""COMPUTED_VALUE"""),4)</f>
        <v>4</v>
      </c>
      <c r="K646" t="str">
        <f ca="1">IFERROR(__xludf.DUMMYFUNCTION("""COMPUTED_VALUE"""),"JENT")</f>
        <v>JENT</v>
      </c>
      <c r="L646" t="str">
        <f ca="1">IFERROR(__xludf.DUMMYFUNCTION("""COMPUTED_VALUE"""),"Y")</f>
        <v>Y</v>
      </c>
      <c r="M646" t="str">
        <f ca="1">IFERROR(__xludf.DUMMYFUNCTION("""COMPUTED_VALUE"""),"dc-123")</f>
        <v>dc-123</v>
      </c>
    </row>
    <row r="647" spans="1:13" ht="12.5" x14ac:dyDescent="0.25">
      <c r="A647" t="str">
        <f ca="1">IFERROR(__xludf.DUMMYFUNCTION("""COMPUTED_VALUE"""),"Hertono")</f>
        <v>Hertono</v>
      </c>
      <c r="B647" t="str">
        <f ca="1">IFERROR(__xludf.DUMMYFUNCTION("""COMPUTED_VALUE"""),"Tanuwidjaja")</f>
        <v>Tanuwidjaja</v>
      </c>
      <c r="C647" t="str">
        <f ca="1">IFERROR(__xludf.DUMMYFUNCTION("""COMPUTED_VALUE"""),"HERTONO@ymailx.com")</f>
        <v>HERTONO@ymailx.com</v>
      </c>
      <c r="D647" t="str">
        <f ca="1">IFERROR(__xludf.DUMMYFUNCTION("""COMPUTED_VALUE"""),"Payakumbuh")</f>
        <v>Payakumbuh</v>
      </c>
      <c r="E647" s="12">
        <f ca="1">IFERROR(__xludf.DUMMYFUNCTION("""COMPUTED_VALUE"""),42724)</f>
        <v>42724</v>
      </c>
      <c r="F647" t="str">
        <f ca="1">IFERROR(__xludf.DUMMYFUNCTION("""COMPUTED_VALUE"""),"KP0750AJ")</f>
        <v>KP0750AJ</v>
      </c>
      <c r="G647" s="11">
        <f ca="1">IFERROR(__xludf.DUMMYFUNCTION("""COMPUTED_VALUE"""),180000000)</f>
        <v>180000000</v>
      </c>
      <c r="H647">
        <f ca="1">IFERROR(__xludf.DUMMYFUNCTION("""COMPUTED_VALUE"""),36654)</f>
        <v>36654</v>
      </c>
      <c r="I647">
        <f ca="1">IFERROR(__xludf.DUMMYFUNCTION("""COMPUTED_VALUE"""),10)</f>
        <v>10</v>
      </c>
      <c r="J647">
        <f ca="1">IFERROR(__xludf.DUMMYFUNCTION("""COMPUTED_VALUE"""),2)</f>
        <v>2</v>
      </c>
      <c r="K647" t="str">
        <f ca="1">IFERROR(__xludf.DUMMYFUNCTION("""COMPUTED_VALUE"""),"JENT")</f>
        <v>JENT</v>
      </c>
      <c r="L647" t="str">
        <f ca="1">IFERROR(__xludf.DUMMYFUNCTION("""COMPUTED_VALUE"""),"Y")</f>
        <v>Y</v>
      </c>
      <c r="M647" t="str">
        <f ca="1">IFERROR(__xludf.DUMMYFUNCTION("""COMPUTED_VALUE"""),"jx-559")</f>
        <v>jx-559</v>
      </c>
    </row>
    <row r="648" spans="1:13" ht="12.5" x14ac:dyDescent="0.25">
      <c r="A648" t="str">
        <f ca="1">IFERROR(__xludf.DUMMYFUNCTION("""COMPUTED_VALUE"""),"Hadi")</f>
        <v>Hadi</v>
      </c>
      <c r="B648" t="str">
        <f ca="1">IFERROR(__xludf.DUMMYFUNCTION("""COMPUTED_VALUE"""),"Didi")</f>
        <v>Didi</v>
      </c>
      <c r="C648" t="str">
        <f ca="1">IFERROR(__xludf.DUMMYFUNCTION("""COMPUTED_VALUE"""),"Didi@gmailx.com")</f>
        <v>Didi@gmailx.com</v>
      </c>
      <c r="D648" t="str">
        <f ca="1">IFERROR(__xludf.DUMMYFUNCTION("""COMPUTED_VALUE"""),"Jakarta Utara")</f>
        <v>Jakarta Utara</v>
      </c>
      <c r="E648" s="12">
        <f ca="1">IFERROR(__xludf.DUMMYFUNCTION("""COMPUTED_VALUE"""),42723)</f>
        <v>42723</v>
      </c>
      <c r="F648" t="str">
        <f ca="1">IFERROR(__xludf.DUMMYFUNCTION("""COMPUTED_VALUE"""),"KP0050AG")</f>
        <v>KP0050AG</v>
      </c>
      <c r="G648" s="11">
        <f ca="1">IFERROR(__xludf.DUMMYFUNCTION("""COMPUTED_VALUE"""),97500000)</f>
        <v>97500000</v>
      </c>
      <c r="H648">
        <f ca="1">IFERROR(__xludf.DUMMYFUNCTION("""COMPUTED_VALUE"""),35771)</f>
        <v>35771</v>
      </c>
      <c r="I648">
        <f ca="1">IFERROR(__xludf.DUMMYFUNCTION("""COMPUTED_VALUE"""),6)</f>
        <v>6</v>
      </c>
      <c r="J648">
        <f ca="1">IFERROR(__xludf.DUMMYFUNCTION("""COMPUTED_VALUE"""),4)</f>
        <v>4</v>
      </c>
      <c r="K648" t="str">
        <f ca="1">IFERROR(__xludf.DUMMYFUNCTION("""COMPUTED_VALUE"""),"Swift Delivery")</f>
        <v>Swift Delivery</v>
      </c>
      <c r="L648" t="str">
        <f ca="1">IFERROR(__xludf.DUMMYFUNCTION("""COMPUTED_VALUE"""),"Y")</f>
        <v>Y</v>
      </c>
      <c r="M648" t="str">
        <f ca="1">IFERROR(__xludf.DUMMYFUNCTION("""COMPUTED_VALUE"""),"vn-333")</f>
        <v>vn-333</v>
      </c>
    </row>
    <row r="649" spans="1:13" ht="12.5" x14ac:dyDescent="0.25">
      <c r="A649" t="str">
        <f ca="1">IFERROR(__xludf.DUMMYFUNCTION("""COMPUTED_VALUE"""),"Fahmi")</f>
        <v>Fahmi</v>
      </c>
      <c r="B649" t="str">
        <f ca="1">IFERROR(__xludf.DUMMYFUNCTION("""COMPUTED_VALUE"""),"Sunarjo")</f>
        <v>Sunarjo</v>
      </c>
      <c r="C649" t="str">
        <f ca="1">IFERROR(__xludf.DUMMYFUNCTION("""COMPUTED_VALUE"""),"Sunarjo@outlookx.com")</f>
        <v>Sunarjo@outlookx.com</v>
      </c>
      <c r="D649" t="str">
        <f ca="1">IFERROR(__xludf.DUMMYFUNCTION("""COMPUTED_VALUE"""),"Bukittinggi")</f>
        <v>Bukittinggi</v>
      </c>
      <c r="E649" s="12">
        <f ca="1">IFERROR(__xludf.DUMMYFUNCTION("""COMPUTED_VALUE"""),42722)</f>
        <v>42722</v>
      </c>
      <c r="F649" t="str">
        <f ca="1">IFERROR(__xludf.DUMMYFUNCTION("""COMPUTED_VALUE"""),"KP0425CB")</f>
        <v>KP0425CB</v>
      </c>
      <c r="G649" s="11">
        <f ca="1">IFERROR(__xludf.DUMMYFUNCTION("""COMPUTED_VALUE"""),190750000)</f>
        <v>190750000</v>
      </c>
      <c r="H649">
        <f ca="1">IFERROR(__xludf.DUMMYFUNCTION("""COMPUTED_VALUE"""),36833)</f>
        <v>36833</v>
      </c>
      <c r="I649">
        <f ca="1">IFERROR(__xludf.DUMMYFUNCTION("""COMPUTED_VALUE"""),7)</f>
        <v>7</v>
      </c>
      <c r="J649" t="str">
        <f ca="1">IFERROR(__xludf.DUMMYFUNCTION("""COMPUTED_VALUE"""),"N/A")</f>
        <v>N/A</v>
      </c>
      <c r="K649" t="str">
        <f ca="1">IFERROR(__xludf.DUMMYFUNCTION("""COMPUTED_VALUE"""),"JENT")</f>
        <v>JENT</v>
      </c>
      <c r="L649" t="str">
        <f ca="1">IFERROR(__xludf.DUMMYFUNCTION("""COMPUTED_VALUE"""),"Y")</f>
        <v>Y</v>
      </c>
      <c r="M649" t="str">
        <f ca="1">IFERROR(__xludf.DUMMYFUNCTION("""COMPUTED_VALUE"""),"sq-559")</f>
        <v>sq-559</v>
      </c>
    </row>
    <row r="650" spans="1:13" ht="12.5" x14ac:dyDescent="0.25">
      <c r="A650" t="str">
        <f ca="1">IFERROR(__xludf.DUMMYFUNCTION("""COMPUTED_VALUE"""),"Evert")</f>
        <v>Evert</v>
      </c>
      <c r="B650" t="str">
        <f ca="1">IFERROR(__xludf.DUMMYFUNCTION("""COMPUTED_VALUE"""),"Suhartono")</f>
        <v>Suhartono</v>
      </c>
      <c r="C650" t="str">
        <f ca="1">IFERROR(__xludf.DUMMYFUNCTION("""COMPUTED_VALUE"""),"Evert@gmailx.com")</f>
        <v>Evert@gmailx.com</v>
      </c>
      <c r="D650" t="str">
        <f ca="1">IFERROR(__xludf.DUMMYFUNCTION("""COMPUTED_VALUE"""),"Tarakan")</f>
        <v>Tarakan</v>
      </c>
      <c r="E650" s="12">
        <f ca="1">IFERROR(__xludf.DUMMYFUNCTION("""COMPUTED_VALUE"""),42722)</f>
        <v>42722</v>
      </c>
      <c r="F650" t="str">
        <f ca="1">IFERROR(__xludf.DUMMYFUNCTION("""COMPUTED_VALUE"""),"KP0150BH")</f>
        <v>KP0150BH</v>
      </c>
      <c r="G650" s="11">
        <f ca="1">IFERROR(__xludf.DUMMYFUNCTION("""COMPUTED_VALUE"""),270000000)</f>
        <v>270000000</v>
      </c>
      <c r="H650">
        <f ca="1">IFERROR(__xludf.DUMMYFUNCTION("""COMPUTED_VALUE"""),35926)</f>
        <v>35926</v>
      </c>
      <c r="I650">
        <f ca="1">IFERROR(__xludf.DUMMYFUNCTION("""COMPUTED_VALUE"""),10)</f>
        <v>10</v>
      </c>
      <c r="J650" t="str">
        <f ca="1">IFERROR(__xludf.DUMMYFUNCTION("""COMPUTED_VALUE"""),"N/A")</f>
        <v>N/A</v>
      </c>
      <c r="K650" t="str">
        <f ca="1">IFERROR(__xludf.DUMMYFUNCTION("""COMPUTED_VALUE"""),"Wakanda Express")</f>
        <v>Wakanda Express</v>
      </c>
      <c r="L650" t="str">
        <f ca="1">IFERROR(__xludf.DUMMYFUNCTION("""COMPUTED_VALUE"""),"Y")</f>
        <v>Y</v>
      </c>
      <c r="M650" t="str">
        <f ca="1">IFERROR(__xludf.DUMMYFUNCTION("""COMPUTED_VALUE"""),"wn-994")</f>
        <v>wn-994</v>
      </c>
    </row>
    <row r="651" spans="1:13" ht="12.5" x14ac:dyDescent="0.25">
      <c r="A651" t="str">
        <f ca="1">IFERROR(__xludf.DUMMYFUNCTION("""COMPUTED_VALUE"""),"Candra")</f>
        <v>Candra</v>
      </c>
      <c r="B651" t="str">
        <f ca="1">IFERROR(__xludf.DUMMYFUNCTION("""COMPUTED_VALUE"""),"Limited")</f>
        <v>Limited</v>
      </c>
      <c r="C651" t="str">
        <f ca="1">IFERROR(__xludf.DUMMYFUNCTION("""COMPUTED_VALUE"""),"CANDRA@ymailx.com")</f>
        <v>CANDRA@ymailx.com</v>
      </c>
      <c r="D651" t="str">
        <f ca="1">IFERROR(__xludf.DUMMYFUNCTION("""COMPUTED_VALUE"""),"Pematangsiantar")</f>
        <v>Pematangsiantar</v>
      </c>
      <c r="E651" s="12">
        <f ca="1">IFERROR(__xludf.DUMMYFUNCTION("""COMPUTED_VALUE"""),42721)</f>
        <v>42721</v>
      </c>
      <c r="F651" t="str">
        <f ca="1">IFERROR(__xludf.DUMMYFUNCTION("""COMPUTED_VALUE"""),"KP0625AF")</f>
        <v>KP0625AF</v>
      </c>
      <c r="G651" s="11">
        <f ca="1">IFERROR(__xludf.DUMMYFUNCTION("""COMPUTED_VALUE"""),48000000)</f>
        <v>48000000</v>
      </c>
      <c r="H651">
        <f ca="1">IFERROR(__xludf.DUMMYFUNCTION("""COMPUTED_VALUE"""),35210)</f>
        <v>35210</v>
      </c>
      <c r="I651">
        <f ca="1">IFERROR(__xludf.DUMMYFUNCTION("""COMPUTED_VALUE"""),4)</f>
        <v>4</v>
      </c>
      <c r="J651" t="str">
        <f ca="1">IFERROR(__xludf.DUMMYFUNCTION("""COMPUTED_VALUE"""),"N/A")</f>
        <v>N/A</v>
      </c>
      <c r="K651" t="str">
        <f ca="1">IFERROR(__xludf.DUMMYFUNCTION("""COMPUTED_VALUE"""),"Pru Logistic")</f>
        <v>Pru Logistic</v>
      </c>
      <c r="L651" t="str">
        <f ca="1">IFERROR(__xludf.DUMMYFUNCTION("""COMPUTED_VALUE"""),"Y")</f>
        <v>Y</v>
      </c>
      <c r="M651" t="str">
        <f ca="1">IFERROR(__xludf.DUMMYFUNCTION("""COMPUTED_VALUE"""),"go-662")</f>
        <v>go-662</v>
      </c>
    </row>
    <row r="652" spans="1:13" ht="12.5" x14ac:dyDescent="0.25">
      <c r="A652" t="str">
        <f ca="1">IFERROR(__xludf.DUMMYFUNCTION("""COMPUTED_VALUE"""),"Soetikno")</f>
        <v>Soetikno</v>
      </c>
      <c r="B652" t="str">
        <f ca="1">IFERROR(__xludf.DUMMYFUNCTION("""COMPUTED_VALUE"""),"King")</f>
        <v>King</v>
      </c>
      <c r="C652" t="str">
        <f ca="1">IFERROR(__xludf.DUMMYFUNCTION("""COMPUTED_VALUE"""),"Soetikno@mex.com")</f>
        <v>Soetikno@mex.com</v>
      </c>
      <c r="D652" t="str">
        <f ca="1">IFERROR(__xludf.DUMMYFUNCTION("""COMPUTED_VALUE"""),"Padang")</f>
        <v>Padang</v>
      </c>
      <c r="E652" s="12">
        <f ca="1">IFERROR(__xludf.DUMMYFUNCTION("""COMPUTED_VALUE"""),42721)</f>
        <v>42721</v>
      </c>
      <c r="F652" t="str">
        <f ca="1">IFERROR(__xludf.DUMMYFUNCTION("""COMPUTED_VALUE"""),"KP0225BB")</f>
        <v>KP0225BB</v>
      </c>
      <c r="G652" s="11">
        <f ca="1">IFERROR(__xludf.DUMMYFUNCTION("""COMPUTED_VALUE"""),60000000)</f>
        <v>60000000</v>
      </c>
      <c r="H652">
        <f ca="1">IFERROR(__xludf.DUMMYFUNCTION("""COMPUTED_VALUE"""),36807)</f>
        <v>36807</v>
      </c>
      <c r="I652">
        <f ca="1">IFERROR(__xludf.DUMMYFUNCTION("""COMPUTED_VALUE"""),6)</f>
        <v>6</v>
      </c>
      <c r="J652">
        <f ca="1">IFERROR(__xludf.DUMMYFUNCTION("""COMPUTED_VALUE"""),4)</f>
        <v>4</v>
      </c>
      <c r="K652" t="str">
        <f ca="1">IFERROR(__xludf.DUMMYFUNCTION("""COMPUTED_VALUE"""),"JENT")</f>
        <v>JENT</v>
      </c>
      <c r="L652" t="str">
        <f ca="1">IFERROR(__xludf.DUMMYFUNCTION("""COMPUTED_VALUE"""),"N")</f>
        <v>N</v>
      </c>
      <c r="M652" t="str">
        <f ca="1">IFERROR(__xludf.DUMMYFUNCTION("""COMPUTED_VALUE"""),"hj-559")</f>
        <v>hj-559</v>
      </c>
    </row>
    <row r="653" spans="1:13" ht="12.5" x14ac:dyDescent="0.25">
      <c r="A653" t="str">
        <f ca="1">IFERROR(__xludf.DUMMYFUNCTION("""COMPUTED_VALUE"""),"Santy")</f>
        <v>Santy</v>
      </c>
      <c r="B653" t="str">
        <f ca="1">IFERROR(__xludf.DUMMYFUNCTION("""COMPUTED_VALUE"""),"Bertrand")</f>
        <v>Bertrand</v>
      </c>
      <c r="C653" t="str">
        <f ca="1">IFERROR(__xludf.DUMMYFUNCTION("""COMPUTED_VALUE"""),"Santy@icloudx.com")</f>
        <v>Santy@icloudx.com</v>
      </c>
      <c r="D653" t="str">
        <f ca="1">IFERROR(__xludf.DUMMYFUNCTION("""COMPUTED_VALUE"""),"Serang")</f>
        <v>Serang</v>
      </c>
      <c r="E653" s="12">
        <f ca="1">IFERROR(__xludf.DUMMYFUNCTION("""COMPUTED_VALUE"""),42720)</f>
        <v>42720</v>
      </c>
      <c r="F653" t="str">
        <f ca="1">IFERROR(__xludf.DUMMYFUNCTION("""COMPUTED_VALUE"""),"KP0625AF")</f>
        <v>KP0625AF</v>
      </c>
      <c r="G653" s="11">
        <f ca="1">IFERROR(__xludf.DUMMYFUNCTION("""COMPUTED_VALUE"""),24000000)</f>
        <v>24000000</v>
      </c>
      <c r="H653">
        <f ca="1">IFERROR(__xludf.DUMMYFUNCTION("""COMPUTED_VALUE"""),35338)</f>
        <v>35338</v>
      </c>
      <c r="I653">
        <f ca="1">IFERROR(__xludf.DUMMYFUNCTION("""COMPUTED_VALUE"""),2)</f>
        <v>2</v>
      </c>
      <c r="J653">
        <f ca="1">IFERROR(__xludf.DUMMYFUNCTION("""COMPUTED_VALUE"""),4)</f>
        <v>4</v>
      </c>
      <c r="K653" t="str">
        <f ca="1">IFERROR(__xludf.DUMMYFUNCTION("""COMPUTED_VALUE"""),"Swift Delivery")</f>
        <v>Swift Delivery</v>
      </c>
      <c r="L653" t="str">
        <f ca="1">IFERROR(__xludf.DUMMYFUNCTION("""COMPUTED_VALUE"""),"N")</f>
        <v>N</v>
      </c>
      <c r="M653" t="str">
        <f ca="1">IFERROR(__xludf.DUMMYFUNCTION("""COMPUTED_VALUE"""),"vi-500")</f>
        <v>vi-500</v>
      </c>
    </row>
    <row r="654" spans="1:13" ht="12.5" x14ac:dyDescent="0.25">
      <c r="A654" t="str">
        <f ca="1">IFERROR(__xludf.DUMMYFUNCTION("""COMPUTED_VALUE"""),"Firdaus")</f>
        <v>Firdaus</v>
      </c>
      <c r="B654" t="str">
        <f ca="1">IFERROR(__xludf.DUMMYFUNCTION("""COMPUTED_VALUE"""),"Goesti")</f>
        <v>Goesti</v>
      </c>
      <c r="C654" t="str">
        <f ca="1">IFERROR(__xludf.DUMMYFUNCTION("""COMPUTED_VALUE"""),"Firdaus@ymailx.com")</f>
        <v>Firdaus@ymailx.com</v>
      </c>
      <c r="D654" t="str">
        <f ca="1">IFERROR(__xludf.DUMMYFUNCTION("""COMPUTED_VALUE"""),"Cimahi")</f>
        <v>Cimahi</v>
      </c>
      <c r="E654" s="12">
        <f ca="1">IFERROR(__xludf.DUMMYFUNCTION("""COMPUTED_VALUE"""),42720)</f>
        <v>42720</v>
      </c>
      <c r="F654" t="str">
        <f ca="1">IFERROR(__xludf.DUMMYFUNCTION("""COMPUTED_VALUE"""),"KP0925SG")</f>
        <v>KP0925SG</v>
      </c>
      <c r="G654" s="11">
        <f ca="1">IFERROR(__xludf.DUMMYFUNCTION("""COMPUTED_VALUE"""),75000000)</f>
        <v>75000000</v>
      </c>
      <c r="H654">
        <f ca="1">IFERROR(__xludf.DUMMYFUNCTION("""COMPUTED_VALUE"""),35507)</f>
        <v>35507</v>
      </c>
      <c r="I654">
        <f ca="1">IFERROR(__xludf.DUMMYFUNCTION("""COMPUTED_VALUE"""),5)</f>
        <v>5</v>
      </c>
      <c r="J654" t="str">
        <f ca="1">IFERROR(__xludf.DUMMYFUNCTION("""COMPUTED_VALUE"""),"N/A")</f>
        <v>N/A</v>
      </c>
      <c r="K654" t="str">
        <f ca="1">IFERROR(__xludf.DUMMYFUNCTION("""COMPUTED_VALUE"""),"JENT")</f>
        <v>JENT</v>
      </c>
      <c r="L654" t="str">
        <f ca="1">IFERROR(__xludf.DUMMYFUNCTION("""COMPUTED_VALUE"""),"Y")</f>
        <v>Y</v>
      </c>
      <c r="M654" t="str">
        <f ca="1">IFERROR(__xludf.DUMMYFUNCTION("""COMPUTED_VALUE"""),"jw-409")</f>
        <v>jw-409</v>
      </c>
    </row>
    <row r="655" spans="1:13" ht="12.5" x14ac:dyDescent="0.25">
      <c r="A655" t="str">
        <f ca="1">IFERROR(__xludf.DUMMYFUNCTION("""COMPUTED_VALUE"""),"Ery")</f>
        <v>Ery</v>
      </c>
      <c r="B655" t="str">
        <f ca="1">IFERROR(__xludf.DUMMYFUNCTION("""COMPUTED_VALUE"""),"Judianto")</f>
        <v>Judianto</v>
      </c>
      <c r="C655" t="str">
        <f ca="1">IFERROR(__xludf.DUMMYFUNCTION("""COMPUTED_VALUE"""),"Judianto@livex.com")</f>
        <v>Judianto@livex.com</v>
      </c>
      <c r="D655" t="str">
        <f ca="1">IFERROR(__xludf.DUMMYFUNCTION("""COMPUTED_VALUE"""),"Banjarmasin")</f>
        <v>Banjarmasin</v>
      </c>
      <c r="E655" s="12">
        <f ca="1">IFERROR(__xludf.DUMMYFUNCTION("""COMPUTED_VALUE"""),42719)</f>
        <v>42719</v>
      </c>
      <c r="F655" t="str">
        <f ca="1">IFERROR(__xludf.DUMMYFUNCTION("""COMPUTED_VALUE"""),"KP0925SG")</f>
        <v>KP0925SG</v>
      </c>
      <c r="G655" s="11">
        <f ca="1">IFERROR(__xludf.DUMMYFUNCTION("""COMPUTED_VALUE"""),75000000)</f>
        <v>75000000</v>
      </c>
      <c r="H655">
        <f ca="1">IFERROR(__xludf.DUMMYFUNCTION("""COMPUTED_VALUE"""),35487)</f>
        <v>35487</v>
      </c>
      <c r="I655">
        <f ca="1">IFERROR(__xludf.DUMMYFUNCTION("""COMPUTED_VALUE"""),5)</f>
        <v>5</v>
      </c>
      <c r="J655">
        <f ca="1">IFERROR(__xludf.DUMMYFUNCTION("""COMPUTED_VALUE"""),4)</f>
        <v>4</v>
      </c>
      <c r="K655" t="str">
        <f ca="1">IFERROR(__xludf.DUMMYFUNCTION("""COMPUTED_VALUE"""),"Swift Delivery")</f>
        <v>Swift Delivery</v>
      </c>
      <c r="L655" t="str">
        <f ca="1">IFERROR(__xludf.DUMMYFUNCTION("""COMPUTED_VALUE"""),"Y")</f>
        <v>Y</v>
      </c>
      <c r="M655" t="str">
        <f ca="1">IFERROR(__xludf.DUMMYFUNCTION("""COMPUTED_VALUE"""),"us-991")</f>
        <v>us-991</v>
      </c>
    </row>
    <row r="656" spans="1:13" ht="12.5" x14ac:dyDescent="0.25">
      <c r="A656" t="str">
        <f ca="1">IFERROR(__xludf.DUMMYFUNCTION("""COMPUTED_VALUE"""),"Alexandra")</f>
        <v>Alexandra</v>
      </c>
      <c r="B656" t="str">
        <f ca="1">IFERROR(__xludf.DUMMYFUNCTION("""COMPUTED_VALUE"""),"Saputra")</f>
        <v>Saputra</v>
      </c>
      <c r="C656" t="str">
        <f ca="1">IFERROR(__xludf.DUMMYFUNCTION("""COMPUTED_VALUE"""),"SAPUTRA@livex.com")</f>
        <v>SAPUTRA@livex.com</v>
      </c>
      <c r="D656" t="str">
        <f ca="1">IFERROR(__xludf.DUMMYFUNCTION("""COMPUTED_VALUE"""),"Blitar")</f>
        <v>Blitar</v>
      </c>
      <c r="E656" s="12">
        <f ca="1">IFERROR(__xludf.DUMMYFUNCTION("""COMPUTED_VALUE"""),42718)</f>
        <v>42718</v>
      </c>
      <c r="F656" t="str">
        <f ca="1">IFERROR(__xludf.DUMMYFUNCTION("""COMPUTED_VALUE"""),"KP0350CF")</f>
        <v>KP0350CF</v>
      </c>
      <c r="G656" s="11">
        <f ca="1">IFERROR(__xludf.DUMMYFUNCTION("""COMPUTED_VALUE"""),280000000)</f>
        <v>280000000</v>
      </c>
      <c r="H656">
        <f ca="1">IFERROR(__xludf.DUMMYFUNCTION("""COMPUTED_VALUE"""),36625)</f>
        <v>36625</v>
      </c>
      <c r="I656">
        <f ca="1">IFERROR(__xludf.DUMMYFUNCTION("""COMPUTED_VALUE"""),8)</f>
        <v>8</v>
      </c>
      <c r="J656" t="str">
        <f ca="1">IFERROR(__xludf.DUMMYFUNCTION("""COMPUTED_VALUE"""),"N/A")</f>
        <v>N/A</v>
      </c>
      <c r="K656" t="str">
        <f ca="1">IFERROR(__xludf.DUMMYFUNCTION("""COMPUTED_VALUE"""),"Cepat Kirim")</f>
        <v>Cepat Kirim</v>
      </c>
      <c r="L656" t="str">
        <f ca="1">IFERROR(__xludf.DUMMYFUNCTION("""COMPUTED_VALUE"""),"Y")</f>
        <v>Y</v>
      </c>
      <c r="M656" t="str">
        <f ca="1">IFERROR(__xludf.DUMMYFUNCTION("""COMPUTED_VALUE"""),"ps-123")</f>
        <v>ps-123</v>
      </c>
    </row>
    <row r="657" spans="1:13" ht="12.5" x14ac:dyDescent="0.25">
      <c r="A657" t="str">
        <f ca="1">IFERROR(__xludf.DUMMYFUNCTION("""COMPUTED_VALUE"""),"Lao")</f>
        <v>Lao</v>
      </c>
      <c r="B657" t="str">
        <f ca="1">IFERROR(__xludf.DUMMYFUNCTION("""COMPUTED_VALUE"""),"Widjaja")</f>
        <v>Widjaja</v>
      </c>
      <c r="C657" t="str">
        <f ca="1">IFERROR(__xludf.DUMMYFUNCTION("""COMPUTED_VALUE"""),"Lao@gmailx.com")</f>
        <v>Lao@gmailx.com</v>
      </c>
      <c r="D657" t="str">
        <f ca="1">IFERROR(__xludf.DUMMYFUNCTION("""COMPUTED_VALUE"""),"Bogor")</f>
        <v>Bogor</v>
      </c>
      <c r="E657" s="12">
        <f ca="1">IFERROR(__xludf.DUMMYFUNCTION("""COMPUTED_VALUE"""),42717)</f>
        <v>42717</v>
      </c>
      <c r="F657" t="str">
        <f ca="1">IFERROR(__xludf.DUMMYFUNCTION("""COMPUTED_VALUE"""),"KP0350CF")</f>
        <v>KP0350CF</v>
      </c>
      <c r="G657" s="11">
        <f ca="1">IFERROR(__xludf.DUMMYFUNCTION("""COMPUTED_VALUE"""),140000000)</f>
        <v>140000000</v>
      </c>
      <c r="H657">
        <f ca="1">IFERROR(__xludf.DUMMYFUNCTION("""COMPUTED_VALUE"""),35703)</f>
        <v>35703</v>
      </c>
      <c r="I657">
        <f ca="1">IFERROR(__xludf.DUMMYFUNCTION("""COMPUTED_VALUE"""),4)</f>
        <v>4</v>
      </c>
      <c r="J657">
        <f ca="1">IFERROR(__xludf.DUMMYFUNCTION("""COMPUTED_VALUE"""),4)</f>
        <v>4</v>
      </c>
      <c r="K657" t="str">
        <f ca="1">IFERROR(__xludf.DUMMYFUNCTION("""COMPUTED_VALUE"""),"JENT")</f>
        <v>JENT</v>
      </c>
      <c r="L657" t="str">
        <f ca="1">IFERROR(__xludf.DUMMYFUNCTION("""COMPUTED_VALUE"""),"Y")</f>
        <v>Y</v>
      </c>
      <c r="M657" t="str">
        <f ca="1">IFERROR(__xludf.DUMMYFUNCTION("""COMPUTED_VALUE"""),"ag-409")</f>
        <v>ag-409</v>
      </c>
    </row>
    <row r="658" spans="1:13" ht="12.5" x14ac:dyDescent="0.25">
      <c r="A658" t="str">
        <f ca="1">IFERROR(__xludf.DUMMYFUNCTION("""COMPUTED_VALUE"""),"Melvin")</f>
        <v>Melvin</v>
      </c>
      <c r="B658" t="str">
        <f ca="1">IFERROR(__xludf.DUMMYFUNCTION("""COMPUTED_VALUE"""),"Indraswati")</f>
        <v>Indraswati</v>
      </c>
      <c r="C658" t="str">
        <f ca="1">IFERROR(__xludf.DUMMYFUNCTION("""COMPUTED_VALUE"""),"Indraswati@gmailx.com")</f>
        <v>Indraswati@gmailx.com</v>
      </c>
      <c r="D658" t="str">
        <f ca="1">IFERROR(__xludf.DUMMYFUNCTION("""COMPUTED_VALUE"""),"Mataram")</f>
        <v>Mataram</v>
      </c>
      <c r="E658" s="12">
        <f ca="1">IFERROR(__xludf.DUMMYFUNCTION("""COMPUTED_VALUE"""),42716)</f>
        <v>42716</v>
      </c>
      <c r="F658" t="str">
        <f ca="1">IFERROR(__xludf.DUMMYFUNCTION("""COMPUTED_VALUE"""),"KP0050AG")</f>
        <v>KP0050AG</v>
      </c>
      <c r="G658" s="11">
        <f ca="1">IFERROR(__xludf.DUMMYFUNCTION("""COMPUTED_VALUE"""),130000000)</f>
        <v>130000000</v>
      </c>
      <c r="H658">
        <f ca="1">IFERROR(__xludf.DUMMYFUNCTION("""COMPUTED_VALUE"""),36052)</f>
        <v>36052</v>
      </c>
      <c r="I658">
        <f ca="1">IFERROR(__xludf.DUMMYFUNCTION("""COMPUTED_VALUE"""),8)</f>
        <v>8</v>
      </c>
      <c r="J658">
        <f ca="1">IFERROR(__xludf.DUMMYFUNCTION("""COMPUTED_VALUE"""),4)</f>
        <v>4</v>
      </c>
      <c r="K658" t="str">
        <f ca="1">IFERROR(__xludf.DUMMYFUNCTION("""COMPUTED_VALUE"""),"Wakanda Express")</f>
        <v>Wakanda Express</v>
      </c>
      <c r="L658" t="str">
        <f ca="1">IFERROR(__xludf.DUMMYFUNCTION("""COMPUTED_VALUE"""),"Y")</f>
        <v>Y</v>
      </c>
      <c r="M658" t="str">
        <f ca="1">IFERROR(__xludf.DUMMYFUNCTION("""COMPUTED_VALUE"""),"go-183")</f>
        <v>go-183</v>
      </c>
    </row>
    <row r="659" spans="1:13" ht="12.5" x14ac:dyDescent="0.25">
      <c r="A659" t="str">
        <f ca="1">IFERROR(__xludf.DUMMYFUNCTION("""COMPUTED_VALUE"""),"Ravi")</f>
        <v>Ravi</v>
      </c>
      <c r="B659" t="str">
        <f ca="1">IFERROR(__xludf.DUMMYFUNCTION("""COMPUTED_VALUE"""),"Rommy")</f>
        <v>Rommy</v>
      </c>
      <c r="C659" t="str">
        <f ca="1">IFERROR(__xludf.DUMMYFUNCTION("""COMPUTED_VALUE"""),"ROMMY@rocketmailx.com")</f>
        <v>ROMMY@rocketmailx.com</v>
      </c>
      <c r="D659" t="str">
        <f ca="1">IFERROR(__xludf.DUMMYFUNCTION("""COMPUTED_VALUE"""),"Langsa")</f>
        <v>Langsa</v>
      </c>
      <c r="E659" s="12">
        <f ca="1">IFERROR(__xludf.DUMMYFUNCTION("""COMPUTED_VALUE"""),42716)</f>
        <v>42716</v>
      </c>
      <c r="F659" t="str">
        <f ca="1">IFERROR(__xludf.DUMMYFUNCTION("""COMPUTED_VALUE"""),"KP0850FB")</f>
        <v>KP0850FB</v>
      </c>
      <c r="G659" s="11">
        <f ca="1">IFERROR(__xludf.DUMMYFUNCTION("""COMPUTED_VALUE"""),147000000)</f>
        <v>147000000</v>
      </c>
      <c r="H659">
        <f ca="1">IFERROR(__xludf.DUMMYFUNCTION("""COMPUTED_VALUE"""),35715)</f>
        <v>35715</v>
      </c>
      <c r="I659">
        <f ca="1">IFERROR(__xludf.DUMMYFUNCTION("""COMPUTED_VALUE"""),7)</f>
        <v>7</v>
      </c>
      <c r="J659" t="str">
        <f ca="1">IFERROR(__xludf.DUMMYFUNCTION("""COMPUTED_VALUE"""),"N/A")</f>
        <v>N/A</v>
      </c>
      <c r="K659" t="str">
        <f ca="1">IFERROR(__xludf.DUMMYFUNCTION("""COMPUTED_VALUE"""),"Swift Delivery")</f>
        <v>Swift Delivery</v>
      </c>
      <c r="L659" t="str">
        <f ca="1">IFERROR(__xludf.DUMMYFUNCTION("""COMPUTED_VALUE"""),"N")</f>
        <v>N</v>
      </c>
      <c r="M659" t="str">
        <f ca="1">IFERROR(__xludf.DUMMYFUNCTION("""COMPUTED_VALUE"""),"uw-101")</f>
        <v>uw-101</v>
      </c>
    </row>
    <row r="660" spans="1:13" ht="12.5" x14ac:dyDescent="0.25">
      <c r="A660" t="str">
        <f ca="1">IFERROR(__xludf.DUMMYFUNCTION("""COMPUTED_VALUE"""),"Lisa")</f>
        <v>Lisa</v>
      </c>
      <c r="B660" t="str">
        <f ca="1">IFERROR(__xludf.DUMMYFUNCTION("""COMPUTED_VALUE"""),"Samuel")</f>
        <v>Samuel</v>
      </c>
      <c r="C660" t="str">
        <f ca="1">IFERROR(__xludf.DUMMYFUNCTION("""COMPUTED_VALUE"""),"Samuel@gmailx.com")</f>
        <v>Samuel@gmailx.com</v>
      </c>
      <c r="D660" t="str">
        <f ca="1">IFERROR(__xludf.DUMMYFUNCTION("""COMPUTED_VALUE"""),"Palopo")</f>
        <v>Palopo</v>
      </c>
      <c r="E660" s="12">
        <f ca="1">IFERROR(__xludf.DUMMYFUNCTION("""COMPUTED_VALUE"""),42655)</f>
        <v>42655</v>
      </c>
      <c r="F660" t="str">
        <f ca="1">IFERROR(__xludf.DUMMYFUNCTION("""COMPUTED_VALUE"""),"KP0925SG")</f>
        <v>KP0925SG</v>
      </c>
      <c r="G660" s="11">
        <f ca="1">IFERROR(__xludf.DUMMYFUNCTION("""COMPUTED_VALUE"""),90000000)</f>
        <v>90000000</v>
      </c>
      <c r="H660">
        <f ca="1">IFERROR(__xludf.DUMMYFUNCTION("""COMPUTED_VALUE"""),35610)</f>
        <v>35610</v>
      </c>
      <c r="I660">
        <f ca="1">IFERROR(__xludf.DUMMYFUNCTION("""COMPUTED_VALUE"""),6)</f>
        <v>6</v>
      </c>
      <c r="J660">
        <f ca="1">IFERROR(__xludf.DUMMYFUNCTION("""COMPUTED_VALUE"""),4)</f>
        <v>4</v>
      </c>
      <c r="K660" t="str">
        <f ca="1">IFERROR(__xludf.DUMMYFUNCTION("""COMPUTED_VALUE"""),"Swift Delivery")</f>
        <v>Swift Delivery</v>
      </c>
      <c r="L660" t="str">
        <f ca="1">IFERROR(__xludf.DUMMYFUNCTION("""COMPUTED_VALUE"""),"Y")</f>
        <v>Y</v>
      </c>
      <c r="M660" t="str">
        <f ca="1">IFERROR(__xludf.DUMMYFUNCTION("""COMPUTED_VALUE"""),"yk-290")</f>
        <v>yk-290</v>
      </c>
    </row>
    <row r="661" spans="1:13" ht="12.5" x14ac:dyDescent="0.25">
      <c r="A661" t="str">
        <f ca="1">IFERROR(__xludf.DUMMYFUNCTION("""COMPUTED_VALUE"""),"Jacobus")</f>
        <v>Jacobus</v>
      </c>
      <c r="B661" t="str">
        <f ca="1">IFERROR(__xludf.DUMMYFUNCTION("""COMPUTED_VALUE"""),"Tjian")</f>
        <v>Tjian</v>
      </c>
      <c r="C661" t="str">
        <f ca="1">IFERROR(__xludf.DUMMYFUNCTION("""COMPUTED_VALUE"""),"Tjian@gmailx.com")</f>
        <v>Tjian@gmailx.com</v>
      </c>
      <c r="D661" t="str">
        <f ca="1">IFERROR(__xludf.DUMMYFUNCTION("""COMPUTED_VALUE"""),"Semarang")</f>
        <v>Semarang</v>
      </c>
      <c r="E661" s="12">
        <f ca="1">IFERROR(__xludf.DUMMYFUNCTION("""COMPUTED_VALUE"""),42594)</f>
        <v>42594</v>
      </c>
      <c r="F661" t="str">
        <f ca="1">IFERROR(__xludf.DUMMYFUNCTION("""COMPUTED_VALUE"""),"KP0850FB")</f>
        <v>KP0850FB</v>
      </c>
      <c r="G661" s="11">
        <f ca="1">IFERROR(__xludf.DUMMYFUNCTION("""COMPUTED_VALUE"""),189000000)</f>
        <v>189000000</v>
      </c>
      <c r="H661">
        <f ca="1">IFERROR(__xludf.DUMMYFUNCTION("""COMPUTED_VALUE"""),35285)</f>
        <v>35285</v>
      </c>
      <c r="I661">
        <f ca="1">IFERROR(__xludf.DUMMYFUNCTION("""COMPUTED_VALUE"""),9)</f>
        <v>9</v>
      </c>
      <c r="J661" t="str">
        <f ca="1">IFERROR(__xludf.DUMMYFUNCTION("""COMPUTED_VALUE"""),"N/A")</f>
        <v>N/A</v>
      </c>
      <c r="K661" t="str">
        <f ca="1">IFERROR(__xludf.DUMMYFUNCTION("""COMPUTED_VALUE"""),"Swift Delivery")</f>
        <v>Swift Delivery</v>
      </c>
      <c r="L661" t="str">
        <f ca="1">IFERROR(__xludf.DUMMYFUNCTION("""COMPUTED_VALUE"""),"Y")</f>
        <v>Y</v>
      </c>
      <c r="M661" t="str">
        <f ca="1">IFERROR(__xludf.DUMMYFUNCTION("""COMPUTED_VALUE"""),"zc-410")</f>
        <v>zc-410</v>
      </c>
    </row>
    <row r="662" spans="1:13" ht="12.5" x14ac:dyDescent="0.25">
      <c r="A662" t="str">
        <f ca="1">IFERROR(__xludf.DUMMYFUNCTION("""COMPUTED_VALUE"""),"Muchsin")</f>
        <v>Muchsin</v>
      </c>
      <c r="B662" t="str">
        <f ca="1">IFERROR(__xludf.DUMMYFUNCTION("""COMPUTED_VALUE"""),"Novita")</f>
        <v>Novita</v>
      </c>
      <c r="C662" t="str">
        <f ca="1">IFERROR(__xludf.DUMMYFUNCTION("""COMPUTED_VALUE"""),"MUCHSIN@gmailx.com")</f>
        <v>MUCHSIN@gmailx.com</v>
      </c>
      <c r="D662" t="str">
        <f ca="1">IFERROR(__xludf.DUMMYFUNCTION("""COMPUTED_VALUE"""),"Dumai")</f>
        <v>Dumai</v>
      </c>
      <c r="E662" s="12">
        <f ca="1">IFERROR(__xludf.DUMMYFUNCTION("""COMPUTED_VALUE"""),42533)</f>
        <v>42533</v>
      </c>
      <c r="F662" t="str">
        <f ca="1">IFERROR(__xludf.DUMMYFUNCTION("""COMPUTED_VALUE"""),"KP0850FB")</f>
        <v>KP0850FB</v>
      </c>
      <c r="G662" s="11">
        <f ca="1">IFERROR(__xludf.DUMMYFUNCTION("""COMPUTED_VALUE"""),210000000)</f>
        <v>210000000</v>
      </c>
      <c r="H662">
        <f ca="1">IFERROR(__xludf.DUMMYFUNCTION("""COMPUTED_VALUE"""),36395)</f>
        <v>36395</v>
      </c>
      <c r="I662">
        <f ca="1">IFERROR(__xludf.DUMMYFUNCTION("""COMPUTED_VALUE"""),10)</f>
        <v>10</v>
      </c>
      <c r="J662">
        <f ca="1">IFERROR(__xludf.DUMMYFUNCTION("""COMPUTED_VALUE"""),2)</f>
        <v>2</v>
      </c>
      <c r="K662" t="str">
        <f ca="1">IFERROR(__xludf.DUMMYFUNCTION("""COMPUTED_VALUE"""),"Cepat Kirim")</f>
        <v>Cepat Kirim</v>
      </c>
      <c r="L662" t="str">
        <f ca="1">IFERROR(__xludf.DUMMYFUNCTION("""COMPUTED_VALUE"""),"Y")</f>
        <v>Y</v>
      </c>
      <c r="M662" t="str">
        <f ca="1">IFERROR(__xludf.DUMMYFUNCTION("""COMPUTED_VALUE"""),"oy-222")</f>
        <v>oy-222</v>
      </c>
    </row>
    <row r="663" spans="1:13" ht="12.5" x14ac:dyDescent="0.25">
      <c r="A663" t="str">
        <f ca="1">IFERROR(__xludf.DUMMYFUNCTION("""COMPUTED_VALUE"""),"Kam")</f>
        <v>Kam</v>
      </c>
      <c r="B663" t="str">
        <f ca="1">IFERROR(__xludf.DUMMYFUNCTION("""COMPUTED_VALUE"""),"Multicorpora")</f>
        <v>Multicorpora</v>
      </c>
      <c r="C663" t="str">
        <f ca="1">IFERROR(__xludf.DUMMYFUNCTION("""COMPUTED_VALUE"""),"Kam@ymailx.com")</f>
        <v>Kam@ymailx.com</v>
      </c>
      <c r="D663" t="str">
        <f ca="1">IFERROR(__xludf.DUMMYFUNCTION("""COMPUTED_VALUE"""),"Bogor")</f>
        <v>Bogor</v>
      </c>
      <c r="E663" s="12">
        <f ca="1">IFERROR(__xludf.DUMMYFUNCTION("""COMPUTED_VALUE"""),42502)</f>
        <v>42502</v>
      </c>
      <c r="F663" t="str">
        <f ca="1">IFERROR(__xludf.DUMMYFUNCTION("""COMPUTED_VALUE"""),"KP0850FB")</f>
        <v>KP0850FB</v>
      </c>
      <c r="G663" s="11">
        <f ca="1">IFERROR(__xludf.DUMMYFUNCTION("""COMPUTED_VALUE"""),189000000)</f>
        <v>189000000</v>
      </c>
      <c r="H663">
        <f ca="1">IFERROR(__xludf.DUMMYFUNCTION("""COMPUTED_VALUE"""),35756)</f>
        <v>35756</v>
      </c>
      <c r="I663">
        <f ca="1">IFERROR(__xludf.DUMMYFUNCTION("""COMPUTED_VALUE"""),9)</f>
        <v>9</v>
      </c>
      <c r="J663">
        <f ca="1">IFERROR(__xludf.DUMMYFUNCTION("""COMPUTED_VALUE"""),4)</f>
        <v>4</v>
      </c>
      <c r="K663" t="str">
        <f ca="1">IFERROR(__xludf.DUMMYFUNCTION("""COMPUTED_VALUE"""),"Swift Delivery")</f>
        <v>Swift Delivery</v>
      </c>
      <c r="L663" t="str">
        <f ca="1">IFERROR(__xludf.DUMMYFUNCTION("""COMPUTED_VALUE"""),"Y")</f>
        <v>Y</v>
      </c>
      <c r="M663" t="str">
        <f ca="1">IFERROR(__xludf.DUMMYFUNCTION("""COMPUTED_VALUE"""),"ci-409")</f>
        <v>ci-409</v>
      </c>
    </row>
    <row r="664" spans="1:13" ht="12.5" x14ac:dyDescent="0.25">
      <c r="A664" t="str">
        <f ca="1">IFERROR(__xludf.DUMMYFUNCTION("""COMPUTED_VALUE"""),"Stefanus")</f>
        <v>Stefanus</v>
      </c>
      <c r="B664" t="str">
        <f ca="1">IFERROR(__xludf.DUMMYFUNCTION("""COMPUTED_VALUE"""),"Thomas")</f>
        <v>Thomas</v>
      </c>
      <c r="C664" t="str">
        <f ca="1">IFERROR(__xludf.DUMMYFUNCTION("""COMPUTED_VALUE"""),"Thomas@outlookx.com")</f>
        <v>Thomas@outlookx.com</v>
      </c>
      <c r="D664" t="str">
        <f ca="1">IFERROR(__xludf.DUMMYFUNCTION("""COMPUTED_VALUE"""),"Kupang")</f>
        <v>Kupang</v>
      </c>
      <c r="E664" s="12">
        <f ca="1">IFERROR(__xludf.DUMMYFUNCTION("""COMPUTED_VALUE"""),42472)</f>
        <v>42472</v>
      </c>
      <c r="F664" t="str">
        <f ca="1">IFERROR(__xludf.DUMMYFUNCTION("""COMPUTED_VALUE"""),"KP0625AF")</f>
        <v>KP0625AF</v>
      </c>
      <c r="G664" s="11">
        <f ca="1">IFERROR(__xludf.DUMMYFUNCTION("""COMPUTED_VALUE"""),120000000)</f>
        <v>120000000</v>
      </c>
      <c r="H664">
        <f ca="1">IFERROR(__xludf.DUMMYFUNCTION("""COMPUTED_VALUE"""),35699)</f>
        <v>35699</v>
      </c>
      <c r="I664">
        <f ca="1">IFERROR(__xludf.DUMMYFUNCTION("""COMPUTED_VALUE"""),10)</f>
        <v>10</v>
      </c>
      <c r="J664" t="str">
        <f ca="1">IFERROR(__xludf.DUMMYFUNCTION("""COMPUTED_VALUE"""),"N/A")</f>
        <v>N/A</v>
      </c>
      <c r="K664" t="str">
        <f ca="1">IFERROR(__xludf.DUMMYFUNCTION("""COMPUTED_VALUE"""),"Swift Delivery")</f>
        <v>Swift Delivery</v>
      </c>
      <c r="L664" t="str">
        <f ca="1">IFERROR(__xludf.DUMMYFUNCTION("""COMPUTED_VALUE"""),"N")</f>
        <v>N</v>
      </c>
      <c r="M664" t="str">
        <f ca="1">IFERROR(__xludf.DUMMYFUNCTION("""COMPUTED_VALUE"""),"yj-185")</f>
        <v>yj-185</v>
      </c>
    </row>
    <row r="665" spans="1:13" ht="12.5" x14ac:dyDescent="0.25">
      <c r="A665" t="str">
        <f ca="1">IFERROR(__xludf.DUMMYFUNCTION("""COMPUTED_VALUE"""),"Marten")</f>
        <v>Marten</v>
      </c>
      <c r="B665" t="str">
        <f ca="1">IFERROR(__xludf.DUMMYFUNCTION("""COMPUTED_VALUE"""),"Mila")</f>
        <v>Mila</v>
      </c>
      <c r="C665" t="str">
        <f ca="1">IFERROR(__xludf.DUMMYFUNCTION("""COMPUTED_VALUE"""),"Marten@outlookx.com")</f>
        <v>Marten@outlookx.com</v>
      </c>
      <c r="D665" t="str">
        <f ca="1">IFERROR(__xludf.DUMMYFUNCTION("""COMPUTED_VALUE"""),"Magelang")</f>
        <v>Magelang</v>
      </c>
      <c r="E665" s="12">
        <f ca="1">IFERROR(__xludf.DUMMYFUNCTION("""COMPUTED_VALUE"""),42472)</f>
        <v>42472</v>
      </c>
      <c r="F665" t="str">
        <f ca="1">IFERROR(__xludf.DUMMYFUNCTION("""COMPUTED_VALUE"""),"KP0425CB")</f>
        <v>KP0425CB</v>
      </c>
      <c r="G665" s="11">
        <f ca="1">IFERROR(__xludf.DUMMYFUNCTION("""COMPUTED_VALUE"""),272500000)</f>
        <v>272500000</v>
      </c>
      <c r="H665">
        <f ca="1">IFERROR(__xludf.DUMMYFUNCTION("""COMPUTED_VALUE"""),35141)</f>
        <v>35141</v>
      </c>
      <c r="I665">
        <f ca="1">IFERROR(__xludf.DUMMYFUNCTION("""COMPUTED_VALUE"""),10)</f>
        <v>10</v>
      </c>
      <c r="J665" t="str">
        <f ca="1">IFERROR(__xludf.DUMMYFUNCTION("""COMPUTED_VALUE"""),"N/A")</f>
        <v>N/A</v>
      </c>
      <c r="K665" t="str">
        <f ca="1">IFERROR(__xludf.DUMMYFUNCTION("""COMPUTED_VALUE"""),"Swift Delivery")</f>
        <v>Swift Delivery</v>
      </c>
      <c r="L665" t="str">
        <f ca="1">IFERROR(__xludf.DUMMYFUNCTION("""COMPUTED_VALUE"""),"Y")</f>
        <v>Y</v>
      </c>
      <c r="M665" t="str">
        <f ca="1">IFERROR(__xludf.DUMMYFUNCTION("""COMPUTED_VALUE"""),"cj-410")</f>
        <v>cj-410</v>
      </c>
    </row>
    <row r="666" spans="1:13" ht="12.5" x14ac:dyDescent="0.25">
      <c r="A666" t="str">
        <f ca="1">IFERROR(__xludf.DUMMYFUNCTION("""COMPUTED_VALUE"""),"Grant")</f>
        <v>Grant</v>
      </c>
      <c r="B666" t="str">
        <f ca="1">IFERROR(__xludf.DUMMYFUNCTION("""COMPUTED_VALUE"""),"Mardiani")</f>
        <v>Mardiani</v>
      </c>
      <c r="C666" t="str">
        <f ca="1">IFERROR(__xludf.DUMMYFUNCTION("""COMPUTED_VALUE"""),"MARDIANI@ymailx.com")</f>
        <v>MARDIANI@ymailx.com</v>
      </c>
      <c r="D666" t="str">
        <f ca="1">IFERROR(__xludf.DUMMYFUNCTION("""COMPUTED_VALUE"""),"Binjai")</f>
        <v>Binjai</v>
      </c>
      <c r="E666" s="12">
        <f ca="1">IFERROR(__xludf.DUMMYFUNCTION("""COMPUTED_VALUE"""),42441)</f>
        <v>42441</v>
      </c>
      <c r="F666" t="str">
        <f ca="1">IFERROR(__xludf.DUMMYFUNCTION("""COMPUTED_VALUE"""),"KP0750AJ")</f>
        <v>KP0750AJ</v>
      </c>
      <c r="G666" s="11">
        <f ca="1">IFERROR(__xludf.DUMMYFUNCTION("""COMPUTED_VALUE"""),162000000)</f>
        <v>162000000</v>
      </c>
      <c r="H666">
        <f ca="1">IFERROR(__xludf.DUMMYFUNCTION("""COMPUTED_VALUE"""),36616)</f>
        <v>36616</v>
      </c>
      <c r="I666">
        <f ca="1">IFERROR(__xludf.DUMMYFUNCTION("""COMPUTED_VALUE"""),9)</f>
        <v>9</v>
      </c>
      <c r="J666" t="str">
        <f ca="1">IFERROR(__xludf.DUMMYFUNCTION("""COMPUTED_VALUE"""),"N/A")</f>
        <v>N/A</v>
      </c>
      <c r="K666" t="str">
        <f ca="1">IFERROR(__xludf.DUMMYFUNCTION("""COMPUTED_VALUE"""),"Wakanda Express")</f>
        <v>Wakanda Express</v>
      </c>
      <c r="L666" t="str">
        <f ca="1">IFERROR(__xludf.DUMMYFUNCTION("""COMPUTED_VALUE"""),"Y")</f>
        <v>Y</v>
      </c>
      <c r="M666" t="str">
        <f ca="1">IFERROR(__xludf.DUMMYFUNCTION("""COMPUTED_VALUE"""),"tc-662")</f>
        <v>tc-662</v>
      </c>
    </row>
    <row r="667" spans="1:13" ht="12.5" x14ac:dyDescent="0.25">
      <c r="A667" t="str">
        <f ca="1">IFERROR(__xludf.DUMMYFUNCTION("""COMPUTED_VALUE"""),"Irvan")</f>
        <v>Irvan</v>
      </c>
      <c r="B667" t="str">
        <f ca="1">IFERROR(__xludf.DUMMYFUNCTION("""COMPUTED_VALUE"""),"Rahardja")</f>
        <v>Rahardja</v>
      </c>
      <c r="C667" t="str">
        <f ca="1">IFERROR(__xludf.DUMMYFUNCTION("""COMPUTED_VALUE"""),"IRVAN@ymailx.com")</f>
        <v>IRVAN@ymailx.com</v>
      </c>
      <c r="D667" t="str">
        <f ca="1">IFERROR(__xludf.DUMMYFUNCTION("""COMPUTED_VALUE"""),"Banjar")</f>
        <v>Banjar</v>
      </c>
      <c r="E667" s="12">
        <f ca="1">IFERROR(__xludf.DUMMYFUNCTION("""COMPUTED_VALUE"""),42441)</f>
        <v>42441</v>
      </c>
      <c r="F667" t="str">
        <f ca="1">IFERROR(__xludf.DUMMYFUNCTION("""COMPUTED_VALUE"""),"KP0750AJ")</f>
        <v>KP0750AJ</v>
      </c>
      <c r="G667" s="11">
        <f ca="1">IFERROR(__xludf.DUMMYFUNCTION("""COMPUTED_VALUE"""),162000000)</f>
        <v>162000000</v>
      </c>
      <c r="H667">
        <f ca="1">IFERROR(__xludf.DUMMYFUNCTION("""COMPUTED_VALUE"""),35171)</f>
        <v>35171</v>
      </c>
      <c r="I667">
        <f ca="1">IFERROR(__xludf.DUMMYFUNCTION("""COMPUTED_VALUE"""),9)</f>
        <v>9</v>
      </c>
      <c r="J667">
        <f ca="1">IFERROR(__xludf.DUMMYFUNCTION("""COMPUTED_VALUE"""),5)</f>
        <v>5</v>
      </c>
      <c r="K667" t="str">
        <f ca="1">IFERROR(__xludf.DUMMYFUNCTION("""COMPUTED_VALUE"""),"JENT")</f>
        <v>JENT</v>
      </c>
      <c r="L667" t="str">
        <f ca="1">IFERROR(__xludf.DUMMYFUNCTION("""COMPUTED_VALUE"""),"Y")</f>
        <v>Y</v>
      </c>
      <c r="M667" t="str">
        <f ca="1">IFERROR(__xludf.DUMMYFUNCTION("""COMPUTED_VALUE"""),"qw-409")</f>
        <v>qw-409</v>
      </c>
    </row>
    <row r="668" spans="1:13" ht="12.5" x14ac:dyDescent="0.25">
      <c r="A668" t="str">
        <f ca="1">IFERROR(__xludf.DUMMYFUNCTION("""COMPUTED_VALUE"""),"Danan")</f>
        <v>Danan</v>
      </c>
      <c r="B668" t="str">
        <f ca="1">IFERROR(__xludf.DUMMYFUNCTION("""COMPUTED_VALUE"""),"Marjani")</f>
        <v>Marjani</v>
      </c>
      <c r="C668" t="str">
        <f ca="1">IFERROR(__xludf.DUMMYFUNCTION("""COMPUTED_VALUE"""),"Danan@outlookx.com")</f>
        <v>Danan@outlookx.com</v>
      </c>
      <c r="D668" t="str">
        <f ca="1">IFERROR(__xludf.DUMMYFUNCTION("""COMPUTED_VALUE"""),"Dumai")</f>
        <v>Dumai</v>
      </c>
      <c r="E668" s="12">
        <f ca="1">IFERROR(__xludf.DUMMYFUNCTION("""COMPUTED_VALUE"""),42412)</f>
        <v>42412</v>
      </c>
      <c r="F668" t="str">
        <f ca="1">IFERROR(__xludf.DUMMYFUNCTION("""COMPUTED_VALUE"""),"KP0925SG")</f>
        <v>KP0925SG</v>
      </c>
      <c r="G668" s="11">
        <f ca="1">IFERROR(__xludf.DUMMYFUNCTION("""COMPUTED_VALUE"""),75000000)</f>
        <v>75000000</v>
      </c>
      <c r="H668">
        <f ca="1">IFERROR(__xludf.DUMMYFUNCTION("""COMPUTED_VALUE"""),36991)</f>
        <v>36991</v>
      </c>
      <c r="I668">
        <f ca="1">IFERROR(__xludf.DUMMYFUNCTION("""COMPUTED_VALUE"""),5)</f>
        <v>5</v>
      </c>
      <c r="J668">
        <f ca="1">IFERROR(__xludf.DUMMYFUNCTION("""COMPUTED_VALUE"""),4)</f>
        <v>4</v>
      </c>
      <c r="K668" t="str">
        <f ca="1">IFERROR(__xludf.DUMMYFUNCTION("""COMPUTED_VALUE"""),"JENT")</f>
        <v>JENT</v>
      </c>
      <c r="L668" t="str">
        <f ca="1">IFERROR(__xludf.DUMMYFUNCTION("""COMPUTED_VALUE"""),"Y")</f>
        <v>Y</v>
      </c>
      <c r="M668" t="str">
        <f ca="1">IFERROR(__xludf.DUMMYFUNCTION("""COMPUTED_VALUE"""),"bh-222")</f>
        <v>bh-222</v>
      </c>
    </row>
    <row r="669" spans="1:13" ht="12.5" x14ac:dyDescent="0.25">
      <c r="A669" t="str">
        <f ca="1">IFERROR(__xludf.DUMMYFUNCTION("""COMPUTED_VALUE"""),"Endah")</f>
        <v>Endah</v>
      </c>
      <c r="B669" t="str">
        <f ca="1">IFERROR(__xludf.DUMMYFUNCTION("""COMPUTED_VALUE"""),"Sucahyo")</f>
        <v>Sucahyo</v>
      </c>
      <c r="C669" t="str">
        <f ca="1">IFERROR(__xludf.DUMMYFUNCTION("""COMPUTED_VALUE"""),"Endah@ymailx.com")</f>
        <v>Endah@ymailx.com</v>
      </c>
      <c r="D669" t="str">
        <f ca="1">IFERROR(__xludf.DUMMYFUNCTION("""COMPUTED_VALUE"""),"Probolinggo")</f>
        <v>Probolinggo</v>
      </c>
      <c r="E669" s="12">
        <f ca="1">IFERROR(__xludf.DUMMYFUNCTION("""COMPUTED_VALUE"""),43435)</f>
        <v>43435</v>
      </c>
      <c r="F669" t="str">
        <f ca="1">IFERROR(__xludf.DUMMYFUNCTION("""COMPUTED_VALUE"""),"KP0425CB")</f>
        <v>KP0425CB</v>
      </c>
      <c r="G669" s="11">
        <f ca="1">IFERROR(__xludf.DUMMYFUNCTION("""COMPUTED_VALUE"""),272500000)</f>
        <v>272500000</v>
      </c>
      <c r="H669">
        <f ca="1">IFERROR(__xludf.DUMMYFUNCTION("""COMPUTED_VALUE"""),36453)</f>
        <v>36453</v>
      </c>
      <c r="I669">
        <f ca="1">IFERROR(__xludf.DUMMYFUNCTION("""COMPUTED_VALUE"""),10)</f>
        <v>10</v>
      </c>
      <c r="J669" t="str">
        <f ca="1">IFERROR(__xludf.DUMMYFUNCTION("""COMPUTED_VALUE"""),"N/A")</f>
        <v>N/A</v>
      </c>
      <c r="K669" t="str">
        <f ca="1">IFERROR(__xludf.DUMMYFUNCTION("""COMPUTED_VALUE"""),"Swift Delivery")</f>
        <v>Swift Delivery</v>
      </c>
      <c r="L669" t="str">
        <f ca="1">IFERROR(__xludf.DUMMYFUNCTION("""COMPUTED_VALUE"""),"Y")</f>
        <v>Y</v>
      </c>
      <c r="M669" t="str">
        <f ca="1">IFERROR(__xludf.DUMMYFUNCTION("""COMPUTED_VALUE"""),"jd-123")</f>
        <v>jd-123</v>
      </c>
    </row>
    <row r="670" spans="1:13" ht="12.5" x14ac:dyDescent="0.25">
      <c r="A670" t="str">
        <f ca="1">IFERROR(__xludf.DUMMYFUNCTION("""COMPUTED_VALUE"""),"Dewi")</f>
        <v>Dewi</v>
      </c>
      <c r="B670" t="str">
        <f ca="1">IFERROR(__xludf.DUMMYFUNCTION("""COMPUTED_VALUE"""),"Mudoyo")</f>
        <v>Mudoyo</v>
      </c>
      <c r="C670" t="str">
        <f ca="1">IFERROR(__xludf.DUMMYFUNCTION("""COMPUTED_VALUE"""),"Mudoyo@outlookx.com")</f>
        <v>Mudoyo@outlookx.com</v>
      </c>
      <c r="D670" t="str">
        <f ca="1">IFERROR(__xludf.DUMMYFUNCTION("""COMPUTED_VALUE"""),"Lhokseumawe")</f>
        <v>Lhokseumawe</v>
      </c>
      <c r="E670" s="12">
        <f ca="1">IFERROR(__xludf.DUMMYFUNCTION("""COMPUTED_VALUE"""),43435)</f>
        <v>43435</v>
      </c>
      <c r="F670" t="str">
        <f ca="1">IFERROR(__xludf.DUMMYFUNCTION("""COMPUTED_VALUE"""),"KP0550EH")</f>
        <v>KP0550EH</v>
      </c>
      <c r="G670" s="11">
        <f ca="1">IFERROR(__xludf.DUMMYFUNCTION("""COMPUTED_VALUE"""),180000000)</f>
        <v>180000000</v>
      </c>
      <c r="H670">
        <f ca="1">IFERROR(__xludf.DUMMYFUNCTION("""COMPUTED_VALUE"""),36237)</f>
        <v>36237</v>
      </c>
      <c r="I670">
        <f ca="1">IFERROR(__xludf.DUMMYFUNCTION("""COMPUTED_VALUE"""),4)</f>
        <v>4</v>
      </c>
      <c r="J670">
        <f ca="1">IFERROR(__xludf.DUMMYFUNCTION("""COMPUTED_VALUE"""),2)</f>
        <v>2</v>
      </c>
      <c r="K670" t="str">
        <f ca="1">IFERROR(__xludf.DUMMYFUNCTION("""COMPUTED_VALUE"""),"Wakanda Express")</f>
        <v>Wakanda Express</v>
      </c>
      <c r="L670" t="str">
        <f ca="1">IFERROR(__xludf.DUMMYFUNCTION("""COMPUTED_VALUE"""),"Y")</f>
        <v>Y</v>
      </c>
      <c r="M670" t="str">
        <f ca="1">IFERROR(__xludf.DUMMYFUNCTION("""COMPUTED_VALUE"""),"xm-101")</f>
        <v>xm-101</v>
      </c>
    </row>
    <row r="671" spans="1:13" ht="12.5" x14ac:dyDescent="0.25">
      <c r="A671" t="str">
        <f ca="1">IFERROR(__xludf.DUMMYFUNCTION("""COMPUTED_VALUE"""),"Peaceland")</f>
        <v>Peaceland</v>
      </c>
      <c r="B671" t="str">
        <f ca="1">IFERROR(__xludf.DUMMYFUNCTION("""COMPUTED_VALUE"""),"Hardjodikromo")</f>
        <v>Hardjodikromo</v>
      </c>
      <c r="C671" t="str">
        <f ca="1">IFERROR(__xludf.DUMMYFUNCTION("""COMPUTED_VALUE"""),"Peaceland@mex.com")</f>
        <v>Peaceland@mex.com</v>
      </c>
      <c r="D671" t="str">
        <f ca="1">IFERROR(__xludf.DUMMYFUNCTION("""COMPUTED_VALUE"""),"Cirebon")</f>
        <v>Cirebon</v>
      </c>
      <c r="E671" s="12">
        <f ca="1">IFERROR(__xludf.DUMMYFUNCTION("""COMPUTED_VALUE"""),43432)</f>
        <v>43432</v>
      </c>
      <c r="F671" t="str">
        <f ca="1">IFERROR(__xludf.DUMMYFUNCTION("""COMPUTED_VALUE"""),"KP0750AJ")</f>
        <v>KP0750AJ</v>
      </c>
      <c r="G671" s="11">
        <f ca="1">IFERROR(__xludf.DUMMYFUNCTION("""COMPUTED_VALUE"""),162000000)</f>
        <v>162000000</v>
      </c>
      <c r="H671">
        <f ca="1">IFERROR(__xludf.DUMMYFUNCTION("""COMPUTED_VALUE"""),35434)</f>
        <v>35434</v>
      </c>
      <c r="I671">
        <f ca="1">IFERROR(__xludf.DUMMYFUNCTION("""COMPUTED_VALUE"""),9)</f>
        <v>9</v>
      </c>
      <c r="J671" t="str">
        <f ca="1">IFERROR(__xludf.DUMMYFUNCTION("""COMPUTED_VALUE"""),"N/A")</f>
        <v>N/A</v>
      </c>
      <c r="K671" t="str">
        <f ca="1">IFERROR(__xludf.DUMMYFUNCTION("""COMPUTED_VALUE"""),"Pru Logistic")</f>
        <v>Pru Logistic</v>
      </c>
      <c r="L671" t="str">
        <f ca="1">IFERROR(__xludf.DUMMYFUNCTION("""COMPUTED_VALUE"""),"N")</f>
        <v>N</v>
      </c>
      <c r="M671" t="str">
        <f ca="1">IFERROR(__xludf.DUMMYFUNCTION("""COMPUTED_VALUE"""),"hu-409")</f>
        <v>hu-409</v>
      </c>
    </row>
    <row r="672" spans="1:13" ht="12.5" x14ac:dyDescent="0.25">
      <c r="A672" t="str">
        <f ca="1">IFERROR(__xludf.DUMMYFUNCTION("""COMPUTED_VALUE"""),"Sugiharto")</f>
        <v>Sugiharto</v>
      </c>
      <c r="B672" t="str">
        <f ca="1">IFERROR(__xludf.DUMMYFUNCTION("""COMPUTED_VALUE"""),"Sutanto")</f>
        <v>Sutanto</v>
      </c>
      <c r="C672" t="str">
        <f ca="1">IFERROR(__xludf.DUMMYFUNCTION("""COMPUTED_VALUE"""),"Sutanto@mex.com")</f>
        <v>Sutanto@mex.com</v>
      </c>
      <c r="D672" t="str">
        <f ca="1">IFERROR(__xludf.DUMMYFUNCTION("""COMPUTED_VALUE"""),"Lubuklinggau")</f>
        <v>Lubuklinggau</v>
      </c>
      <c r="E672" s="12">
        <f ca="1">IFERROR(__xludf.DUMMYFUNCTION("""COMPUTED_VALUE"""),43432)</f>
        <v>43432</v>
      </c>
      <c r="F672" t="str">
        <f ca="1">IFERROR(__xludf.DUMMYFUNCTION("""COMPUTED_VALUE"""),"KP0750AJ")</f>
        <v>KP0750AJ</v>
      </c>
      <c r="G672" s="11">
        <f ca="1">IFERROR(__xludf.DUMMYFUNCTION("""COMPUTED_VALUE"""),72000000)</f>
        <v>72000000</v>
      </c>
      <c r="H672">
        <f ca="1">IFERROR(__xludf.DUMMYFUNCTION("""COMPUTED_VALUE"""),35263)</f>
        <v>35263</v>
      </c>
      <c r="I672">
        <f ca="1">IFERROR(__xludf.DUMMYFUNCTION("""COMPUTED_VALUE"""),4)</f>
        <v>4</v>
      </c>
      <c r="J672" t="str">
        <f ca="1">IFERROR(__xludf.DUMMYFUNCTION("""COMPUTED_VALUE"""),"N/A")</f>
        <v>N/A</v>
      </c>
      <c r="K672" t="str">
        <f ca="1">IFERROR(__xludf.DUMMYFUNCTION("""COMPUTED_VALUE"""),"JENT")</f>
        <v>JENT</v>
      </c>
      <c r="L672" t="str">
        <f ca="1">IFERROR(__xludf.DUMMYFUNCTION("""COMPUTED_VALUE"""),"N")</f>
        <v>N</v>
      </c>
      <c r="M672" t="str">
        <f ca="1">IFERROR(__xludf.DUMMYFUNCTION("""COMPUTED_VALUE"""),"en-661")</f>
        <v>en-661</v>
      </c>
    </row>
    <row r="673" spans="1:13" ht="12.5" x14ac:dyDescent="0.25">
      <c r="A673" t="str">
        <f ca="1">IFERROR(__xludf.DUMMYFUNCTION("""COMPUTED_VALUE"""),"Achmad")</f>
        <v>Achmad</v>
      </c>
      <c r="B673" t="str">
        <f ca="1">IFERROR(__xludf.DUMMYFUNCTION("""COMPUTED_VALUE"""),"Hadeli")</f>
        <v>Hadeli</v>
      </c>
      <c r="C673" t="str">
        <f ca="1">IFERROR(__xludf.DUMMYFUNCTION("""COMPUTED_VALUE"""),"Achmad@livex.com")</f>
        <v>Achmad@livex.com</v>
      </c>
      <c r="D673" t="str">
        <f ca="1">IFERROR(__xludf.DUMMYFUNCTION("""COMPUTED_VALUE"""),"Padang")</f>
        <v>Padang</v>
      </c>
      <c r="E673" s="12">
        <f ca="1">IFERROR(__xludf.DUMMYFUNCTION("""COMPUTED_VALUE"""),43430)</f>
        <v>43430</v>
      </c>
      <c r="F673" t="str">
        <f ca="1">IFERROR(__xludf.DUMMYFUNCTION("""COMPUTED_VALUE"""),"KP0150BH")</f>
        <v>KP0150BH</v>
      </c>
      <c r="G673" s="11">
        <f ca="1">IFERROR(__xludf.DUMMYFUNCTION("""COMPUTED_VALUE"""),81000000)</f>
        <v>81000000</v>
      </c>
      <c r="H673">
        <f ca="1">IFERROR(__xludf.DUMMYFUNCTION("""COMPUTED_VALUE"""),36930)</f>
        <v>36930</v>
      </c>
      <c r="I673">
        <f ca="1">IFERROR(__xludf.DUMMYFUNCTION("""COMPUTED_VALUE"""),3)</f>
        <v>3</v>
      </c>
      <c r="J673">
        <f ca="1">IFERROR(__xludf.DUMMYFUNCTION("""COMPUTED_VALUE"""),3)</f>
        <v>3</v>
      </c>
      <c r="K673" t="str">
        <f ca="1">IFERROR(__xludf.DUMMYFUNCTION("""COMPUTED_VALUE"""),"Swift Delivery")</f>
        <v>Swift Delivery</v>
      </c>
      <c r="L673" t="str">
        <f ca="1">IFERROR(__xludf.DUMMYFUNCTION("""COMPUTED_VALUE"""),"Y")</f>
        <v>Y</v>
      </c>
      <c r="M673" t="str">
        <f ca="1">IFERROR(__xludf.DUMMYFUNCTION("""COMPUTED_VALUE"""),"zl-559")</f>
        <v>zl-559</v>
      </c>
    </row>
    <row r="674" spans="1:13" ht="12.5" x14ac:dyDescent="0.25">
      <c r="A674" t="str">
        <f ca="1">IFERROR(__xludf.DUMMYFUNCTION("""COMPUTED_VALUE"""),"Lin,")</f>
        <v>Lin,</v>
      </c>
      <c r="B674" t="str">
        <f ca="1">IFERROR(__xludf.DUMMYFUNCTION("""COMPUTED_VALUE"""),"Santoso")</f>
        <v>Santoso</v>
      </c>
      <c r="C674" t="str">
        <f ca="1">IFERROR(__xludf.DUMMYFUNCTION("""COMPUTED_VALUE"""),"Lin@ymailx.com")</f>
        <v>Lin@ymailx.com</v>
      </c>
      <c r="D674" t="str">
        <f ca="1">IFERROR(__xludf.DUMMYFUNCTION("""COMPUTED_VALUE"""),"Payakumbuh")</f>
        <v>Payakumbuh</v>
      </c>
      <c r="E674" s="12">
        <f ca="1">IFERROR(__xludf.DUMMYFUNCTION("""COMPUTED_VALUE"""),43429)</f>
        <v>43429</v>
      </c>
      <c r="F674" t="str">
        <f ca="1">IFERROR(__xludf.DUMMYFUNCTION("""COMPUTED_VALUE"""),"KP0425CB")</f>
        <v>KP0425CB</v>
      </c>
      <c r="G674" s="11">
        <f ca="1">IFERROR(__xludf.DUMMYFUNCTION("""COMPUTED_VALUE"""),272500000)</f>
        <v>272500000</v>
      </c>
      <c r="H674">
        <f ca="1">IFERROR(__xludf.DUMMYFUNCTION("""COMPUTED_VALUE"""),35693)</f>
        <v>35693</v>
      </c>
      <c r="I674">
        <f ca="1">IFERROR(__xludf.DUMMYFUNCTION("""COMPUTED_VALUE"""),10)</f>
        <v>10</v>
      </c>
      <c r="J674">
        <f ca="1">IFERROR(__xludf.DUMMYFUNCTION("""COMPUTED_VALUE"""),4)</f>
        <v>4</v>
      </c>
      <c r="K674" t="str">
        <f ca="1">IFERROR(__xludf.DUMMYFUNCTION("""COMPUTED_VALUE"""),"JENT")</f>
        <v>JENT</v>
      </c>
      <c r="L674" t="str">
        <f ca="1">IFERROR(__xludf.DUMMYFUNCTION("""COMPUTED_VALUE"""),"Y")</f>
        <v>Y</v>
      </c>
      <c r="M674" t="str">
        <f ca="1">IFERROR(__xludf.DUMMYFUNCTION("""COMPUTED_VALUE"""),"xb-559")</f>
        <v>xb-559</v>
      </c>
    </row>
    <row r="675" spans="1:13" ht="12.5" x14ac:dyDescent="0.25">
      <c r="A675" t="str">
        <f ca="1">IFERROR(__xludf.DUMMYFUNCTION("""COMPUTED_VALUE"""),"Rasyid,")</f>
        <v>Rasyid,</v>
      </c>
      <c r="B675" t="str">
        <f ca="1">IFERROR(__xludf.DUMMYFUNCTION("""COMPUTED_VALUE"""),"Soejatno")</f>
        <v>Soejatno</v>
      </c>
      <c r="C675" t="str">
        <f ca="1">IFERROR(__xludf.DUMMYFUNCTION("""COMPUTED_VALUE"""),"Soejatno@icloudx.com")</f>
        <v>Soejatno@icloudx.com</v>
      </c>
      <c r="D675" t="str">
        <f ca="1">IFERROR(__xludf.DUMMYFUNCTION("""COMPUTED_VALUE"""),"Metro")</f>
        <v>Metro</v>
      </c>
      <c r="E675" s="12">
        <f ca="1">IFERROR(__xludf.DUMMYFUNCTION("""COMPUTED_VALUE"""),43429)</f>
        <v>43429</v>
      </c>
      <c r="F675" t="str">
        <f ca="1">IFERROR(__xludf.DUMMYFUNCTION("""COMPUTED_VALUE"""),"KP0625AF")</f>
        <v>KP0625AF</v>
      </c>
      <c r="G675" s="11">
        <f ca="1">IFERROR(__xludf.DUMMYFUNCTION("""COMPUTED_VALUE"""),60000000)</f>
        <v>60000000</v>
      </c>
      <c r="H675">
        <f ca="1">IFERROR(__xludf.DUMMYFUNCTION("""COMPUTED_VALUE"""),35940)</f>
        <v>35940</v>
      </c>
      <c r="I675">
        <f ca="1">IFERROR(__xludf.DUMMYFUNCTION("""COMPUTED_VALUE"""),5)</f>
        <v>5</v>
      </c>
      <c r="J675" t="str">
        <f ca="1">IFERROR(__xludf.DUMMYFUNCTION("""COMPUTED_VALUE"""),"N/A")</f>
        <v>N/A</v>
      </c>
      <c r="K675" t="str">
        <f ca="1">IFERROR(__xludf.DUMMYFUNCTION("""COMPUTED_VALUE"""),"Swift Delivery")</f>
        <v>Swift Delivery</v>
      </c>
      <c r="L675" t="str">
        <f ca="1">IFERROR(__xludf.DUMMYFUNCTION("""COMPUTED_VALUE"""),"N")</f>
        <v>N</v>
      </c>
      <c r="M675" t="str">
        <f ca="1">IFERROR(__xludf.DUMMYFUNCTION("""COMPUTED_VALUE"""),"fl-150")</f>
        <v>fl-150</v>
      </c>
    </row>
    <row r="676" spans="1:13" ht="12.5" x14ac:dyDescent="0.25">
      <c r="A676" t="str">
        <f ca="1">IFERROR(__xludf.DUMMYFUNCTION("""COMPUTED_VALUE"""),"Megawati")</f>
        <v>Megawati</v>
      </c>
      <c r="B676" t="str">
        <f ca="1">IFERROR(__xludf.DUMMYFUNCTION("""COMPUTED_VALUE"""),"Tjakra/Ms")</f>
        <v>Tjakra/Ms</v>
      </c>
      <c r="C676" t="str">
        <f ca="1">IFERROR(__xludf.DUMMYFUNCTION("""COMPUTED_VALUE"""),"Megawati@livex.com")</f>
        <v>Megawati@livex.com</v>
      </c>
      <c r="D676" t="str">
        <f ca="1">IFERROR(__xludf.DUMMYFUNCTION("""COMPUTED_VALUE"""),"Lubuklinggau")</f>
        <v>Lubuklinggau</v>
      </c>
      <c r="E676" s="12">
        <f ca="1">IFERROR(__xludf.DUMMYFUNCTION("""COMPUTED_VALUE"""),43428)</f>
        <v>43428</v>
      </c>
      <c r="F676" t="str">
        <f ca="1">IFERROR(__xludf.DUMMYFUNCTION("""COMPUTED_VALUE"""),"KP0150BH")</f>
        <v>KP0150BH</v>
      </c>
      <c r="G676" s="11">
        <f ca="1">IFERROR(__xludf.DUMMYFUNCTION("""COMPUTED_VALUE"""),270000000)</f>
        <v>270000000</v>
      </c>
      <c r="H676">
        <f ca="1">IFERROR(__xludf.DUMMYFUNCTION("""COMPUTED_VALUE"""),36776)</f>
        <v>36776</v>
      </c>
      <c r="I676">
        <f ca="1">IFERROR(__xludf.DUMMYFUNCTION("""COMPUTED_VALUE"""),10)</f>
        <v>10</v>
      </c>
      <c r="J676" t="str">
        <f ca="1">IFERROR(__xludf.DUMMYFUNCTION("""COMPUTED_VALUE"""),"N/A")</f>
        <v>N/A</v>
      </c>
      <c r="K676" t="str">
        <f ca="1">IFERROR(__xludf.DUMMYFUNCTION("""COMPUTED_VALUE"""),"JENT")</f>
        <v>JENT</v>
      </c>
      <c r="L676" t="str">
        <f ca="1">IFERROR(__xludf.DUMMYFUNCTION("""COMPUTED_VALUE"""),"Y")</f>
        <v>Y</v>
      </c>
      <c r="M676" t="str">
        <f ca="1">IFERROR(__xludf.DUMMYFUNCTION("""COMPUTED_VALUE"""),"yk-661")</f>
        <v>yk-661</v>
      </c>
    </row>
    <row r="677" spans="1:13" ht="12.5" x14ac:dyDescent="0.25">
      <c r="A677" t="str">
        <f ca="1">IFERROR(__xludf.DUMMYFUNCTION("""COMPUTED_VALUE"""),"Kiki")</f>
        <v>Kiki</v>
      </c>
      <c r="B677" t="str">
        <f ca="1">IFERROR(__xludf.DUMMYFUNCTION("""COMPUTED_VALUE"""),"Priapantja")</f>
        <v>Priapantja</v>
      </c>
      <c r="C677" t="str">
        <f ca="1">IFERROR(__xludf.DUMMYFUNCTION("""COMPUTED_VALUE"""),"Kiki@ymailx.com")</f>
        <v>Kiki@ymailx.com</v>
      </c>
      <c r="D677" t="str">
        <f ca="1">IFERROR(__xludf.DUMMYFUNCTION("""COMPUTED_VALUE"""),"Singkawang")</f>
        <v>Singkawang</v>
      </c>
      <c r="E677" s="12">
        <f ca="1">IFERROR(__xludf.DUMMYFUNCTION("""COMPUTED_VALUE"""),43427)</f>
        <v>43427</v>
      </c>
      <c r="F677" t="str">
        <f ca="1">IFERROR(__xludf.DUMMYFUNCTION("""COMPUTED_VALUE"""),"KP0925SG")</f>
        <v>KP0925SG</v>
      </c>
      <c r="G677" s="11">
        <f ca="1">IFERROR(__xludf.DUMMYFUNCTION("""COMPUTED_VALUE"""),90000000)</f>
        <v>90000000</v>
      </c>
      <c r="H677">
        <f ca="1">IFERROR(__xludf.DUMMYFUNCTION("""COMPUTED_VALUE"""),35912)</f>
        <v>35912</v>
      </c>
      <c r="I677">
        <f ca="1">IFERROR(__xludf.DUMMYFUNCTION("""COMPUTED_VALUE"""),6)</f>
        <v>6</v>
      </c>
      <c r="J677" t="str">
        <f ca="1">IFERROR(__xludf.DUMMYFUNCTION("""COMPUTED_VALUE"""),"N/A")</f>
        <v>N/A</v>
      </c>
      <c r="K677" t="str">
        <f ca="1">IFERROR(__xludf.DUMMYFUNCTION("""COMPUTED_VALUE"""),"Wakanda Express")</f>
        <v>Wakanda Express</v>
      </c>
      <c r="L677" t="str">
        <f ca="1">IFERROR(__xludf.DUMMYFUNCTION("""COMPUTED_VALUE"""),"Y")</f>
        <v>Y</v>
      </c>
      <c r="M677" t="str">
        <f ca="1">IFERROR(__xludf.DUMMYFUNCTION("""COMPUTED_VALUE"""),"bd-880")</f>
        <v>bd-880</v>
      </c>
    </row>
    <row r="678" spans="1:13" ht="12.5" x14ac:dyDescent="0.25">
      <c r="A678" t="str">
        <f ca="1">IFERROR(__xludf.DUMMYFUNCTION("""COMPUTED_VALUE"""),"Semiwati")</f>
        <v>Semiwati</v>
      </c>
      <c r="B678" t="str">
        <f ca="1">IFERROR(__xludf.DUMMYFUNCTION("""COMPUTED_VALUE"""),"Widjaja")</f>
        <v>Widjaja</v>
      </c>
      <c r="C678" t="str">
        <f ca="1">IFERROR(__xludf.DUMMYFUNCTION("""COMPUTED_VALUE"""),"Widjaja@icloudx.com")</f>
        <v>Widjaja@icloudx.com</v>
      </c>
      <c r="D678" t="str">
        <f ca="1">IFERROR(__xludf.DUMMYFUNCTION("""COMPUTED_VALUE"""),"Binjai")</f>
        <v>Binjai</v>
      </c>
      <c r="E678" s="12">
        <f ca="1">IFERROR(__xludf.DUMMYFUNCTION("""COMPUTED_VALUE"""),43427)</f>
        <v>43427</v>
      </c>
      <c r="F678" t="str">
        <f ca="1">IFERROR(__xludf.DUMMYFUNCTION("""COMPUTED_VALUE"""),"KP0050AG")</f>
        <v>KP0050AG</v>
      </c>
      <c r="G678" s="11">
        <f ca="1">IFERROR(__xludf.DUMMYFUNCTION("""COMPUTED_VALUE"""),81250000)</f>
        <v>81250000</v>
      </c>
      <c r="H678">
        <f ca="1">IFERROR(__xludf.DUMMYFUNCTION("""COMPUTED_VALUE"""),36512)</f>
        <v>36512</v>
      </c>
      <c r="I678">
        <f ca="1">IFERROR(__xludf.DUMMYFUNCTION("""COMPUTED_VALUE"""),5)</f>
        <v>5</v>
      </c>
      <c r="J678" t="str">
        <f ca="1">IFERROR(__xludf.DUMMYFUNCTION("""COMPUTED_VALUE"""),"N/A")</f>
        <v>N/A</v>
      </c>
      <c r="K678" t="str">
        <f ca="1">IFERROR(__xludf.DUMMYFUNCTION("""COMPUTED_VALUE"""),"Swift Delivery")</f>
        <v>Swift Delivery</v>
      </c>
      <c r="L678" t="str">
        <f ca="1">IFERROR(__xludf.DUMMYFUNCTION("""COMPUTED_VALUE"""),"N")</f>
        <v>N</v>
      </c>
      <c r="M678" t="str">
        <f ca="1">IFERROR(__xludf.DUMMYFUNCTION("""COMPUTED_VALUE"""),"tq-662")</f>
        <v>tq-662</v>
      </c>
    </row>
    <row r="679" spans="1:13" ht="12.5" x14ac:dyDescent="0.25">
      <c r="A679" t="str">
        <f ca="1">IFERROR(__xludf.DUMMYFUNCTION("""COMPUTED_VALUE"""),"Dr.")</f>
        <v>Dr.</v>
      </c>
      <c r="B679" t="str">
        <f ca="1">IFERROR(__xludf.DUMMYFUNCTION("""COMPUTED_VALUE"""),"Priasmoro")</f>
        <v>Priasmoro</v>
      </c>
      <c r="C679" t="str">
        <f ca="1">IFERROR(__xludf.DUMMYFUNCTION("""COMPUTED_VALUE"""),"PRIASMORO@ymailx.com")</f>
        <v>PRIASMORO@ymailx.com</v>
      </c>
      <c r="D679" t="str">
        <f ca="1">IFERROR(__xludf.DUMMYFUNCTION("""COMPUTED_VALUE"""),"Tangerang")</f>
        <v>Tangerang</v>
      </c>
      <c r="E679" s="12">
        <f ca="1">IFERROR(__xludf.DUMMYFUNCTION("""COMPUTED_VALUE"""),43425)</f>
        <v>43425</v>
      </c>
      <c r="F679" t="str">
        <f ca="1">IFERROR(__xludf.DUMMYFUNCTION("""COMPUTED_VALUE"""),"KP0625AF")</f>
        <v>KP0625AF</v>
      </c>
      <c r="G679" s="11">
        <f ca="1">IFERROR(__xludf.DUMMYFUNCTION("""COMPUTED_VALUE"""),36000000)</f>
        <v>36000000</v>
      </c>
      <c r="H679">
        <f ca="1">IFERROR(__xludf.DUMMYFUNCTION("""COMPUTED_VALUE"""),35350)</f>
        <v>35350</v>
      </c>
      <c r="I679">
        <f ca="1">IFERROR(__xludf.DUMMYFUNCTION("""COMPUTED_VALUE"""),3)</f>
        <v>3</v>
      </c>
      <c r="J679">
        <f ca="1">IFERROR(__xludf.DUMMYFUNCTION("""COMPUTED_VALUE"""),4)</f>
        <v>4</v>
      </c>
      <c r="K679" t="str">
        <f ca="1">IFERROR(__xludf.DUMMYFUNCTION("""COMPUTED_VALUE"""),"Wakanda Express")</f>
        <v>Wakanda Express</v>
      </c>
      <c r="L679" t="str">
        <f ca="1">IFERROR(__xludf.DUMMYFUNCTION("""COMPUTED_VALUE"""),"Y")</f>
        <v>Y</v>
      </c>
      <c r="M679" t="str">
        <f ca="1">IFERROR(__xludf.DUMMYFUNCTION("""COMPUTED_VALUE"""),"oc-500")</f>
        <v>oc-500</v>
      </c>
    </row>
    <row r="680" spans="1:13" ht="12.5" x14ac:dyDescent="0.25">
      <c r="A680" t="str">
        <f ca="1">IFERROR(__xludf.DUMMYFUNCTION("""COMPUTED_VALUE"""),"Ryandi")</f>
        <v>Ryandi</v>
      </c>
      <c r="B680" t="str">
        <f ca="1">IFERROR(__xludf.DUMMYFUNCTION("""COMPUTED_VALUE"""),"Ang")</f>
        <v>Ang</v>
      </c>
      <c r="C680" t="str">
        <f ca="1">IFERROR(__xludf.DUMMYFUNCTION("""COMPUTED_VALUE"""),"Ryandi@ymailx.com")</f>
        <v>Ryandi@ymailx.com</v>
      </c>
      <c r="D680" t="str">
        <f ca="1">IFERROR(__xludf.DUMMYFUNCTION("""COMPUTED_VALUE"""),"Kendari")</f>
        <v>Kendari</v>
      </c>
      <c r="E680" s="12">
        <f ca="1">IFERROR(__xludf.DUMMYFUNCTION("""COMPUTED_VALUE"""),43424)</f>
        <v>43424</v>
      </c>
      <c r="F680" t="str">
        <f ca="1">IFERROR(__xludf.DUMMYFUNCTION("""COMPUTED_VALUE"""),"KP0925SG")</f>
        <v>KP0925SG</v>
      </c>
      <c r="G680" s="11">
        <f ca="1">IFERROR(__xludf.DUMMYFUNCTION("""COMPUTED_VALUE"""),30000000)</f>
        <v>30000000</v>
      </c>
      <c r="H680">
        <f ca="1">IFERROR(__xludf.DUMMYFUNCTION("""COMPUTED_VALUE"""),36731)</f>
        <v>36731</v>
      </c>
      <c r="I680">
        <f ca="1">IFERROR(__xludf.DUMMYFUNCTION("""COMPUTED_VALUE"""),2)</f>
        <v>2</v>
      </c>
      <c r="J680">
        <f ca="1">IFERROR(__xludf.DUMMYFUNCTION("""COMPUTED_VALUE"""),4)</f>
        <v>4</v>
      </c>
      <c r="K680" t="str">
        <f ca="1">IFERROR(__xludf.DUMMYFUNCTION("""COMPUTED_VALUE"""),"Pru Logistic")</f>
        <v>Pru Logistic</v>
      </c>
      <c r="L680" t="str">
        <f ca="1">IFERROR(__xludf.DUMMYFUNCTION("""COMPUTED_VALUE"""),"N")</f>
        <v>N</v>
      </c>
      <c r="M680" t="str">
        <f ca="1">IFERROR(__xludf.DUMMYFUNCTION("""COMPUTED_VALUE"""),"nm-250")</f>
        <v>nm-250</v>
      </c>
    </row>
    <row r="681" spans="1:13" ht="12.5" x14ac:dyDescent="0.25">
      <c r="A681" t="str">
        <f ca="1">IFERROR(__xludf.DUMMYFUNCTION("""COMPUTED_VALUE"""),"Dedy")</f>
        <v>Dedy</v>
      </c>
      <c r="B681" t="str">
        <f ca="1">IFERROR(__xludf.DUMMYFUNCTION("""COMPUTED_VALUE"""),"B.")</f>
        <v>B.</v>
      </c>
      <c r="C681" t="str">
        <f ca="1">IFERROR(__xludf.DUMMYFUNCTION("""COMPUTED_VALUE"""),"Dedy@gmailx.com")</f>
        <v>Dedy@gmailx.com</v>
      </c>
      <c r="D681" t="str">
        <f ca="1">IFERROR(__xludf.DUMMYFUNCTION("""COMPUTED_VALUE"""),"Batam")</f>
        <v>Batam</v>
      </c>
      <c r="E681" s="12">
        <f ca="1">IFERROR(__xludf.DUMMYFUNCTION("""COMPUTED_VALUE"""),42693)</f>
        <v>42693</v>
      </c>
      <c r="F681" t="str">
        <f ca="1">IFERROR(__xludf.DUMMYFUNCTION("""COMPUTED_VALUE"""),"KP0150BH")</f>
        <v>KP0150BH</v>
      </c>
      <c r="G681" s="11">
        <f ca="1">IFERROR(__xludf.DUMMYFUNCTION("""COMPUTED_VALUE"""),81000000)</f>
        <v>81000000</v>
      </c>
      <c r="H681">
        <f ca="1">IFERROR(__xludf.DUMMYFUNCTION("""COMPUTED_VALUE"""),36377)</f>
        <v>36377</v>
      </c>
      <c r="I681">
        <f ca="1">IFERROR(__xludf.DUMMYFUNCTION("""COMPUTED_VALUE"""),3)</f>
        <v>3</v>
      </c>
      <c r="J681" t="str">
        <f ca="1">IFERROR(__xludf.DUMMYFUNCTION("""COMPUTED_VALUE"""),"N/A")</f>
        <v>N/A</v>
      </c>
      <c r="K681" t="str">
        <f ca="1">IFERROR(__xludf.DUMMYFUNCTION("""COMPUTED_VALUE"""),"JENT")</f>
        <v>JENT</v>
      </c>
      <c r="L681" t="str">
        <f ca="1">IFERROR(__xludf.DUMMYFUNCTION("""COMPUTED_VALUE"""),"Y")</f>
        <v>Y</v>
      </c>
      <c r="M681" t="str">
        <f ca="1">IFERROR(__xludf.DUMMYFUNCTION("""COMPUTED_VALUE"""),"rd-809")</f>
        <v>rd-809</v>
      </c>
    </row>
    <row r="682" spans="1:13" ht="12.5" x14ac:dyDescent="0.25">
      <c r="A682" t="str">
        <f ca="1">IFERROR(__xludf.DUMMYFUNCTION("""COMPUTED_VALUE"""),"Handi")</f>
        <v>Handi</v>
      </c>
      <c r="B682" t="str">
        <f ca="1">IFERROR(__xludf.DUMMYFUNCTION("""COMPUTED_VALUE"""),"Putihrai")</f>
        <v>Putihrai</v>
      </c>
      <c r="C682" t="str">
        <f ca="1">IFERROR(__xludf.DUMMYFUNCTION("""COMPUTED_VALUE"""),"Putihrai@gmailx.com")</f>
        <v>Putihrai@gmailx.com</v>
      </c>
      <c r="D682" t="str">
        <f ca="1">IFERROR(__xludf.DUMMYFUNCTION("""COMPUTED_VALUE"""),"Palembang")</f>
        <v>Palembang</v>
      </c>
      <c r="E682" s="12">
        <f ca="1">IFERROR(__xludf.DUMMYFUNCTION("""COMPUTED_VALUE"""),42691)</f>
        <v>42691</v>
      </c>
      <c r="F682" t="str">
        <f ca="1">IFERROR(__xludf.DUMMYFUNCTION("""COMPUTED_VALUE"""),"KP0150BH")</f>
        <v>KP0150BH</v>
      </c>
      <c r="G682" s="11">
        <f ca="1">IFERROR(__xludf.DUMMYFUNCTION("""COMPUTED_VALUE"""),270000000)</f>
        <v>270000000</v>
      </c>
      <c r="H682">
        <f ca="1">IFERROR(__xludf.DUMMYFUNCTION("""COMPUTED_VALUE"""),35692)</f>
        <v>35692</v>
      </c>
      <c r="I682">
        <f ca="1">IFERROR(__xludf.DUMMYFUNCTION("""COMPUTED_VALUE"""),10)</f>
        <v>10</v>
      </c>
      <c r="J682">
        <f ca="1">IFERROR(__xludf.DUMMYFUNCTION("""COMPUTED_VALUE"""),2)</f>
        <v>2</v>
      </c>
      <c r="K682" t="str">
        <f ca="1">IFERROR(__xludf.DUMMYFUNCTION("""COMPUTED_VALUE"""),"Cepat Kirim")</f>
        <v>Cepat Kirim</v>
      </c>
      <c r="L682" t="str">
        <f ca="1">IFERROR(__xludf.DUMMYFUNCTION("""COMPUTED_VALUE"""),"Y")</f>
        <v>Y</v>
      </c>
      <c r="M682" t="str">
        <f ca="1">IFERROR(__xludf.DUMMYFUNCTION("""COMPUTED_VALUE"""),"sk-661")</f>
        <v>sk-661</v>
      </c>
    </row>
    <row r="683" spans="1:13" ht="12.5" x14ac:dyDescent="0.25">
      <c r="A683" t="str">
        <f ca="1">IFERROR(__xludf.DUMMYFUNCTION("""COMPUTED_VALUE"""),"Johan")</f>
        <v>Johan</v>
      </c>
      <c r="B683" t="str">
        <f ca="1">IFERROR(__xludf.DUMMYFUNCTION("""COMPUTED_VALUE"""),"Loengara")</f>
        <v>Loengara</v>
      </c>
      <c r="C683" t="str">
        <f ca="1">IFERROR(__xludf.DUMMYFUNCTION("""COMPUTED_VALUE"""),"Loengara@ymailx.com")</f>
        <v>Loengara@ymailx.com</v>
      </c>
      <c r="D683" t="str">
        <f ca="1">IFERROR(__xludf.DUMMYFUNCTION("""COMPUTED_VALUE"""),"Tangerang Selatan")</f>
        <v>Tangerang Selatan</v>
      </c>
      <c r="E683" s="12">
        <f ca="1">IFERROR(__xludf.DUMMYFUNCTION("""COMPUTED_VALUE"""),42690)</f>
        <v>42690</v>
      </c>
      <c r="F683" t="str">
        <f ca="1">IFERROR(__xludf.DUMMYFUNCTION("""COMPUTED_VALUE"""),"KP0750AJ")</f>
        <v>KP0750AJ</v>
      </c>
      <c r="G683" s="11">
        <f ca="1">IFERROR(__xludf.DUMMYFUNCTION("""COMPUTED_VALUE"""),90000000)</f>
        <v>90000000</v>
      </c>
      <c r="H683">
        <f ca="1">IFERROR(__xludf.DUMMYFUNCTION("""COMPUTED_VALUE"""),35598)</f>
        <v>35598</v>
      </c>
      <c r="I683">
        <f ca="1">IFERROR(__xludf.DUMMYFUNCTION("""COMPUTED_VALUE"""),5)</f>
        <v>5</v>
      </c>
      <c r="J683" t="str">
        <f ca="1">IFERROR(__xludf.DUMMYFUNCTION("""COMPUTED_VALUE"""),"N/A")</f>
        <v>N/A</v>
      </c>
      <c r="K683" t="str">
        <f ca="1">IFERROR(__xludf.DUMMYFUNCTION("""COMPUTED_VALUE"""),"JENT")</f>
        <v>JENT</v>
      </c>
      <c r="L683" t="str">
        <f ca="1">IFERROR(__xludf.DUMMYFUNCTION("""COMPUTED_VALUE"""),"Y")</f>
        <v>Y</v>
      </c>
      <c r="M683" t="str">
        <f ca="1">IFERROR(__xludf.DUMMYFUNCTION("""COMPUTED_VALUE"""),"bb-500")</f>
        <v>bb-500</v>
      </c>
    </row>
    <row r="684" spans="1:13" ht="12.5" x14ac:dyDescent="0.25">
      <c r="A684" t="str">
        <f ca="1">IFERROR(__xludf.DUMMYFUNCTION("""COMPUTED_VALUE"""),"Budi")</f>
        <v>Budi</v>
      </c>
      <c r="B684" t="str">
        <f ca="1">IFERROR(__xludf.DUMMYFUNCTION("""COMPUTED_VALUE"""),"Setijawati")</f>
        <v>Setijawati</v>
      </c>
      <c r="C684" t="str">
        <f ca="1">IFERROR(__xludf.DUMMYFUNCTION("""COMPUTED_VALUE"""),"Budi@gmailx.com")</f>
        <v>Budi@gmailx.com</v>
      </c>
      <c r="D684" t="str">
        <f ca="1">IFERROR(__xludf.DUMMYFUNCTION("""COMPUTED_VALUE"""),"Tidore Kepulauan")</f>
        <v>Tidore Kepulauan</v>
      </c>
      <c r="E684" s="12">
        <f ca="1">IFERROR(__xludf.DUMMYFUNCTION("""COMPUTED_VALUE"""),42690)</f>
        <v>42690</v>
      </c>
      <c r="F684" t="str">
        <f ca="1">IFERROR(__xludf.DUMMYFUNCTION("""COMPUTED_VALUE"""),"KP0750AJ")</f>
        <v>KP0750AJ</v>
      </c>
      <c r="G684" s="11">
        <f ca="1">IFERROR(__xludf.DUMMYFUNCTION("""COMPUTED_VALUE"""),90000000)</f>
        <v>90000000</v>
      </c>
      <c r="H684">
        <f ca="1">IFERROR(__xludf.DUMMYFUNCTION("""COMPUTED_VALUE"""),36331)</f>
        <v>36331</v>
      </c>
      <c r="I684">
        <f ca="1">IFERROR(__xludf.DUMMYFUNCTION("""COMPUTED_VALUE"""),5)</f>
        <v>5</v>
      </c>
      <c r="J684">
        <f ca="1">IFERROR(__xludf.DUMMYFUNCTION("""COMPUTED_VALUE"""),4)</f>
        <v>4</v>
      </c>
      <c r="K684" t="str">
        <f ca="1">IFERROR(__xludf.DUMMYFUNCTION("""COMPUTED_VALUE"""),"Wakanda Express")</f>
        <v>Wakanda Express</v>
      </c>
      <c r="L684" t="str">
        <f ca="1">IFERROR(__xludf.DUMMYFUNCTION("""COMPUTED_VALUE"""),"Y")</f>
        <v>Y</v>
      </c>
      <c r="M684" t="str">
        <f ca="1">IFERROR(__xludf.DUMMYFUNCTION("""COMPUTED_VALUE"""),"mb-160")</f>
        <v>mb-160</v>
      </c>
    </row>
    <row r="685" spans="1:13" ht="12.5" x14ac:dyDescent="0.25">
      <c r="A685" t="str">
        <f ca="1">IFERROR(__xludf.DUMMYFUNCTION("""COMPUTED_VALUE"""),"Helmut")</f>
        <v>Helmut</v>
      </c>
      <c r="B685" t="str">
        <f ca="1">IFERROR(__xludf.DUMMYFUNCTION("""COMPUTED_VALUE"""),"Hari")</f>
        <v>Hari</v>
      </c>
      <c r="C685" t="str">
        <f ca="1">IFERROR(__xludf.DUMMYFUNCTION("""COMPUTED_VALUE"""),"Helmut@gmailx.com")</f>
        <v>Helmut@gmailx.com</v>
      </c>
      <c r="D685" t="str">
        <f ca="1">IFERROR(__xludf.DUMMYFUNCTION("""COMPUTED_VALUE"""),"Cilegon")</f>
        <v>Cilegon</v>
      </c>
      <c r="E685" s="12">
        <f ca="1">IFERROR(__xludf.DUMMYFUNCTION("""COMPUTED_VALUE"""),42687)</f>
        <v>42687</v>
      </c>
      <c r="F685" t="str">
        <f ca="1">IFERROR(__xludf.DUMMYFUNCTION("""COMPUTED_VALUE"""),"KP0150BH")</f>
        <v>KP0150BH</v>
      </c>
      <c r="G685" s="11">
        <f ca="1">IFERROR(__xludf.DUMMYFUNCTION("""COMPUTED_VALUE"""),270000000)</f>
        <v>270000000</v>
      </c>
      <c r="H685">
        <f ca="1">IFERROR(__xludf.DUMMYFUNCTION("""COMPUTED_VALUE"""),36189)</f>
        <v>36189</v>
      </c>
      <c r="I685">
        <f ca="1">IFERROR(__xludf.DUMMYFUNCTION("""COMPUTED_VALUE"""),10)</f>
        <v>10</v>
      </c>
      <c r="J685">
        <f ca="1">IFERROR(__xludf.DUMMYFUNCTION("""COMPUTED_VALUE"""),2)</f>
        <v>2</v>
      </c>
      <c r="K685" t="str">
        <f ca="1">IFERROR(__xludf.DUMMYFUNCTION("""COMPUTED_VALUE"""),"Swift Delivery")</f>
        <v>Swift Delivery</v>
      </c>
      <c r="L685" t="str">
        <f ca="1">IFERROR(__xludf.DUMMYFUNCTION("""COMPUTED_VALUE"""),"Y")</f>
        <v>Y</v>
      </c>
      <c r="M685" t="str">
        <f ca="1">IFERROR(__xludf.DUMMYFUNCTION("""COMPUTED_VALUE"""),"ip-500")</f>
        <v>ip-500</v>
      </c>
    </row>
    <row r="686" spans="1:13" ht="12.5" x14ac:dyDescent="0.25">
      <c r="A686" t="str">
        <f ca="1">IFERROR(__xludf.DUMMYFUNCTION("""COMPUTED_VALUE"""),"Bimo")</f>
        <v>Bimo</v>
      </c>
      <c r="B686" t="str">
        <f ca="1">IFERROR(__xludf.DUMMYFUNCTION("""COMPUTED_VALUE"""),"Brent")</f>
        <v>Brent</v>
      </c>
      <c r="C686" t="str">
        <f ca="1">IFERROR(__xludf.DUMMYFUNCTION("""COMPUTED_VALUE"""),"Bimo@icloudx.com")</f>
        <v>Bimo@icloudx.com</v>
      </c>
      <c r="D686" t="str">
        <f ca="1">IFERROR(__xludf.DUMMYFUNCTION("""COMPUTED_VALUE"""),"Jayapura")</f>
        <v>Jayapura</v>
      </c>
      <c r="E686" s="12">
        <f ca="1">IFERROR(__xludf.DUMMYFUNCTION("""COMPUTED_VALUE"""),42685)</f>
        <v>42685</v>
      </c>
      <c r="F686" t="str">
        <f ca="1">IFERROR(__xludf.DUMMYFUNCTION("""COMPUTED_VALUE"""),"KP0850FB")</f>
        <v>KP0850FB</v>
      </c>
      <c r="G686" s="11">
        <f ca="1">IFERROR(__xludf.DUMMYFUNCTION("""COMPUTED_VALUE"""),168000000)</f>
        <v>168000000</v>
      </c>
      <c r="H686">
        <f ca="1">IFERROR(__xludf.DUMMYFUNCTION("""COMPUTED_VALUE"""),35083)</f>
        <v>35083</v>
      </c>
      <c r="I686">
        <f ca="1">IFERROR(__xludf.DUMMYFUNCTION("""COMPUTED_VALUE"""),8)</f>
        <v>8</v>
      </c>
      <c r="J686">
        <f ca="1">IFERROR(__xludf.DUMMYFUNCTION("""COMPUTED_VALUE"""),3)</f>
        <v>3</v>
      </c>
      <c r="K686" t="str">
        <f ca="1">IFERROR(__xludf.DUMMYFUNCTION("""COMPUTED_VALUE"""),"Swift Delivery")</f>
        <v>Swift Delivery</v>
      </c>
      <c r="L686" t="str">
        <f ca="1">IFERROR(__xludf.DUMMYFUNCTION("""COMPUTED_VALUE"""),"Y")</f>
        <v>Y</v>
      </c>
      <c r="M686" t="str">
        <f ca="1">IFERROR(__xludf.DUMMYFUNCTION("""COMPUTED_VALUE"""),"ev-990")</f>
        <v>ev-990</v>
      </c>
    </row>
    <row r="687" spans="1:13" ht="12.5" x14ac:dyDescent="0.25">
      <c r="A687" t="str">
        <f ca="1">IFERROR(__xludf.DUMMYFUNCTION("""COMPUTED_VALUE"""),"Joyce")</f>
        <v>Joyce</v>
      </c>
      <c r="B687" t="str">
        <f ca="1">IFERROR(__xludf.DUMMYFUNCTION("""COMPUTED_VALUE"""),"Iuwena")</f>
        <v>Iuwena</v>
      </c>
      <c r="C687" t="str">
        <f ca="1">IFERROR(__xludf.DUMMYFUNCTION("""COMPUTED_VALUE"""),"Iuwena@ymailx.com")</f>
        <v>Iuwena@ymailx.com</v>
      </c>
      <c r="D687" t="str">
        <f ca="1">IFERROR(__xludf.DUMMYFUNCTION("""COMPUTED_VALUE"""),"Tual")</f>
        <v>Tual</v>
      </c>
      <c r="E687" s="12">
        <f ca="1">IFERROR(__xludf.DUMMYFUNCTION("""COMPUTED_VALUE"""),42593)</f>
        <v>42593</v>
      </c>
      <c r="F687" t="str">
        <f ca="1">IFERROR(__xludf.DUMMYFUNCTION("""COMPUTED_VALUE"""),"KP0625AF")</f>
        <v>KP0625AF</v>
      </c>
      <c r="G687" s="11">
        <f ca="1">IFERROR(__xludf.DUMMYFUNCTION("""COMPUTED_VALUE"""),72000000)</f>
        <v>72000000</v>
      </c>
      <c r="H687">
        <f ca="1">IFERROR(__xludf.DUMMYFUNCTION("""COMPUTED_VALUE"""),36662)</f>
        <v>36662</v>
      </c>
      <c r="I687">
        <f ca="1">IFERROR(__xludf.DUMMYFUNCTION("""COMPUTED_VALUE"""),6)</f>
        <v>6</v>
      </c>
      <c r="J687">
        <f ca="1">IFERROR(__xludf.DUMMYFUNCTION("""COMPUTED_VALUE"""),4)</f>
        <v>4</v>
      </c>
      <c r="K687" t="str">
        <f ca="1">IFERROR(__xludf.DUMMYFUNCTION("""COMPUTED_VALUE"""),"Wakanda Express")</f>
        <v>Wakanda Express</v>
      </c>
      <c r="L687" t="str">
        <f ca="1">IFERROR(__xludf.DUMMYFUNCTION("""COMPUTED_VALUE"""),"Y")</f>
        <v>Y</v>
      </c>
      <c r="M687" t="str">
        <f ca="1">IFERROR(__xludf.DUMMYFUNCTION("""COMPUTED_VALUE"""),"oc-171")</f>
        <v>oc-171</v>
      </c>
    </row>
    <row r="688" spans="1:13" ht="12.5" x14ac:dyDescent="0.25">
      <c r="A688" t="str">
        <f ca="1">IFERROR(__xludf.DUMMYFUNCTION("""COMPUTED_VALUE"""),"Endang")</f>
        <v>Endang</v>
      </c>
      <c r="B688" t="str">
        <f ca="1">IFERROR(__xludf.DUMMYFUNCTION("""COMPUTED_VALUE"""),"Tarazona")</f>
        <v>Tarazona</v>
      </c>
      <c r="C688" t="str">
        <f ca="1">IFERROR(__xludf.DUMMYFUNCTION("""COMPUTED_VALUE"""),"Endang@ymailx.com")</f>
        <v>Endang@ymailx.com</v>
      </c>
      <c r="D688" t="str">
        <f ca="1">IFERROR(__xludf.DUMMYFUNCTION("""COMPUTED_VALUE"""),"Lubuklinggau")</f>
        <v>Lubuklinggau</v>
      </c>
      <c r="E688" s="12">
        <f ca="1">IFERROR(__xludf.DUMMYFUNCTION("""COMPUTED_VALUE"""),42562)</f>
        <v>42562</v>
      </c>
      <c r="F688" t="str">
        <f ca="1">IFERROR(__xludf.DUMMYFUNCTION("""COMPUTED_VALUE"""),"KP0350CF")</f>
        <v>KP0350CF</v>
      </c>
      <c r="G688" s="11">
        <f ca="1">IFERROR(__xludf.DUMMYFUNCTION("""COMPUTED_VALUE"""),315000000)</f>
        <v>315000000</v>
      </c>
      <c r="H688">
        <f ca="1">IFERROR(__xludf.DUMMYFUNCTION("""COMPUTED_VALUE"""),36569)</f>
        <v>36569</v>
      </c>
      <c r="I688">
        <f ca="1">IFERROR(__xludf.DUMMYFUNCTION("""COMPUTED_VALUE"""),9)</f>
        <v>9</v>
      </c>
      <c r="J688">
        <f ca="1">IFERROR(__xludf.DUMMYFUNCTION("""COMPUTED_VALUE"""),3)</f>
        <v>3</v>
      </c>
      <c r="K688" t="str">
        <f ca="1">IFERROR(__xludf.DUMMYFUNCTION("""COMPUTED_VALUE"""),"Swift Delivery")</f>
        <v>Swift Delivery</v>
      </c>
      <c r="L688" t="str">
        <f ca="1">IFERROR(__xludf.DUMMYFUNCTION("""COMPUTED_VALUE"""),"Y")</f>
        <v>Y</v>
      </c>
      <c r="M688" t="str">
        <f ca="1">IFERROR(__xludf.DUMMYFUNCTION("""COMPUTED_VALUE"""),"bj-661")</f>
        <v>bj-661</v>
      </c>
    </row>
    <row r="689" spans="1:13" ht="12.5" x14ac:dyDescent="0.25">
      <c r="A689" t="str">
        <f ca="1">IFERROR(__xludf.DUMMYFUNCTION("""COMPUTED_VALUE"""),"Lina")</f>
        <v>Lina</v>
      </c>
      <c r="B689" t="str">
        <f ca="1">IFERROR(__xludf.DUMMYFUNCTION("""COMPUTED_VALUE"""),"Setijono")</f>
        <v>Setijono</v>
      </c>
      <c r="C689" t="str">
        <f ca="1">IFERROR(__xludf.DUMMYFUNCTION("""COMPUTED_VALUE"""),"Setijono@icloudx.com")</f>
        <v>Setijono@icloudx.com</v>
      </c>
      <c r="D689" t="str">
        <f ca="1">IFERROR(__xludf.DUMMYFUNCTION("""COMPUTED_VALUE"""),"Samarinda")</f>
        <v>Samarinda</v>
      </c>
      <c r="E689" s="12">
        <f ca="1">IFERROR(__xludf.DUMMYFUNCTION("""COMPUTED_VALUE"""),42562)</f>
        <v>42562</v>
      </c>
      <c r="F689" t="str">
        <f ca="1">IFERROR(__xludf.DUMMYFUNCTION("""COMPUTED_VALUE"""),"KP0625AF")</f>
        <v>KP0625AF</v>
      </c>
      <c r="G689" s="11">
        <f ca="1">IFERROR(__xludf.DUMMYFUNCTION("""COMPUTED_VALUE"""),36000000)</f>
        <v>36000000</v>
      </c>
      <c r="H689">
        <f ca="1">IFERROR(__xludf.DUMMYFUNCTION("""COMPUTED_VALUE"""),35473)</f>
        <v>35473</v>
      </c>
      <c r="I689">
        <f ca="1">IFERROR(__xludf.DUMMYFUNCTION("""COMPUTED_VALUE"""),3)</f>
        <v>3</v>
      </c>
      <c r="J689" t="str">
        <f ca="1">IFERROR(__xludf.DUMMYFUNCTION("""COMPUTED_VALUE"""),"N/A")</f>
        <v>N/A</v>
      </c>
      <c r="K689" t="str">
        <f ca="1">IFERROR(__xludf.DUMMYFUNCTION("""COMPUTED_VALUE"""),"JENT")</f>
        <v>JENT</v>
      </c>
      <c r="L689" t="str">
        <f ca="1">IFERROR(__xludf.DUMMYFUNCTION("""COMPUTED_VALUE"""),"Y")</f>
        <v>Y</v>
      </c>
      <c r="M689" t="str">
        <f ca="1">IFERROR(__xludf.DUMMYFUNCTION("""COMPUTED_VALUE"""),"rj-993")</f>
        <v>rj-993</v>
      </c>
    </row>
    <row r="690" spans="1:13" ht="12.5" x14ac:dyDescent="0.25">
      <c r="A690" t="str">
        <f ca="1">IFERROR(__xludf.DUMMYFUNCTION("""COMPUTED_VALUE"""),"Liliawati")</f>
        <v>Liliawati</v>
      </c>
      <c r="B690" t="str">
        <f ca="1">IFERROR(__xludf.DUMMYFUNCTION("""COMPUTED_VALUE"""),"Susilowidjojo")</f>
        <v>Susilowidjojo</v>
      </c>
      <c r="C690" t="str">
        <f ca="1">IFERROR(__xludf.DUMMYFUNCTION("""COMPUTED_VALUE"""),"Susilowidjojo@rocketmailx.com")</f>
        <v>Susilowidjojo@rocketmailx.com</v>
      </c>
      <c r="D690" t="str">
        <f ca="1">IFERROR(__xludf.DUMMYFUNCTION("""COMPUTED_VALUE"""),"Salatiga")</f>
        <v>Salatiga</v>
      </c>
      <c r="E690" s="12">
        <f ca="1">IFERROR(__xludf.DUMMYFUNCTION("""COMPUTED_VALUE"""),42562)</f>
        <v>42562</v>
      </c>
      <c r="F690" t="str">
        <f ca="1">IFERROR(__xludf.DUMMYFUNCTION("""COMPUTED_VALUE"""),"KP0350CF")</f>
        <v>KP0350CF</v>
      </c>
      <c r="G690" s="11">
        <f ca="1">IFERROR(__xludf.DUMMYFUNCTION("""COMPUTED_VALUE"""),140000000)</f>
        <v>140000000</v>
      </c>
      <c r="H690">
        <f ca="1">IFERROR(__xludf.DUMMYFUNCTION("""COMPUTED_VALUE"""),36735)</f>
        <v>36735</v>
      </c>
      <c r="I690">
        <f ca="1">IFERROR(__xludf.DUMMYFUNCTION("""COMPUTED_VALUE"""),4)</f>
        <v>4</v>
      </c>
      <c r="J690" t="str">
        <f ca="1">IFERROR(__xludf.DUMMYFUNCTION("""COMPUTED_VALUE"""),"N/A")</f>
        <v>N/A</v>
      </c>
      <c r="K690" t="str">
        <f ca="1">IFERROR(__xludf.DUMMYFUNCTION("""COMPUTED_VALUE"""),"Swift Delivery")</f>
        <v>Swift Delivery</v>
      </c>
      <c r="L690" t="str">
        <f ca="1">IFERROR(__xludf.DUMMYFUNCTION("""COMPUTED_VALUE"""),"Y")</f>
        <v>Y</v>
      </c>
      <c r="M690" t="str">
        <f ca="1">IFERROR(__xludf.DUMMYFUNCTION("""COMPUTED_VALUE"""),"qb-410")</f>
        <v>qb-410</v>
      </c>
    </row>
    <row r="691" spans="1:13" ht="12.5" x14ac:dyDescent="0.25">
      <c r="A691" t="str">
        <f ca="1">IFERROR(__xludf.DUMMYFUNCTION("""COMPUTED_VALUE"""),"Sanjaya")</f>
        <v>Sanjaya</v>
      </c>
      <c r="B691" t="str">
        <f ca="1">IFERROR(__xludf.DUMMYFUNCTION("""COMPUTED_VALUE"""),"Husein")</f>
        <v>Husein</v>
      </c>
      <c r="C691" t="str">
        <f ca="1">IFERROR(__xludf.DUMMYFUNCTION("""COMPUTED_VALUE"""),"Sanjaya@ymailx.com")</f>
        <v>Sanjaya@ymailx.com</v>
      </c>
      <c r="D691" t="str">
        <f ca="1">IFERROR(__xludf.DUMMYFUNCTION("""COMPUTED_VALUE"""),"Tangerang")</f>
        <v>Tangerang</v>
      </c>
      <c r="E691" s="12">
        <f ca="1">IFERROR(__xludf.DUMMYFUNCTION("""COMPUTED_VALUE"""),42562)</f>
        <v>42562</v>
      </c>
      <c r="F691" t="str">
        <f ca="1">IFERROR(__xludf.DUMMYFUNCTION("""COMPUTED_VALUE"""),"KP0150BH")</f>
        <v>KP0150BH</v>
      </c>
      <c r="G691" s="11">
        <f ca="1">IFERROR(__xludf.DUMMYFUNCTION("""COMPUTED_VALUE"""),189000000)</f>
        <v>189000000</v>
      </c>
      <c r="H691">
        <f ca="1">IFERROR(__xludf.DUMMYFUNCTION("""COMPUTED_VALUE"""),36072)</f>
        <v>36072</v>
      </c>
      <c r="I691">
        <f ca="1">IFERROR(__xludf.DUMMYFUNCTION("""COMPUTED_VALUE"""),7)</f>
        <v>7</v>
      </c>
      <c r="J691" t="str">
        <f ca="1">IFERROR(__xludf.DUMMYFUNCTION("""COMPUTED_VALUE"""),"N/A")</f>
        <v>N/A</v>
      </c>
      <c r="K691" t="str">
        <f ca="1">IFERROR(__xludf.DUMMYFUNCTION("""COMPUTED_VALUE"""),"Cepat Kirim")</f>
        <v>Cepat Kirim</v>
      </c>
      <c r="L691" t="str">
        <f ca="1">IFERROR(__xludf.DUMMYFUNCTION("""COMPUTED_VALUE"""),"N")</f>
        <v>N</v>
      </c>
      <c r="M691" t="str">
        <f ca="1">IFERROR(__xludf.DUMMYFUNCTION("""COMPUTED_VALUE"""),"oz-500")</f>
        <v>oz-500</v>
      </c>
    </row>
    <row r="692" spans="1:13" ht="12.5" x14ac:dyDescent="0.25">
      <c r="A692" t="str">
        <f ca="1">IFERROR(__xludf.DUMMYFUNCTION("""COMPUTED_VALUE"""),"Lukas")</f>
        <v>Lukas</v>
      </c>
      <c r="B692" t="str">
        <f ca="1">IFERROR(__xludf.DUMMYFUNCTION("""COMPUTED_VALUE"""),"Purnomo")</f>
        <v>Purnomo</v>
      </c>
      <c r="C692" t="str">
        <f ca="1">IFERROR(__xludf.DUMMYFUNCTION("""COMPUTED_VALUE"""),"Lukas@icloudx.com")</f>
        <v>Lukas@icloudx.com</v>
      </c>
      <c r="D692" t="str">
        <f ca="1">IFERROR(__xludf.DUMMYFUNCTION("""COMPUTED_VALUE"""),"Serang")</f>
        <v>Serang</v>
      </c>
      <c r="E692" s="12">
        <f ca="1">IFERROR(__xludf.DUMMYFUNCTION("""COMPUTED_VALUE"""),42380)</f>
        <v>42380</v>
      </c>
      <c r="F692" t="str">
        <f ca="1">IFERROR(__xludf.DUMMYFUNCTION("""COMPUTED_VALUE"""),"KP0850FB")</f>
        <v>KP0850FB</v>
      </c>
      <c r="G692" s="11">
        <f ca="1">IFERROR(__xludf.DUMMYFUNCTION("""COMPUTED_VALUE"""),63000000)</f>
        <v>63000000</v>
      </c>
      <c r="H692">
        <f ca="1">IFERROR(__xludf.DUMMYFUNCTION("""COMPUTED_VALUE"""),36141)</f>
        <v>36141</v>
      </c>
      <c r="I692">
        <f ca="1">IFERROR(__xludf.DUMMYFUNCTION("""COMPUTED_VALUE"""),3)</f>
        <v>3</v>
      </c>
      <c r="J692" t="str">
        <f ca="1">IFERROR(__xludf.DUMMYFUNCTION("""COMPUTED_VALUE"""),"N/A")</f>
        <v>N/A</v>
      </c>
      <c r="K692" t="str">
        <f ca="1">IFERROR(__xludf.DUMMYFUNCTION("""COMPUTED_VALUE"""),"JENT")</f>
        <v>JENT</v>
      </c>
      <c r="L692" t="str">
        <f ca="1">IFERROR(__xludf.DUMMYFUNCTION("""COMPUTED_VALUE"""),"Y")</f>
        <v>Y</v>
      </c>
      <c r="M692" t="str">
        <f ca="1">IFERROR(__xludf.DUMMYFUNCTION("""COMPUTED_VALUE"""),"qm-500")</f>
        <v>qm-500</v>
      </c>
    </row>
    <row r="693" spans="1:13" ht="12.5" x14ac:dyDescent="0.25">
      <c r="A693" t="str">
        <f ca="1">IFERROR(__xludf.DUMMYFUNCTION("""COMPUTED_VALUE"""),"Frank")</f>
        <v>Frank</v>
      </c>
      <c r="B693" t="str">
        <f ca="1">IFERROR(__xludf.DUMMYFUNCTION("""COMPUTED_VALUE"""),"Koeshandery")</f>
        <v>Koeshandery</v>
      </c>
      <c r="C693" t="str">
        <f ca="1">IFERROR(__xludf.DUMMYFUNCTION("""COMPUTED_VALUE"""),"Frank@gmailx.com")</f>
        <v>Frank@gmailx.com</v>
      </c>
      <c r="D693" t="str">
        <f ca="1">IFERROR(__xludf.DUMMYFUNCTION("""COMPUTED_VALUE"""),"Padangpanjang")</f>
        <v>Padangpanjang</v>
      </c>
      <c r="E693" s="12">
        <f ca="1">IFERROR(__xludf.DUMMYFUNCTION("""COMPUTED_VALUE"""),42670)</f>
        <v>42670</v>
      </c>
      <c r="F693" t="str">
        <f ca="1">IFERROR(__xludf.DUMMYFUNCTION("""COMPUTED_VALUE"""),"KP0850FB")</f>
        <v>KP0850FB</v>
      </c>
      <c r="G693" s="11">
        <f ca="1">IFERROR(__xludf.DUMMYFUNCTION("""COMPUTED_VALUE"""),42000000)</f>
        <v>42000000</v>
      </c>
      <c r="H693">
        <f ca="1">IFERROR(__xludf.DUMMYFUNCTION("""COMPUTED_VALUE"""),35433)</f>
        <v>35433</v>
      </c>
      <c r="I693">
        <f ca="1">IFERROR(__xludf.DUMMYFUNCTION("""COMPUTED_VALUE"""),2)</f>
        <v>2</v>
      </c>
      <c r="J693" t="str">
        <f ca="1">IFERROR(__xludf.DUMMYFUNCTION("""COMPUTED_VALUE"""),"N/A")</f>
        <v>N/A</v>
      </c>
      <c r="K693" t="str">
        <f ca="1">IFERROR(__xludf.DUMMYFUNCTION("""COMPUTED_VALUE"""),"JENT")</f>
        <v>JENT</v>
      </c>
      <c r="L693" t="str">
        <f ca="1">IFERROR(__xludf.DUMMYFUNCTION("""COMPUTED_VALUE"""),"Y")</f>
        <v>Y</v>
      </c>
      <c r="M693" t="str">
        <f ca="1">IFERROR(__xludf.DUMMYFUNCTION("""COMPUTED_VALUE"""),"rd-559")</f>
        <v>rd-559</v>
      </c>
    </row>
    <row r="694" spans="1:13" ht="12.5" x14ac:dyDescent="0.25">
      <c r="A694" t="str">
        <f ca="1">IFERROR(__xludf.DUMMYFUNCTION("""COMPUTED_VALUE"""),"Solihin")</f>
        <v>Solihin</v>
      </c>
      <c r="B694" t="str">
        <f ca="1">IFERROR(__xludf.DUMMYFUNCTION("""COMPUTED_VALUE"""),"Patra")</f>
        <v>Patra</v>
      </c>
      <c r="C694" t="str">
        <f ca="1">IFERROR(__xludf.DUMMYFUNCTION("""COMPUTED_VALUE"""),"Patra@mex.com")</f>
        <v>Patra@mex.com</v>
      </c>
      <c r="D694" t="str">
        <f ca="1">IFERROR(__xludf.DUMMYFUNCTION("""COMPUTED_VALUE"""),"Gorontalo")</f>
        <v>Gorontalo</v>
      </c>
      <c r="E694" s="12">
        <f ca="1">IFERROR(__xludf.DUMMYFUNCTION("""COMPUTED_VALUE"""),42669)</f>
        <v>42669</v>
      </c>
      <c r="F694" t="str">
        <f ca="1">IFERROR(__xludf.DUMMYFUNCTION("""COMPUTED_VALUE"""),"KP0750AJ")</f>
        <v>KP0750AJ</v>
      </c>
      <c r="G694" s="11">
        <f ca="1">IFERROR(__xludf.DUMMYFUNCTION("""COMPUTED_VALUE"""),72000000)</f>
        <v>72000000</v>
      </c>
      <c r="H694">
        <f ca="1">IFERROR(__xludf.DUMMYFUNCTION("""COMPUTED_VALUE"""),36103)</f>
        <v>36103</v>
      </c>
      <c r="I694">
        <f ca="1">IFERROR(__xludf.DUMMYFUNCTION("""COMPUTED_VALUE"""),4)</f>
        <v>4</v>
      </c>
      <c r="J694">
        <f ca="1">IFERROR(__xludf.DUMMYFUNCTION("""COMPUTED_VALUE"""),2)</f>
        <v>2</v>
      </c>
      <c r="K694" t="str">
        <f ca="1">IFERROR(__xludf.DUMMYFUNCTION("""COMPUTED_VALUE"""),"JENT")</f>
        <v>JENT</v>
      </c>
      <c r="L694" t="str">
        <f ca="1">IFERROR(__xludf.DUMMYFUNCTION("""COMPUTED_VALUE"""),"N")</f>
        <v>N</v>
      </c>
      <c r="M694" t="str">
        <f ca="1">IFERROR(__xludf.DUMMYFUNCTION("""COMPUTED_VALUE"""),"ac-983")</f>
        <v>ac-983</v>
      </c>
    </row>
    <row r="695" spans="1:13" ht="12.5" x14ac:dyDescent="0.25">
      <c r="A695" t="str">
        <f ca="1">IFERROR(__xludf.DUMMYFUNCTION("""COMPUTED_VALUE"""),"Kezia")</f>
        <v>Kezia</v>
      </c>
      <c r="B695" t="str">
        <f ca="1">IFERROR(__xludf.DUMMYFUNCTION("""COMPUTED_VALUE"""),"Handjaja")</f>
        <v>Handjaja</v>
      </c>
      <c r="C695" t="str">
        <f ca="1">IFERROR(__xludf.DUMMYFUNCTION("""COMPUTED_VALUE"""),"HANDJAJA@ymailx.com")</f>
        <v>HANDJAJA@ymailx.com</v>
      </c>
      <c r="D695" t="str">
        <f ca="1">IFERROR(__xludf.DUMMYFUNCTION("""COMPUTED_VALUE"""),"Balikpapan")</f>
        <v>Balikpapan</v>
      </c>
      <c r="E695" s="12">
        <f ca="1">IFERROR(__xludf.DUMMYFUNCTION("""COMPUTED_VALUE"""),42664)</f>
        <v>42664</v>
      </c>
      <c r="F695" t="str">
        <f ca="1">IFERROR(__xludf.DUMMYFUNCTION("""COMPUTED_VALUE"""),"KP0925SG")</f>
        <v>KP0925SG</v>
      </c>
      <c r="G695" s="11">
        <f ca="1">IFERROR(__xludf.DUMMYFUNCTION("""COMPUTED_VALUE"""),45000000)</f>
        <v>45000000</v>
      </c>
      <c r="H695">
        <f ca="1">IFERROR(__xludf.DUMMYFUNCTION("""COMPUTED_VALUE"""),35172)</f>
        <v>35172</v>
      </c>
      <c r="I695">
        <f ca="1">IFERROR(__xludf.DUMMYFUNCTION("""COMPUTED_VALUE"""),3)</f>
        <v>3</v>
      </c>
      <c r="J695" t="str">
        <f ca="1">IFERROR(__xludf.DUMMYFUNCTION("""COMPUTED_VALUE"""),"N/A")</f>
        <v>N/A</v>
      </c>
      <c r="K695" t="str">
        <f ca="1">IFERROR(__xludf.DUMMYFUNCTION("""COMPUTED_VALUE"""),"Wakanda Express")</f>
        <v>Wakanda Express</v>
      </c>
      <c r="L695" t="str">
        <f ca="1">IFERROR(__xludf.DUMMYFUNCTION("""COMPUTED_VALUE"""),"Y")</f>
        <v>Y</v>
      </c>
      <c r="M695" t="str">
        <f ca="1">IFERROR(__xludf.DUMMYFUNCTION("""COMPUTED_VALUE"""),"tg-993")</f>
        <v>tg-993</v>
      </c>
    </row>
    <row r="696" spans="1:13" ht="12.5" x14ac:dyDescent="0.25">
      <c r="A696" t="str">
        <f ca="1">IFERROR(__xludf.DUMMYFUNCTION("""COMPUTED_VALUE"""),"Achmad,")</f>
        <v>Achmad,</v>
      </c>
      <c r="B696" t="str">
        <f ca="1">IFERROR(__xludf.DUMMYFUNCTION("""COMPUTED_VALUE"""),"Dominic")</f>
        <v>Dominic</v>
      </c>
      <c r="C696" t="str">
        <f ca="1">IFERROR(__xludf.DUMMYFUNCTION("""COMPUTED_VALUE"""),"Achmad@livex.com")</f>
        <v>Achmad@livex.com</v>
      </c>
      <c r="D696" t="str">
        <f ca="1">IFERROR(__xludf.DUMMYFUNCTION("""COMPUTED_VALUE"""),"Palopo")</f>
        <v>Palopo</v>
      </c>
      <c r="E696" s="12">
        <f ca="1">IFERROR(__xludf.DUMMYFUNCTION("""COMPUTED_VALUE"""),42661)</f>
        <v>42661</v>
      </c>
      <c r="F696" t="str">
        <f ca="1">IFERROR(__xludf.DUMMYFUNCTION("""COMPUTED_VALUE"""),"KP0350CF")</f>
        <v>KP0350CF</v>
      </c>
      <c r="G696" s="11">
        <f ca="1">IFERROR(__xludf.DUMMYFUNCTION("""COMPUTED_VALUE"""),280000000)</f>
        <v>280000000</v>
      </c>
      <c r="H696">
        <f ca="1">IFERROR(__xludf.DUMMYFUNCTION("""COMPUTED_VALUE"""),36301)</f>
        <v>36301</v>
      </c>
      <c r="I696">
        <f ca="1">IFERROR(__xludf.DUMMYFUNCTION("""COMPUTED_VALUE"""),8)</f>
        <v>8</v>
      </c>
      <c r="J696">
        <f ca="1">IFERROR(__xludf.DUMMYFUNCTION("""COMPUTED_VALUE"""),1)</f>
        <v>1</v>
      </c>
      <c r="K696" t="str">
        <f ca="1">IFERROR(__xludf.DUMMYFUNCTION("""COMPUTED_VALUE"""),"JENT")</f>
        <v>JENT</v>
      </c>
      <c r="L696" t="str">
        <f ca="1">IFERROR(__xludf.DUMMYFUNCTION("""COMPUTED_VALUE"""),"Y")</f>
        <v>Y</v>
      </c>
      <c r="M696" t="str">
        <f ca="1">IFERROR(__xludf.DUMMYFUNCTION("""COMPUTED_VALUE"""),"dy-290")</f>
        <v>dy-290</v>
      </c>
    </row>
    <row r="697" spans="1:13" ht="12.5" x14ac:dyDescent="0.25">
      <c r="A697" t="str">
        <f ca="1">IFERROR(__xludf.DUMMYFUNCTION("""COMPUTED_VALUE"""),"Rony")</f>
        <v>Rony</v>
      </c>
      <c r="B697" t="str">
        <f ca="1">IFERROR(__xludf.DUMMYFUNCTION("""COMPUTED_VALUE"""),"Sewaka")</f>
        <v>Sewaka</v>
      </c>
      <c r="C697" t="str">
        <f ca="1">IFERROR(__xludf.DUMMYFUNCTION("""COMPUTED_VALUE"""),"Rony@ymailx.com")</f>
        <v>Rony@ymailx.com</v>
      </c>
      <c r="D697" t="str">
        <f ca="1">IFERROR(__xludf.DUMMYFUNCTION("""COMPUTED_VALUE"""),"Palu")</f>
        <v>Palu</v>
      </c>
      <c r="E697" s="12">
        <f ca="1">IFERROR(__xludf.DUMMYFUNCTION("""COMPUTED_VALUE"""),42659)</f>
        <v>42659</v>
      </c>
      <c r="F697" t="str">
        <f ca="1">IFERROR(__xludf.DUMMYFUNCTION("""COMPUTED_VALUE"""),"KP0150BH")</f>
        <v>KP0150BH</v>
      </c>
      <c r="G697" s="11">
        <f ca="1">IFERROR(__xludf.DUMMYFUNCTION("""COMPUTED_VALUE"""),108000000)</f>
        <v>108000000</v>
      </c>
      <c r="H697">
        <f ca="1">IFERROR(__xludf.DUMMYFUNCTION("""COMPUTED_VALUE"""),36124)</f>
        <v>36124</v>
      </c>
      <c r="I697">
        <f ca="1">IFERROR(__xludf.DUMMYFUNCTION("""COMPUTED_VALUE"""),4)</f>
        <v>4</v>
      </c>
      <c r="J697" t="str">
        <f ca="1">IFERROR(__xludf.DUMMYFUNCTION("""COMPUTED_VALUE"""),"N/A")</f>
        <v>N/A</v>
      </c>
      <c r="K697" t="str">
        <f ca="1">IFERROR(__xludf.DUMMYFUNCTION("""COMPUTED_VALUE"""),"Cepat Kirim")</f>
        <v>Cepat Kirim</v>
      </c>
      <c r="L697" t="str">
        <f ca="1">IFERROR(__xludf.DUMMYFUNCTION("""COMPUTED_VALUE"""),"N")</f>
        <v>N</v>
      </c>
      <c r="M697" t="str">
        <f ca="1">IFERROR(__xludf.DUMMYFUNCTION("""COMPUTED_VALUE"""),"lj-280")</f>
        <v>lj-280</v>
      </c>
    </row>
    <row r="698" spans="1:13" ht="12.5" x14ac:dyDescent="0.25">
      <c r="A698" t="str">
        <f ca="1">IFERROR(__xludf.DUMMYFUNCTION("""COMPUTED_VALUE"""),"Gene")</f>
        <v>Gene</v>
      </c>
      <c r="B698" t="str">
        <f ca="1">IFERROR(__xludf.DUMMYFUNCTION("""COMPUTED_VALUE"""),"Suherlan")</f>
        <v>Suherlan</v>
      </c>
      <c r="C698" t="str">
        <f ca="1">IFERROR(__xludf.DUMMYFUNCTION("""COMPUTED_VALUE"""),"Suherlan@ymailx.com")</f>
        <v>Suherlan@ymailx.com</v>
      </c>
      <c r="D698" t="str">
        <f ca="1">IFERROR(__xludf.DUMMYFUNCTION("""COMPUTED_VALUE"""),"Pekalongan")</f>
        <v>Pekalongan</v>
      </c>
      <c r="E698" s="12">
        <f ca="1">IFERROR(__xludf.DUMMYFUNCTION("""COMPUTED_VALUE"""),42659)</f>
        <v>42659</v>
      </c>
      <c r="F698" t="str">
        <f ca="1">IFERROR(__xludf.DUMMYFUNCTION("""COMPUTED_VALUE"""),"KP0625AF")</f>
        <v>KP0625AF</v>
      </c>
      <c r="G698" s="11">
        <f ca="1">IFERROR(__xludf.DUMMYFUNCTION("""COMPUTED_VALUE"""),36000000)</f>
        <v>36000000</v>
      </c>
      <c r="H698">
        <f ca="1">IFERROR(__xludf.DUMMYFUNCTION("""COMPUTED_VALUE"""),35183)</f>
        <v>35183</v>
      </c>
      <c r="I698">
        <f ca="1">IFERROR(__xludf.DUMMYFUNCTION("""COMPUTED_VALUE"""),3)</f>
        <v>3</v>
      </c>
      <c r="J698" t="str">
        <f ca="1">IFERROR(__xludf.DUMMYFUNCTION("""COMPUTED_VALUE"""),"N/A")</f>
        <v>N/A</v>
      </c>
      <c r="K698" t="str">
        <f ca="1">IFERROR(__xludf.DUMMYFUNCTION("""COMPUTED_VALUE"""),"Swift Delivery")</f>
        <v>Swift Delivery</v>
      </c>
      <c r="L698" t="str">
        <f ca="1">IFERROR(__xludf.DUMMYFUNCTION("""COMPUTED_VALUE"""),"Y")</f>
        <v>Y</v>
      </c>
      <c r="M698" t="str">
        <f ca="1">IFERROR(__xludf.DUMMYFUNCTION("""COMPUTED_VALUE"""),"kb-410")</f>
        <v>kb-410</v>
      </c>
    </row>
    <row r="699" spans="1:13" ht="12.5" x14ac:dyDescent="0.25">
      <c r="A699" t="str">
        <f ca="1">IFERROR(__xludf.DUMMYFUNCTION("""COMPUTED_VALUE"""),"Pri")</f>
        <v>Pri</v>
      </c>
      <c r="B699" t="str">
        <f ca="1">IFERROR(__xludf.DUMMYFUNCTION("""COMPUTED_VALUE"""),"Nagaria")</f>
        <v>Nagaria</v>
      </c>
      <c r="C699" t="str">
        <f ca="1">IFERROR(__xludf.DUMMYFUNCTION("""COMPUTED_VALUE"""),"Pri@icloudx.com")</f>
        <v>Pri@icloudx.com</v>
      </c>
      <c r="D699" t="str">
        <f ca="1">IFERROR(__xludf.DUMMYFUNCTION("""COMPUTED_VALUE"""),"Jakarta Barat")</f>
        <v>Jakarta Barat</v>
      </c>
      <c r="E699" s="12">
        <f ca="1">IFERROR(__xludf.DUMMYFUNCTION("""COMPUTED_VALUE"""),42714)</f>
        <v>42714</v>
      </c>
      <c r="F699" t="str">
        <f ca="1">IFERROR(__xludf.DUMMYFUNCTION("""COMPUTED_VALUE"""),"KP0750AJ")</f>
        <v>KP0750AJ</v>
      </c>
      <c r="G699" s="11">
        <f ca="1">IFERROR(__xludf.DUMMYFUNCTION("""COMPUTED_VALUE"""),90000000)</f>
        <v>90000000</v>
      </c>
      <c r="H699">
        <f ca="1">IFERROR(__xludf.DUMMYFUNCTION("""COMPUTED_VALUE"""),35787)</f>
        <v>35787</v>
      </c>
      <c r="I699">
        <f ca="1">IFERROR(__xludf.DUMMYFUNCTION("""COMPUTED_VALUE"""),5)</f>
        <v>5</v>
      </c>
      <c r="J699">
        <f ca="1">IFERROR(__xludf.DUMMYFUNCTION("""COMPUTED_VALUE"""),4)</f>
        <v>4</v>
      </c>
      <c r="K699" t="str">
        <f ca="1">IFERROR(__xludf.DUMMYFUNCTION("""COMPUTED_VALUE"""),"Swift Delivery")</f>
        <v>Swift Delivery</v>
      </c>
      <c r="L699" t="str">
        <f ca="1">IFERROR(__xludf.DUMMYFUNCTION("""COMPUTED_VALUE"""),"N")</f>
        <v>N</v>
      </c>
      <c r="M699" t="str">
        <f ca="1">IFERROR(__xludf.DUMMYFUNCTION("""COMPUTED_VALUE"""),"mg-333")</f>
        <v>mg-333</v>
      </c>
    </row>
    <row r="700" spans="1:13" ht="12.5" x14ac:dyDescent="0.25">
      <c r="A700" t="str">
        <f ca="1">IFERROR(__xludf.DUMMYFUNCTION("""COMPUTED_VALUE"""),"Rubyanto")</f>
        <v>Rubyanto</v>
      </c>
      <c r="B700" t="str">
        <f ca="1">IFERROR(__xludf.DUMMYFUNCTION("""COMPUTED_VALUE"""),"Hendropurnomo")</f>
        <v>Hendropurnomo</v>
      </c>
      <c r="C700" t="str">
        <f ca="1">IFERROR(__xludf.DUMMYFUNCTION("""COMPUTED_VALUE"""),"Hendropurnomo@gmailx.com")</f>
        <v>Hendropurnomo@gmailx.com</v>
      </c>
      <c r="D700" t="str">
        <f ca="1">IFERROR(__xludf.DUMMYFUNCTION("""COMPUTED_VALUE"""),"Gorontalo")</f>
        <v>Gorontalo</v>
      </c>
      <c r="E700" s="12">
        <f ca="1">IFERROR(__xludf.DUMMYFUNCTION("""COMPUTED_VALUE"""),42714)</f>
        <v>42714</v>
      </c>
      <c r="F700" t="str">
        <f ca="1">IFERROR(__xludf.DUMMYFUNCTION("""COMPUTED_VALUE"""),"KP0750AJ")</f>
        <v>KP0750AJ</v>
      </c>
      <c r="G700" s="11">
        <f ca="1">IFERROR(__xludf.DUMMYFUNCTION("""COMPUTED_VALUE"""),90000000)</f>
        <v>90000000</v>
      </c>
      <c r="H700">
        <f ca="1">IFERROR(__xludf.DUMMYFUNCTION("""COMPUTED_VALUE"""),36082)</f>
        <v>36082</v>
      </c>
      <c r="I700">
        <f ca="1">IFERROR(__xludf.DUMMYFUNCTION("""COMPUTED_VALUE"""),5)</f>
        <v>5</v>
      </c>
      <c r="J700">
        <f ca="1">IFERROR(__xludf.DUMMYFUNCTION("""COMPUTED_VALUE"""),3)</f>
        <v>3</v>
      </c>
      <c r="K700" t="str">
        <f ca="1">IFERROR(__xludf.DUMMYFUNCTION("""COMPUTED_VALUE"""),"Wakanda Express")</f>
        <v>Wakanda Express</v>
      </c>
      <c r="L700" t="str">
        <f ca="1">IFERROR(__xludf.DUMMYFUNCTION("""COMPUTED_VALUE"""),"N")</f>
        <v>N</v>
      </c>
      <c r="M700" t="str">
        <f ca="1">IFERROR(__xludf.DUMMYFUNCTION("""COMPUTED_VALUE"""),"gw-983")</f>
        <v>gw-983</v>
      </c>
    </row>
    <row r="701" spans="1:13" ht="12.5" x14ac:dyDescent="0.25">
      <c r="A701" t="str">
        <f ca="1">IFERROR(__xludf.DUMMYFUNCTION("""COMPUTED_VALUE"""),"Dedie")</f>
        <v>Dedie</v>
      </c>
      <c r="B701" t="str">
        <f ca="1">IFERROR(__xludf.DUMMYFUNCTION("""COMPUTED_VALUE"""),"Suhandi.")</f>
        <v>Suhandi.</v>
      </c>
      <c r="C701" t="str">
        <f ca="1">IFERROR(__xludf.DUMMYFUNCTION("""COMPUTED_VALUE"""),"Suhandi.@outlookx.com")</f>
        <v>Suhandi.@outlookx.com</v>
      </c>
      <c r="D701" t="str">
        <f ca="1">IFERROR(__xludf.DUMMYFUNCTION("""COMPUTED_VALUE"""),"Sukabumi")</f>
        <v>Sukabumi</v>
      </c>
      <c r="E701" s="12">
        <f ca="1">IFERROR(__xludf.DUMMYFUNCTION("""COMPUTED_VALUE"""),42714)</f>
        <v>42714</v>
      </c>
      <c r="F701" t="str">
        <f ca="1">IFERROR(__xludf.DUMMYFUNCTION("""COMPUTED_VALUE"""),"KP0850FB")</f>
        <v>KP0850FB</v>
      </c>
      <c r="G701" s="11">
        <f ca="1">IFERROR(__xludf.DUMMYFUNCTION("""COMPUTED_VALUE"""),210000000)</f>
        <v>210000000</v>
      </c>
      <c r="H701">
        <f ca="1">IFERROR(__xludf.DUMMYFUNCTION("""COMPUTED_VALUE"""),35734)</f>
        <v>35734</v>
      </c>
      <c r="I701">
        <f ca="1">IFERROR(__xludf.DUMMYFUNCTION("""COMPUTED_VALUE"""),10)</f>
        <v>10</v>
      </c>
      <c r="J701">
        <f ca="1">IFERROR(__xludf.DUMMYFUNCTION("""COMPUTED_VALUE"""),2)</f>
        <v>2</v>
      </c>
      <c r="K701" t="str">
        <f ca="1">IFERROR(__xludf.DUMMYFUNCTION("""COMPUTED_VALUE"""),"Cepat Kirim")</f>
        <v>Cepat Kirim</v>
      </c>
      <c r="L701" t="str">
        <f ca="1">IFERROR(__xludf.DUMMYFUNCTION("""COMPUTED_VALUE"""),"Y")</f>
        <v>Y</v>
      </c>
      <c r="M701" t="str">
        <f ca="1">IFERROR(__xludf.DUMMYFUNCTION("""COMPUTED_VALUE"""),"dt-409")</f>
        <v>dt-409</v>
      </c>
    </row>
    <row r="702" spans="1:13" ht="12.5" x14ac:dyDescent="0.25">
      <c r="A702" t="str">
        <f ca="1">IFERROR(__xludf.DUMMYFUNCTION("""COMPUTED_VALUE"""),"Johannes")</f>
        <v>Johannes</v>
      </c>
      <c r="B702" t="str">
        <f ca="1">IFERROR(__xludf.DUMMYFUNCTION("""COMPUTED_VALUE"""),"Sanjaya")</f>
        <v>Sanjaya</v>
      </c>
      <c r="C702" t="str">
        <f ca="1">IFERROR(__xludf.DUMMYFUNCTION("""COMPUTED_VALUE"""),"Johannes@ymailx.com")</f>
        <v>Johannes@ymailx.com</v>
      </c>
      <c r="D702" t="str">
        <f ca="1">IFERROR(__xludf.DUMMYFUNCTION("""COMPUTED_VALUE"""),"Kediri")</f>
        <v>Kediri</v>
      </c>
      <c r="E702" s="12">
        <f ca="1">IFERROR(__xludf.DUMMYFUNCTION("""COMPUTED_VALUE"""),42714)</f>
        <v>42714</v>
      </c>
      <c r="F702" t="str">
        <f ca="1">IFERROR(__xludf.DUMMYFUNCTION("""COMPUTED_VALUE"""),"KP0925SG")</f>
        <v>KP0925SG</v>
      </c>
      <c r="G702" s="11">
        <f ca="1">IFERROR(__xludf.DUMMYFUNCTION("""COMPUTED_VALUE"""),60000000)</f>
        <v>60000000</v>
      </c>
      <c r="H702">
        <f ca="1">IFERROR(__xludf.DUMMYFUNCTION("""COMPUTED_VALUE"""),35532)</f>
        <v>35532</v>
      </c>
      <c r="I702">
        <f ca="1">IFERROR(__xludf.DUMMYFUNCTION("""COMPUTED_VALUE"""),4)</f>
        <v>4</v>
      </c>
      <c r="J702" t="str">
        <f ca="1">IFERROR(__xludf.DUMMYFUNCTION("""COMPUTED_VALUE"""),"N/A")</f>
        <v>N/A</v>
      </c>
      <c r="K702" t="str">
        <f ca="1">IFERROR(__xludf.DUMMYFUNCTION("""COMPUTED_VALUE"""),"Wakanda Express")</f>
        <v>Wakanda Express</v>
      </c>
      <c r="L702" t="str">
        <f ca="1">IFERROR(__xludf.DUMMYFUNCTION("""COMPUTED_VALUE"""),"Y")</f>
        <v>Y</v>
      </c>
      <c r="M702" t="str">
        <f ca="1">IFERROR(__xludf.DUMMYFUNCTION("""COMPUTED_VALUE"""),"lv-123")</f>
        <v>lv-123</v>
      </c>
    </row>
    <row r="703" spans="1:13" ht="12.5" x14ac:dyDescent="0.25">
      <c r="A703" t="str">
        <f ca="1">IFERROR(__xludf.DUMMYFUNCTION("""COMPUTED_VALUE"""),"Deddy")</f>
        <v>Deddy</v>
      </c>
      <c r="B703" t="str">
        <f ca="1">IFERROR(__xludf.DUMMYFUNCTION("""COMPUTED_VALUE"""),"Lasmono")</f>
        <v>Lasmono</v>
      </c>
      <c r="C703" t="str">
        <f ca="1">IFERROR(__xludf.DUMMYFUNCTION("""COMPUTED_VALUE"""),"Deddy@outlookx.com")</f>
        <v>Deddy@outlookx.com</v>
      </c>
      <c r="D703" t="str">
        <f ca="1">IFERROR(__xludf.DUMMYFUNCTION("""COMPUTED_VALUE"""),"Pekanbaru")</f>
        <v>Pekanbaru</v>
      </c>
      <c r="E703" s="12">
        <f ca="1">IFERROR(__xludf.DUMMYFUNCTION("""COMPUTED_VALUE"""),42653)</f>
        <v>42653</v>
      </c>
      <c r="F703" t="str">
        <f ca="1">IFERROR(__xludf.DUMMYFUNCTION("""COMPUTED_VALUE"""),"KP0425CB")</f>
        <v>KP0425CB</v>
      </c>
      <c r="G703" s="11">
        <f ca="1">IFERROR(__xludf.DUMMYFUNCTION("""COMPUTED_VALUE"""),245250000)</f>
        <v>245250000</v>
      </c>
      <c r="H703">
        <f ca="1">IFERROR(__xludf.DUMMYFUNCTION("""COMPUTED_VALUE"""),36017)</f>
        <v>36017</v>
      </c>
      <c r="I703">
        <f ca="1">IFERROR(__xludf.DUMMYFUNCTION("""COMPUTED_VALUE"""),9)</f>
        <v>9</v>
      </c>
      <c r="J703">
        <f ca="1">IFERROR(__xludf.DUMMYFUNCTION("""COMPUTED_VALUE"""),5)</f>
        <v>5</v>
      </c>
      <c r="K703" t="str">
        <f ca="1">IFERROR(__xludf.DUMMYFUNCTION("""COMPUTED_VALUE"""),"Swift Delivery")</f>
        <v>Swift Delivery</v>
      </c>
      <c r="L703" t="str">
        <f ca="1">IFERROR(__xludf.DUMMYFUNCTION("""COMPUTED_VALUE"""),"Y")</f>
        <v>Y</v>
      </c>
      <c r="M703" t="str">
        <f ca="1">IFERROR(__xludf.DUMMYFUNCTION("""COMPUTED_VALUE"""),"ty-222")</f>
        <v>ty-222</v>
      </c>
    </row>
    <row r="704" spans="1:13" ht="12.5" x14ac:dyDescent="0.25">
      <c r="A704" t="str">
        <f ca="1">IFERROR(__xludf.DUMMYFUNCTION("""COMPUTED_VALUE"""),"Linda")</f>
        <v>Linda</v>
      </c>
      <c r="B704" t="str">
        <f ca="1">IFERROR(__xludf.DUMMYFUNCTION("""COMPUTED_VALUE"""),"Rahman")</f>
        <v>Rahman</v>
      </c>
      <c r="C704" t="str">
        <f ca="1">IFERROR(__xludf.DUMMYFUNCTION("""COMPUTED_VALUE"""),"Rahman@icloudx.com")</f>
        <v>Rahman@icloudx.com</v>
      </c>
      <c r="D704" t="str">
        <f ca="1">IFERROR(__xludf.DUMMYFUNCTION("""COMPUTED_VALUE"""),"Balikpapan")</f>
        <v>Balikpapan</v>
      </c>
      <c r="E704" s="12">
        <f ca="1">IFERROR(__xludf.DUMMYFUNCTION("""COMPUTED_VALUE"""),42653)</f>
        <v>42653</v>
      </c>
      <c r="F704" t="str">
        <f ca="1">IFERROR(__xludf.DUMMYFUNCTION("""COMPUTED_VALUE"""),"KP0050AG")</f>
        <v>KP0050AG</v>
      </c>
      <c r="G704" s="11">
        <f ca="1">IFERROR(__xludf.DUMMYFUNCTION("""COMPUTED_VALUE"""),97500000)</f>
        <v>97500000</v>
      </c>
      <c r="H704">
        <f ca="1">IFERROR(__xludf.DUMMYFUNCTION("""COMPUTED_VALUE"""),36734)</f>
        <v>36734</v>
      </c>
      <c r="I704">
        <f ca="1">IFERROR(__xludf.DUMMYFUNCTION("""COMPUTED_VALUE"""),6)</f>
        <v>6</v>
      </c>
      <c r="J704" t="str">
        <f ca="1">IFERROR(__xludf.DUMMYFUNCTION("""COMPUTED_VALUE"""),"N/A")</f>
        <v>N/A</v>
      </c>
      <c r="K704" t="str">
        <f ca="1">IFERROR(__xludf.DUMMYFUNCTION("""COMPUTED_VALUE"""),"Swift Delivery")</f>
        <v>Swift Delivery</v>
      </c>
      <c r="L704" t="str">
        <f ca="1">IFERROR(__xludf.DUMMYFUNCTION("""COMPUTED_VALUE"""),"Y")</f>
        <v>Y</v>
      </c>
      <c r="M704" t="str">
        <f ca="1">IFERROR(__xludf.DUMMYFUNCTION("""COMPUTED_VALUE"""),"qe-993")</f>
        <v>qe-993</v>
      </c>
    </row>
    <row r="705" spans="1:13" ht="12.5" x14ac:dyDescent="0.25">
      <c r="A705" t="str">
        <f ca="1">IFERROR(__xludf.DUMMYFUNCTION("""COMPUTED_VALUE"""),"Suhardi")</f>
        <v>Suhardi</v>
      </c>
      <c r="B705" t="str">
        <f ca="1">IFERROR(__xludf.DUMMYFUNCTION("""COMPUTED_VALUE"""),"Mary")</f>
        <v>Mary</v>
      </c>
      <c r="C705" t="str">
        <f ca="1">IFERROR(__xludf.DUMMYFUNCTION("""COMPUTED_VALUE"""),"Suhardi@icloudx.com")</f>
        <v>Suhardi@icloudx.com</v>
      </c>
      <c r="D705" t="str">
        <f ca="1">IFERROR(__xludf.DUMMYFUNCTION("""COMPUTED_VALUE"""),"Binjai")</f>
        <v>Binjai</v>
      </c>
      <c r="E705" s="12">
        <f ca="1">IFERROR(__xludf.DUMMYFUNCTION("""COMPUTED_VALUE"""),42561)</f>
        <v>42561</v>
      </c>
      <c r="F705" t="str">
        <f ca="1">IFERROR(__xludf.DUMMYFUNCTION("""COMPUTED_VALUE"""),"KP0850FB")</f>
        <v>KP0850FB</v>
      </c>
      <c r="G705" s="11">
        <f ca="1">IFERROR(__xludf.DUMMYFUNCTION("""COMPUTED_VALUE"""),147000000)</f>
        <v>147000000</v>
      </c>
      <c r="H705">
        <f ca="1">IFERROR(__xludf.DUMMYFUNCTION("""COMPUTED_VALUE"""),35264)</f>
        <v>35264</v>
      </c>
      <c r="I705">
        <f ca="1">IFERROR(__xludf.DUMMYFUNCTION("""COMPUTED_VALUE"""),7)</f>
        <v>7</v>
      </c>
      <c r="J705">
        <f ca="1">IFERROR(__xludf.DUMMYFUNCTION("""COMPUTED_VALUE"""),4)</f>
        <v>4</v>
      </c>
      <c r="K705" t="str">
        <f ca="1">IFERROR(__xludf.DUMMYFUNCTION("""COMPUTED_VALUE"""),"Wakanda Express")</f>
        <v>Wakanda Express</v>
      </c>
      <c r="L705" t="str">
        <f ca="1">IFERROR(__xludf.DUMMYFUNCTION("""COMPUTED_VALUE"""),"N")</f>
        <v>N</v>
      </c>
      <c r="M705" t="str">
        <f ca="1">IFERROR(__xludf.DUMMYFUNCTION("""COMPUTED_VALUE"""),"qr-662")</f>
        <v>qr-662</v>
      </c>
    </row>
    <row r="706" spans="1:13" ht="12.5" x14ac:dyDescent="0.25">
      <c r="A706" t="str">
        <f ca="1">IFERROR(__xludf.DUMMYFUNCTION("""COMPUTED_VALUE"""),"Stockcorp")</f>
        <v>Stockcorp</v>
      </c>
      <c r="B706" t="str">
        <f ca="1">IFERROR(__xludf.DUMMYFUNCTION("""COMPUTED_VALUE"""),"Investments")</f>
        <v>Investments</v>
      </c>
      <c r="C706" t="str">
        <f ca="1">IFERROR(__xludf.DUMMYFUNCTION("""COMPUTED_VALUE"""),"Stockcorp@ymailx.com")</f>
        <v>Stockcorp@ymailx.com</v>
      </c>
      <c r="D706" t="str">
        <f ca="1">IFERROR(__xludf.DUMMYFUNCTION("""COMPUTED_VALUE"""),"Tanjungpinang")</f>
        <v>Tanjungpinang</v>
      </c>
      <c r="E706" s="12">
        <f ca="1">IFERROR(__xludf.DUMMYFUNCTION("""COMPUTED_VALUE"""),42561)</f>
        <v>42561</v>
      </c>
      <c r="F706" t="str">
        <f ca="1">IFERROR(__xludf.DUMMYFUNCTION("""COMPUTED_VALUE"""),"KP0050AG")</f>
        <v>KP0050AG</v>
      </c>
      <c r="G706" s="11">
        <f ca="1">IFERROR(__xludf.DUMMYFUNCTION("""COMPUTED_VALUE"""),48750000)</f>
        <v>48750000</v>
      </c>
      <c r="H706">
        <f ca="1">IFERROR(__xludf.DUMMYFUNCTION("""COMPUTED_VALUE"""),35107)</f>
        <v>35107</v>
      </c>
      <c r="I706">
        <f ca="1">IFERROR(__xludf.DUMMYFUNCTION("""COMPUTED_VALUE"""),3)</f>
        <v>3</v>
      </c>
      <c r="J706">
        <f ca="1">IFERROR(__xludf.DUMMYFUNCTION("""COMPUTED_VALUE"""),4)</f>
        <v>4</v>
      </c>
      <c r="K706" t="str">
        <f ca="1">IFERROR(__xludf.DUMMYFUNCTION("""COMPUTED_VALUE"""),"JENT")</f>
        <v>JENT</v>
      </c>
      <c r="L706" t="str">
        <f ca="1">IFERROR(__xludf.DUMMYFUNCTION("""COMPUTED_VALUE"""),"N")</f>
        <v>N</v>
      </c>
      <c r="M706" t="str">
        <f ca="1">IFERROR(__xludf.DUMMYFUNCTION("""COMPUTED_VALUE"""),"bn-809")</f>
        <v>bn-809</v>
      </c>
    </row>
    <row r="707" spans="1:13" ht="12.5" x14ac:dyDescent="0.25">
      <c r="A707" t="str">
        <f ca="1">IFERROR(__xludf.DUMMYFUNCTION("""COMPUTED_VALUE"""),"Elizabeth")</f>
        <v>Elizabeth</v>
      </c>
      <c r="B707" t="str">
        <f ca="1">IFERROR(__xludf.DUMMYFUNCTION("""COMPUTED_VALUE"""),"Nugroho")</f>
        <v>Nugroho</v>
      </c>
      <c r="C707" t="str">
        <f ca="1">IFERROR(__xludf.DUMMYFUNCTION("""COMPUTED_VALUE"""),"Nugroho@outlookx.com")</f>
        <v>Nugroho@outlookx.com</v>
      </c>
      <c r="D707" t="str">
        <f ca="1">IFERROR(__xludf.DUMMYFUNCTION("""COMPUTED_VALUE"""),"Sabang")</f>
        <v>Sabang</v>
      </c>
      <c r="E707" s="12">
        <f ca="1">IFERROR(__xludf.DUMMYFUNCTION("""COMPUTED_VALUE"""),42561)</f>
        <v>42561</v>
      </c>
      <c r="F707" t="str">
        <f ca="1">IFERROR(__xludf.DUMMYFUNCTION("""COMPUTED_VALUE"""),"KP0150BH")</f>
        <v>KP0150BH</v>
      </c>
      <c r="G707" s="11">
        <f ca="1">IFERROR(__xludf.DUMMYFUNCTION("""COMPUTED_VALUE"""),243000000)</f>
        <v>243000000</v>
      </c>
      <c r="H707">
        <f ca="1">IFERROR(__xludf.DUMMYFUNCTION("""COMPUTED_VALUE"""),35602)</f>
        <v>35602</v>
      </c>
      <c r="I707">
        <f ca="1">IFERROR(__xludf.DUMMYFUNCTION("""COMPUTED_VALUE"""),9)</f>
        <v>9</v>
      </c>
      <c r="J707" t="str">
        <f ca="1">IFERROR(__xludf.DUMMYFUNCTION("""COMPUTED_VALUE"""),"N/A")</f>
        <v>N/A</v>
      </c>
      <c r="K707" t="str">
        <f ca="1">IFERROR(__xludf.DUMMYFUNCTION("""COMPUTED_VALUE"""),"Swift Delivery")</f>
        <v>Swift Delivery</v>
      </c>
      <c r="L707" t="str">
        <f ca="1">IFERROR(__xludf.DUMMYFUNCTION("""COMPUTED_VALUE"""),"Y")</f>
        <v>Y</v>
      </c>
      <c r="M707" t="str">
        <f ca="1">IFERROR(__xludf.DUMMYFUNCTION("""COMPUTED_VALUE"""),"gl-101")</f>
        <v>gl-101</v>
      </c>
    </row>
    <row r="708" spans="1:13" ht="12.5" x14ac:dyDescent="0.25">
      <c r="A708" t="str">
        <f ca="1">IFERROR(__xludf.DUMMYFUNCTION("""COMPUTED_VALUE"""),"Katleen")</f>
        <v>Katleen</v>
      </c>
      <c r="B708" t="str">
        <f ca="1">IFERROR(__xludf.DUMMYFUNCTION("""COMPUTED_VALUE"""),"Wisnu")</f>
        <v>Wisnu</v>
      </c>
      <c r="C708" t="str">
        <f ca="1">IFERROR(__xludf.DUMMYFUNCTION("""COMPUTED_VALUE"""),"Katleen@ymailx.com")</f>
        <v>Katleen@ymailx.com</v>
      </c>
      <c r="D708" t="str">
        <f ca="1">IFERROR(__xludf.DUMMYFUNCTION("""COMPUTED_VALUE"""),"Samarinda")</f>
        <v>Samarinda</v>
      </c>
      <c r="E708" s="12">
        <f ca="1">IFERROR(__xludf.DUMMYFUNCTION("""COMPUTED_VALUE"""),42531)</f>
        <v>42531</v>
      </c>
      <c r="F708" t="str">
        <f ca="1">IFERROR(__xludf.DUMMYFUNCTION("""COMPUTED_VALUE"""),"KP0225BB")</f>
        <v>KP0225BB</v>
      </c>
      <c r="G708" s="11">
        <f ca="1">IFERROR(__xludf.DUMMYFUNCTION("""COMPUTED_VALUE"""),100000000)</f>
        <v>100000000</v>
      </c>
      <c r="H708">
        <f ca="1">IFERROR(__xludf.DUMMYFUNCTION("""COMPUTED_VALUE"""),35995)</f>
        <v>35995</v>
      </c>
      <c r="I708">
        <f ca="1">IFERROR(__xludf.DUMMYFUNCTION("""COMPUTED_VALUE"""),10)</f>
        <v>10</v>
      </c>
      <c r="J708">
        <f ca="1">IFERROR(__xludf.DUMMYFUNCTION("""COMPUTED_VALUE"""),5)</f>
        <v>5</v>
      </c>
      <c r="K708" t="str">
        <f ca="1">IFERROR(__xludf.DUMMYFUNCTION("""COMPUTED_VALUE"""),"JENT")</f>
        <v>JENT</v>
      </c>
      <c r="L708" t="str">
        <f ca="1">IFERROR(__xludf.DUMMYFUNCTION("""COMPUTED_VALUE"""),"Y")</f>
        <v>Y</v>
      </c>
      <c r="M708" t="str">
        <f ca="1">IFERROR(__xludf.DUMMYFUNCTION("""COMPUTED_VALUE"""),"jo-993")</f>
        <v>jo-993</v>
      </c>
    </row>
    <row r="709" spans="1:13" ht="12.5" x14ac:dyDescent="0.25">
      <c r="A709" t="str">
        <f ca="1">IFERROR(__xludf.DUMMYFUNCTION("""COMPUTED_VALUE"""),"Razif")</f>
        <v>Razif</v>
      </c>
      <c r="B709" t="str">
        <f ca="1">IFERROR(__xludf.DUMMYFUNCTION("""COMPUTED_VALUE"""),"Chooi")</f>
        <v>Chooi</v>
      </c>
      <c r="C709" t="str">
        <f ca="1">IFERROR(__xludf.DUMMYFUNCTION("""COMPUTED_VALUE"""),"Razif@livex.com")</f>
        <v>Razif@livex.com</v>
      </c>
      <c r="D709" t="str">
        <f ca="1">IFERROR(__xludf.DUMMYFUNCTION("""COMPUTED_VALUE"""),"Surakarta")</f>
        <v>Surakarta</v>
      </c>
      <c r="E709" s="12">
        <f ca="1">IFERROR(__xludf.DUMMYFUNCTION("""COMPUTED_VALUE"""),42531)</f>
        <v>42531</v>
      </c>
      <c r="F709" t="str">
        <f ca="1">IFERROR(__xludf.DUMMYFUNCTION("""COMPUTED_VALUE"""),"KP0350CF")</f>
        <v>KP0350CF</v>
      </c>
      <c r="G709" s="11">
        <f ca="1">IFERROR(__xludf.DUMMYFUNCTION("""COMPUTED_VALUE"""),245000000)</f>
        <v>245000000</v>
      </c>
      <c r="H709">
        <f ca="1">IFERROR(__xludf.DUMMYFUNCTION("""COMPUTED_VALUE"""),36914)</f>
        <v>36914</v>
      </c>
      <c r="I709">
        <f ca="1">IFERROR(__xludf.DUMMYFUNCTION("""COMPUTED_VALUE"""),7)</f>
        <v>7</v>
      </c>
      <c r="J709" t="str">
        <f ca="1">IFERROR(__xludf.DUMMYFUNCTION("""COMPUTED_VALUE"""),"N/A")</f>
        <v>N/A</v>
      </c>
      <c r="K709" t="str">
        <f ca="1">IFERROR(__xludf.DUMMYFUNCTION("""COMPUTED_VALUE"""),"Cepat Kirim")</f>
        <v>Cepat Kirim</v>
      </c>
      <c r="L709" t="str">
        <f ca="1">IFERROR(__xludf.DUMMYFUNCTION("""COMPUTED_VALUE"""),"N")</f>
        <v>N</v>
      </c>
      <c r="M709" t="str">
        <f ca="1">IFERROR(__xludf.DUMMYFUNCTION("""COMPUTED_VALUE"""),"cb-410")</f>
        <v>cb-410</v>
      </c>
    </row>
    <row r="710" spans="1:13" ht="12.5" x14ac:dyDescent="0.25">
      <c r="A710" t="str">
        <f ca="1">IFERROR(__xludf.DUMMYFUNCTION("""COMPUTED_VALUE"""),"Amelia")</f>
        <v>Amelia</v>
      </c>
      <c r="B710" t="str">
        <f ca="1">IFERROR(__xludf.DUMMYFUNCTION("""COMPUTED_VALUE"""),"Ng")</f>
        <v>Ng</v>
      </c>
      <c r="C710" t="str">
        <f ca="1">IFERROR(__xludf.DUMMYFUNCTION("""COMPUTED_VALUE"""),"Ng@livex.com")</f>
        <v>Ng@livex.com</v>
      </c>
      <c r="D710" t="str">
        <f ca="1">IFERROR(__xludf.DUMMYFUNCTION("""COMPUTED_VALUE"""),"Makassar")</f>
        <v>Makassar</v>
      </c>
      <c r="E710" s="12">
        <f ca="1">IFERROR(__xludf.DUMMYFUNCTION("""COMPUTED_VALUE"""),42531)</f>
        <v>42531</v>
      </c>
      <c r="F710" t="str">
        <f ca="1">IFERROR(__xludf.DUMMYFUNCTION("""COMPUTED_VALUE"""),"KP0850FB")</f>
        <v>KP0850FB</v>
      </c>
      <c r="G710" s="11">
        <f ca="1">IFERROR(__xludf.DUMMYFUNCTION("""COMPUTED_VALUE"""),42000000)</f>
        <v>42000000</v>
      </c>
      <c r="H710">
        <f ca="1">IFERROR(__xludf.DUMMYFUNCTION("""COMPUTED_VALUE"""),36919)</f>
        <v>36919</v>
      </c>
      <c r="I710">
        <f ca="1">IFERROR(__xludf.DUMMYFUNCTION("""COMPUTED_VALUE"""),2)</f>
        <v>2</v>
      </c>
      <c r="J710">
        <f ca="1">IFERROR(__xludf.DUMMYFUNCTION("""COMPUTED_VALUE"""),4)</f>
        <v>4</v>
      </c>
      <c r="K710" t="str">
        <f ca="1">IFERROR(__xludf.DUMMYFUNCTION("""COMPUTED_VALUE"""),"Wakanda Express")</f>
        <v>Wakanda Express</v>
      </c>
      <c r="L710" t="str">
        <f ca="1">IFERROR(__xludf.DUMMYFUNCTION("""COMPUTED_VALUE"""),"Y")</f>
        <v>Y</v>
      </c>
      <c r="M710" t="str">
        <f ca="1">IFERROR(__xludf.DUMMYFUNCTION("""COMPUTED_VALUE"""),"fs-290")</f>
        <v>fs-290</v>
      </c>
    </row>
    <row r="711" spans="1:13" ht="12.5" x14ac:dyDescent="0.25">
      <c r="A711" t="str">
        <f ca="1">IFERROR(__xludf.DUMMYFUNCTION("""COMPUTED_VALUE"""),"Hendra")</f>
        <v>Hendra</v>
      </c>
      <c r="B711" t="str">
        <f ca="1">IFERROR(__xludf.DUMMYFUNCTION("""COMPUTED_VALUE"""),"Welly")</f>
        <v>Welly</v>
      </c>
      <c r="C711" t="str">
        <f ca="1">IFERROR(__xludf.DUMMYFUNCTION("""COMPUTED_VALUE"""),"Welly@gmailx.com")</f>
        <v>Welly@gmailx.com</v>
      </c>
      <c r="D711" t="str">
        <f ca="1">IFERROR(__xludf.DUMMYFUNCTION("""COMPUTED_VALUE"""),"Tomohon")</f>
        <v>Tomohon</v>
      </c>
      <c r="E711" s="12">
        <f ca="1">IFERROR(__xludf.DUMMYFUNCTION("""COMPUTED_VALUE"""),42470)</f>
        <v>42470</v>
      </c>
      <c r="F711" t="str">
        <f ca="1">IFERROR(__xludf.DUMMYFUNCTION("""COMPUTED_VALUE"""),"KP0050AG")</f>
        <v>KP0050AG</v>
      </c>
      <c r="G711" s="11">
        <f ca="1">IFERROR(__xludf.DUMMYFUNCTION("""COMPUTED_VALUE"""),146250000)</f>
        <v>146250000</v>
      </c>
      <c r="H711">
        <f ca="1">IFERROR(__xludf.DUMMYFUNCTION("""COMPUTED_VALUE"""),36223)</f>
        <v>36223</v>
      </c>
      <c r="I711">
        <f ca="1">IFERROR(__xludf.DUMMYFUNCTION("""COMPUTED_VALUE"""),9)</f>
        <v>9</v>
      </c>
      <c r="J711" t="str">
        <f ca="1">IFERROR(__xludf.DUMMYFUNCTION("""COMPUTED_VALUE"""),"N/A")</f>
        <v>N/A</v>
      </c>
      <c r="K711" t="str">
        <f ca="1">IFERROR(__xludf.DUMMYFUNCTION("""COMPUTED_VALUE"""),"Wakanda Express")</f>
        <v>Wakanda Express</v>
      </c>
      <c r="L711" t="str">
        <f ca="1">IFERROR(__xludf.DUMMYFUNCTION("""COMPUTED_VALUE"""),"Y")</f>
        <v>Y</v>
      </c>
      <c r="M711" t="str">
        <f ca="1">IFERROR(__xludf.DUMMYFUNCTION("""COMPUTED_VALUE"""),"yf-221")</f>
        <v>yf-221</v>
      </c>
    </row>
    <row r="712" spans="1:13" ht="12.5" x14ac:dyDescent="0.25">
      <c r="A712" t="str">
        <f ca="1">IFERROR(__xludf.DUMMYFUNCTION("""COMPUTED_VALUE"""),"Fauzi")</f>
        <v>Fauzi</v>
      </c>
      <c r="B712" t="str">
        <f ca="1">IFERROR(__xludf.DUMMYFUNCTION("""COMPUTED_VALUE"""),"Tjahjadi")</f>
        <v>Tjahjadi</v>
      </c>
      <c r="C712" t="str">
        <f ca="1">IFERROR(__xludf.DUMMYFUNCTION("""COMPUTED_VALUE"""),"Tjahjadi@ymailx.com")</f>
        <v>Tjahjadi@ymailx.com</v>
      </c>
      <c r="D712" t="str">
        <f ca="1">IFERROR(__xludf.DUMMYFUNCTION("""COMPUTED_VALUE"""),"Lhokseumawe")</f>
        <v>Lhokseumawe</v>
      </c>
      <c r="E712" s="12">
        <f ca="1">IFERROR(__xludf.DUMMYFUNCTION("""COMPUTED_VALUE"""),42439)</f>
        <v>42439</v>
      </c>
      <c r="F712" t="str">
        <f ca="1">IFERROR(__xludf.DUMMYFUNCTION("""COMPUTED_VALUE"""),"KP0225BB")</f>
        <v>KP0225BB</v>
      </c>
      <c r="G712" s="11">
        <f ca="1">IFERROR(__xludf.DUMMYFUNCTION("""COMPUTED_VALUE"""),20000000)</f>
        <v>20000000</v>
      </c>
      <c r="H712">
        <f ca="1">IFERROR(__xludf.DUMMYFUNCTION("""COMPUTED_VALUE"""),36837)</f>
        <v>36837</v>
      </c>
      <c r="I712">
        <f ca="1">IFERROR(__xludf.DUMMYFUNCTION("""COMPUTED_VALUE"""),2)</f>
        <v>2</v>
      </c>
      <c r="J712" t="str">
        <f ca="1">IFERROR(__xludf.DUMMYFUNCTION("""COMPUTED_VALUE"""),"N/A")</f>
        <v>N/A</v>
      </c>
      <c r="K712" t="str">
        <f ca="1">IFERROR(__xludf.DUMMYFUNCTION("""COMPUTED_VALUE"""),"Cepat Kirim")</f>
        <v>Cepat Kirim</v>
      </c>
      <c r="L712" t="str">
        <f ca="1">IFERROR(__xludf.DUMMYFUNCTION("""COMPUTED_VALUE"""),"Y")</f>
        <v>Y</v>
      </c>
      <c r="M712" t="str">
        <f ca="1">IFERROR(__xludf.DUMMYFUNCTION("""COMPUTED_VALUE"""),"cc-101")</f>
        <v>cc-101</v>
      </c>
    </row>
    <row r="713" spans="1:13" ht="12.5" x14ac:dyDescent="0.25">
      <c r="A713" t="str">
        <f ca="1">IFERROR(__xludf.DUMMYFUNCTION("""COMPUTED_VALUE"""),"Erick")</f>
        <v>Erick</v>
      </c>
      <c r="B713" t="str">
        <f ca="1">IFERROR(__xludf.DUMMYFUNCTION("""COMPUTED_VALUE"""),"I.")</f>
        <v>I.</v>
      </c>
      <c r="C713" t="str">
        <f ca="1">IFERROR(__xludf.DUMMYFUNCTION("""COMPUTED_VALUE"""),"Erick@icloudx.com")</f>
        <v>Erick@icloudx.com</v>
      </c>
      <c r="D713" t="str">
        <f ca="1">IFERROR(__xludf.DUMMYFUNCTION("""COMPUTED_VALUE"""),"Kotamobagu")</f>
        <v>Kotamobagu</v>
      </c>
      <c r="E713" s="12">
        <f ca="1">IFERROR(__xludf.DUMMYFUNCTION("""COMPUTED_VALUE"""),42410)</f>
        <v>42410</v>
      </c>
      <c r="F713" t="str">
        <f ca="1">IFERROR(__xludf.DUMMYFUNCTION("""COMPUTED_VALUE"""),"KP0625AF")</f>
        <v>KP0625AF</v>
      </c>
      <c r="G713" s="11">
        <f ca="1">IFERROR(__xludf.DUMMYFUNCTION("""COMPUTED_VALUE"""),72000000)</f>
        <v>72000000</v>
      </c>
      <c r="H713">
        <f ca="1">IFERROR(__xludf.DUMMYFUNCTION("""COMPUTED_VALUE"""),35630)</f>
        <v>35630</v>
      </c>
      <c r="I713">
        <f ca="1">IFERROR(__xludf.DUMMYFUNCTION("""COMPUTED_VALUE"""),6)</f>
        <v>6</v>
      </c>
      <c r="J713" t="str">
        <f ca="1">IFERROR(__xludf.DUMMYFUNCTION("""COMPUTED_VALUE"""),"N/A")</f>
        <v>N/A</v>
      </c>
      <c r="K713" t="str">
        <f ca="1">IFERROR(__xludf.DUMMYFUNCTION("""COMPUTED_VALUE"""),"JENT")</f>
        <v>JENT</v>
      </c>
      <c r="L713" t="str">
        <f ca="1">IFERROR(__xludf.DUMMYFUNCTION("""COMPUTED_VALUE"""),"Y")</f>
        <v>Y</v>
      </c>
      <c r="M713" t="str">
        <f ca="1">IFERROR(__xludf.DUMMYFUNCTION("""COMPUTED_VALUE"""),"hy-221")</f>
        <v>hy-221</v>
      </c>
    </row>
    <row r="714" spans="1:13" ht="12.5" x14ac:dyDescent="0.25">
      <c r="A714" t="str">
        <f ca="1">IFERROR(__xludf.DUMMYFUNCTION("""COMPUTED_VALUE"""),"Laksamana")</f>
        <v>Laksamana</v>
      </c>
      <c r="B714" t="str">
        <f ca="1">IFERROR(__xludf.DUMMYFUNCTION("""COMPUTED_VALUE"""),"Soenong")</f>
        <v>Soenong</v>
      </c>
      <c r="C714" t="str">
        <f ca="1">IFERROR(__xludf.DUMMYFUNCTION("""COMPUTED_VALUE"""),"LAKSAMANA@icloudx.com")</f>
        <v>LAKSAMANA@icloudx.com</v>
      </c>
      <c r="D714" t="str">
        <f ca="1">IFERROR(__xludf.DUMMYFUNCTION("""COMPUTED_VALUE"""),"Surabaya")</f>
        <v>Surabaya</v>
      </c>
      <c r="E714" s="12">
        <f ca="1">IFERROR(__xludf.DUMMYFUNCTION("""COMPUTED_VALUE"""),42410)</f>
        <v>42410</v>
      </c>
      <c r="F714" t="str">
        <f ca="1">IFERROR(__xludf.DUMMYFUNCTION("""COMPUTED_VALUE"""),"KP0750AJ")</f>
        <v>KP0750AJ</v>
      </c>
      <c r="G714" s="11">
        <f ca="1">IFERROR(__xludf.DUMMYFUNCTION("""COMPUTED_VALUE"""),144000000)</f>
        <v>144000000</v>
      </c>
      <c r="H714">
        <f ca="1">IFERROR(__xludf.DUMMYFUNCTION("""COMPUTED_VALUE"""),35623)</f>
        <v>35623</v>
      </c>
      <c r="I714">
        <f ca="1">IFERROR(__xludf.DUMMYFUNCTION("""COMPUTED_VALUE"""),8)</f>
        <v>8</v>
      </c>
      <c r="J714" t="str">
        <f ca="1">IFERROR(__xludf.DUMMYFUNCTION("""COMPUTED_VALUE"""),"N/A")</f>
        <v>N/A</v>
      </c>
      <c r="K714" t="str">
        <f ca="1">IFERROR(__xludf.DUMMYFUNCTION("""COMPUTED_VALUE"""),"Cepat Kirim")</f>
        <v>Cepat Kirim</v>
      </c>
      <c r="L714" t="str">
        <f ca="1">IFERROR(__xludf.DUMMYFUNCTION("""COMPUTED_VALUE"""),"Y")</f>
        <v>Y</v>
      </c>
      <c r="M714" t="str">
        <f ca="1">IFERROR(__xludf.DUMMYFUNCTION("""COMPUTED_VALUE"""),"qz-123")</f>
        <v>qz-123</v>
      </c>
    </row>
    <row r="715" spans="1:13" ht="12.5" x14ac:dyDescent="0.25">
      <c r="A715" t="str">
        <f ca="1">IFERROR(__xludf.DUMMYFUNCTION("""COMPUTED_VALUE"""),"Lim")</f>
        <v>Lim</v>
      </c>
      <c r="B715" t="str">
        <f ca="1">IFERROR(__xludf.DUMMYFUNCTION("""COMPUTED_VALUE"""),"Yoshawirja")</f>
        <v>Yoshawirja</v>
      </c>
      <c r="C715" t="str">
        <f ca="1">IFERROR(__xludf.DUMMYFUNCTION("""COMPUTED_VALUE"""),"Lim@outlookx.com")</f>
        <v>Lim@outlookx.com</v>
      </c>
      <c r="D715" t="str">
        <f ca="1">IFERROR(__xludf.DUMMYFUNCTION("""COMPUTED_VALUE"""),"Tanjungpinang")</f>
        <v>Tanjungpinang</v>
      </c>
      <c r="E715" s="12">
        <f ca="1">IFERROR(__xludf.DUMMYFUNCTION("""COMPUTED_VALUE"""),42640)</f>
        <v>42640</v>
      </c>
      <c r="F715" t="str">
        <f ca="1">IFERROR(__xludf.DUMMYFUNCTION("""COMPUTED_VALUE"""),"KP0625AF")</f>
        <v>KP0625AF</v>
      </c>
      <c r="G715" s="11">
        <f ca="1">IFERROR(__xludf.DUMMYFUNCTION("""COMPUTED_VALUE"""),36000000)</f>
        <v>36000000</v>
      </c>
      <c r="H715">
        <f ca="1">IFERROR(__xludf.DUMMYFUNCTION("""COMPUTED_VALUE"""),35816)</f>
        <v>35816</v>
      </c>
      <c r="I715">
        <f ca="1">IFERROR(__xludf.DUMMYFUNCTION("""COMPUTED_VALUE"""),3)</f>
        <v>3</v>
      </c>
      <c r="J715" t="str">
        <f ca="1">IFERROR(__xludf.DUMMYFUNCTION("""COMPUTED_VALUE"""),"N/A")</f>
        <v>N/A</v>
      </c>
      <c r="K715" t="str">
        <f ca="1">IFERROR(__xludf.DUMMYFUNCTION("""COMPUTED_VALUE"""),"Wakanda Express")</f>
        <v>Wakanda Express</v>
      </c>
      <c r="L715" t="str">
        <f ca="1">IFERROR(__xludf.DUMMYFUNCTION("""COMPUTED_VALUE"""),"Y")</f>
        <v>Y</v>
      </c>
      <c r="M715" t="str">
        <f ca="1">IFERROR(__xludf.DUMMYFUNCTION("""COMPUTED_VALUE"""),"qy-809")</f>
        <v>qy-809</v>
      </c>
    </row>
    <row r="716" spans="1:13" ht="12.5" x14ac:dyDescent="0.25">
      <c r="A716" t="str">
        <f ca="1">IFERROR(__xludf.DUMMYFUNCTION("""COMPUTED_VALUE"""),"Kokos")</f>
        <v>Kokos</v>
      </c>
      <c r="B716" t="str">
        <f ca="1">IFERROR(__xludf.DUMMYFUNCTION("""COMPUTED_VALUE"""),"Purnomo")</f>
        <v>Purnomo</v>
      </c>
      <c r="C716" t="str">
        <f ca="1">IFERROR(__xludf.DUMMYFUNCTION("""COMPUTED_VALUE"""),"Kokos@ymailx.com")</f>
        <v>Kokos@ymailx.com</v>
      </c>
      <c r="D716" t="str">
        <f ca="1">IFERROR(__xludf.DUMMYFUNCTION("""COMPUTED_VALUE"""),"Langsa")</f>
        <v>Langsa</v>
      </c>
      <c r="E716" s="12">
        <f ca="1">IFERROR(__xludf.DUMMYFUNCTION("""COMPUTED_VALUE"""),42640)</f>
        <v>42640</v>
      </c>
      <c r="F716" t="str">
        <f ca="1">IFERROR(__xludf.DUMMYFUNCTION("""COMPUTED_VALUE"""),"KP0625AF")</f>
        <v>KP0625AF</v>
      </c>
      <c r="G716" s="11">
        <f ca="1">IFERROR(__xludf.DUMMYFUNCTION("""COMPUTED_VALUE"""),96000000)</f>
        <v>96000000</v>
      </c>
      <c r="H716">
        <f ca="1">IFERROR(__xludf.DUMMYFUNCTION("""COMPUTED_VALUE"""),35960)</f>
        <v>35960</v>
      </c>
      <c r="I716">
        <f ca="1">IFERROR(__xludf.DUMMYFUNCTION("""COMPUTED_VALUE"""),8)</f>
        <v>8</v>
      </c>
      <c r="J716" t="str">
        <f ca="1">IFERROR(__xludf.DUMMYFUNCTION("""COMPUTED_VALUE"""),"N/A")</f>
        <v>N/A</v>
      </c>
      <c r="K716" t="str">
        <f ca="1">IFERROR(__xludf.DUMMYFUNCTION("""COMPUTED_VALUE"""),"Cepat Kirim")</f>
        <v>Cepat Kirim</v>
      </c>
      <c r="L716" t="str">
        <f ca="1">IFERROR(__xludf.DUMMYFUNCTION("""COMPUTED_VALUE"""),"Y")</f>
        <v>Y</v>
      </c>
      <c r="M716" t="str">
        <f ca="1">IFERROR(__xludf.DUMMYFUNCTION("""COMPUTED_VALUE"""),"ty-101")</f>
        <v>ty-101</v>
      </c>
    </row>
    <row r="717" spans="1:13" ht="12.5" x14ac:dyDescent="0.25">
      <c r="A717" t="str">
        <f ca="1">IFERROR(__xludf.DUMMYFUNCTION("""COMPUTED_VALUE"""),"Virendra")</f>
        <v>Virendra</v>
      </c>
      <c r="B717" t="str">
        <f ca="1">IFERROR(__xludf.DUMMYFUNCTION("""COMPUTED_VALUE"""),"Prakash")</f>
        <v>Prakash</v>
      </c>
      <c r="C717" t="str">
        <f ca="1">IFERROR(__xludf.DUMMYFUNCTION("""COMPUTED_VALUE"""),"Virendra@gmailx.com")</f>
        <v>Virendra@gmailx.com</v>
      </c>
      <c r="D717" t="str">
        <f ca="1">IFERROR(__xludf.DUMMYFUNCTION("""COMPUTED_VALUE"""),"Banjarbaru")</f>
        <v>Banjarbaru</v>
      </c>
      <c r="E717" s="12">
        <f ca="1">IFERROR(__xludf.DUMMYFUNCTION("""COMPUTED_VALUE"""),42639)</f>
        <v>42639</v>
      </c>
      <c r="F717" t="str">
        <f ca="1">IFERROR(__xludf.DUMMYFUNCTION("""COMPUTED_VALUE"""),"KP0150BH")</f>
        <v>KP0150BH</v>
      </c>
      <c r="G717" s="11">
        <f ca="1">IFERROR(__xludf.DUMMYFUNCTION("""COMPUTED_VALUE"""),162000000)</f>
        <v>162000000</v>
      </c>
      <c r="H717">
        <f ca="1">IFERROR(__xludf.DUMMYFUNCTION("""COMPUTED_VALUE"""),36718)</f>
        <v>36718</v>
      </c>
      <c r="I717">
        <f ca="1">IFERROR(__xludf.DUMMYFUNCTION("""COMPUTED_VALUE"""),6)</f>
        <v>6</v>
      </c>
      <c r="J717">
        <f ca="1">IFERROR(__xludf.DUMMYFUNCTION("""COMPUTED_VALUE"""),4)</f>
        <v>4</v>
      </c>
      <c r="K717" t="str">
        <f ca="1">IFERROR(__xludf.DUMMYFUNCTION("""COMPUTED_VALUE"""),"#N/A")</f>
        <v>#N/A</v>
      </c>
      <c r="L717" t="str">
        <f ca="1">IFERROR(__xludf.DUMMYFUNCTION("""COMPUTED_VALUE"""),"N")</f>
        <v>N</v>
      </c>
      <c r="M717" t="str">
        <f ca="1">IFERROR(__xludf.DUMMYFUNCTION("""COMPUTED_VALUE"""),"vu-991")</f>
        <v>vu-991</v>
      </c>
    </row>
    <row r="718" spans="1:13" ht="12.5" x14ac:dyDescent="0.25">
      <c r="A718" t="str">
        <f ca="1">IFERROR(__xludf.DUMMYFUNCTION("""COMPUTED_VALUE"""),"Djoni")</f>
        <v>Djoni</v>
      </c>
      <c r="B718" t="str">
        <f ca="1">IFERROR(__xludf.DUMMYFUNCTION("""COMPUTED_VALUE"""),"Mardova")</f>
        <v>Mardova</v>
      </c>
      <c r="C718" t="str">
        <f ca="1">IFERROR(__xludf.DUMMYFUNCTION("""COMPUTED_VALUE"""),"Djoni@outlookx.com")</f>
        <v>Djoni@outlookx.com</v>
      </c>
      <c r="D718" t="str">
        <f ca="1">IFERROR(__xludf.DUMMYFUNCTION("""COMPUTED_VALUE"""),"Jambi")</f>
        <v>Jambi</v>
      </c>
      <c r="E718" s="12">
        <f ca="1">IFERROR(__xludf.DUMMYFUNCTION("""COMPUTED_VALUE"""),42637)</f>
        <v>42637</v>
      </c>
      <c r="F718" t="str">
        <f ca="1">IFERROR(__xludf.DUMMYFUNCTION("""COMPUTED_VALUE"""),"KP0750AJ")</f>
        <v>KP0750AJ</v>
      </c>
      <c r="G718" s="11">
        <f ca="1">IFERROR(__xludf.DUMMYFUNCTION("""COMPUTED_VALUE"""),144000000)</f>
        <v>144000000</v>
      </c>
      <c r="H718">
        <f ca="1">IFERROR(__xludf.DUMMYFUNCTION("""COMPUTED_VALUE"""),35237)</f>
        <v>35237</v>
      </c>
      <c r="I718">
        <f ca="1">IFERROR(__xludf.DUMMYFUNCTION("""COMPUTED_VALUE"""),8)</f>
        <v>8</v>
      </c>
      <c r="J718" t="str">
        <f ca="1">IFERROR(__xludf.DUMMYFUNCTION("""COMPUTED_VALUE"""),"N/A")</f>
        <v>N/A</v>
      </c>
      <c r="K718" t="str">
        <f ca="1">IFERROR(__xludf.DUMMYFUNCTION("""COMPUTED_VALUE"""),"Wakanda Express")</f>
        <v>Wakanda Express</v>
      </c>
      <c r="L718" t="str">
        <f ca="1">IFERROR(__xludf.DUMMYFUNCTION("""COMPUTED_VALUE"""),"Y")</f>
        <v>Y</v>
      </c>
      <c r="M718" t="str">
        <f ca="1">IFERROR(__xludf.DUMMYFUNCTION("""COMPUTED_VALUE"""),"ph-512")</f>
        <v>ph-512</v>
      </c>
    </row>
    <row r="719" spans="1:13" ht="12.5" x14ac:dyDescent="0.25">
      <c r="A719" t="str">
        <f ca="1">IFERROR(__xludf.DUMMYFUNCTION("""COMPUTED_VALUE"""),"Sity")</f>
        <v>Sity</v>
      </c>
      <c r="B719" t="str">
        <f ca="1">IFERROR(__xludf.DUMMYFUNCTION("""COMPUTED_VALUE"""),"Franky")</f>
        <v>Franky</v>
      </c>
      <c r="C719" t="str">
        <f ca="1">IFERROR(__xludf.DUMMYFUNCTION("""COMPUTED_VALUE"""),"Sity@livex.com")</f>
        <v>Sity@livex.com</v>
      </c>
      <c r="D719" t="str">
        <f ca="1">IFERROR(__xludf.DUMMYFUNCTION("""COMPUTED_VALUE"""),"Cimahi")</f>
        <v>Cimahi</v>
      </c>
      <c r="E719" s="12">
        <f ca="1">IFERROR(__xludf.DUMMYFUNCTION("""COMPUTED_VALUE"""),42635)</f>
        <v>42635</v>
      </c>
      <c r="F719" t="str">
        <f ca="1">IFERROR(__xludf.DUMMYFUNCTION("""COMPUTED_VALUE"""),"KP0350CF")</f>
        <v>KP0350CF</v>
      </c>
      <c r="G719" s="11">
        <f ca="1">IFERROR(__xludf.DUMMYFUNCTION("""COMPUTED_VALUE"""),350000000)</f>
        <v>350000000</v>
      </c>
      <c r="H719">
        <f ca="1">IFERROR(__xludf.DUMMYFUNCTION("""COMPUTED_VALUE"""),35277)</f>
        <v>35277</v>
      </c>
      <c r="I719">
        <f ca="1">IFERROR(__xludf.DUMMYFUNCTION("""COMPUTED_VALUE"""),10)</f>
        <v>10</v>
      </c>
      <c r="J719" t="str">
        <f ca="1">IFERROR(__xludf.DUMMYFUNCTION("""COMPUTED_VALUE"""),"N/A")</f>
        <v>N/A</v>
      </c>
      <c r="K719" t="str">
        <f ca="1">IFERROR(__xludf.DUMMYFUNCTION("""COMPUTED_VALUE"""),"JENT")</f>
        <v>JENT</v>
      </c>
      <c r="L719" t="str">
        <f ca="1">IFERROR(__xludf.DUMMYFUNCTION("""COMPUTED_VALUE"""),"N")</f>
        <v>N</v>
      </c>
      <c r="M719" t="str">
        <f ca="1">IFERROR(__xludf.DUMMYFUNCTION("""COMPUTED_VALUE"""),"mx-409")</f>
        <v>mx-409</v>
      </c>
    </row>
    <row r="720" spans="1:13" ht="12.5" x14ac:dyDescent="0.25">
      <c r="A720" t="str">
        <f ca="1">IFERROR(__xludf.DUMMYFUNCTION("""COMPUTED_VALUE"""),"Bob")</f>
        <v>Bob</v>
      </c>
      <c r="B720" t="str">
        <f ca="1">IFERROR(__xludf.DUMMYFUNCTION("""COMPUTED_VALUE"""),"Saputra")</f>
        <v>Saputra</v>
      </c>
      <c r="C720" t="str">
        <f ca="1">IFERROR(__xludf.DUMMYFUNCTION("""COMPUTED_VALUE"""),"Bob@ymailx.com")</f>
        <v>Bob@ymailx.com</v>
      </c>
      <c r="D720" t="str">
        <f ca="1">IFERROR(__xludf.DUMMYFUNCTION("""COMPUTED_VALUE"""),"Pangkalpinang")</f>
        <v>Pangkalpinang</v>
      </c>
      <c r="E720" s="12">
        <f ca="1">IFERROR(__xludf.DUMMYFUNCTION("""COMPUTED_VALUE"""),42628)</f>
        <v>42628</v>
      </c>
      <c r="F720" t="str">
        <f ca="1">IFERROR(__xludf.DUMMYFUNCTION("""COMPUTED_VALUE"""),"KP0350CF")</f>
        <v>KP0350CF</v>
      </c>
      <c r="G720" s="11">
        <f ca="1">IFERROR(__xludf.DUMMYFUNCTION("""COMPUTED_VALUE"""),105000000)</f>
        <v>105000000</v>
      </c>
      <c r="H720">
        <f ca="1">IFERROR(__xludf.DUMMYFUNCTION("""COMPUTED_VALUE"""),35865)</f>
        <v>35865</v>
      </c>
      <c r="I720">
        <f ca="1">IFERROR(__xludf.DUMMYFUNCTION("""COMPUTED_VALUE"""),3)</f>
        <v>3</v>
      </c>
      <c r="J720">
        <f ca="1">IFERROR(__xludf.DUMMYFUNCTION("""COMPUTED_VALUE"""),4)</f>
        <v>4</v>
      </c>
      <c r="K720" t="str">
        <f ca="1">IFERROR(__xludf.DUMMYFUNCTION("""COMPUTED_VALUE"""),"Cepat Kirim")</f>
        <v>Cepat Kirim</v>
      </c>
      <c r="L720" t="str">
        <f ca="1">IFERROR(__xludf.DUMMYFUNCTION("""COMPUTED_VALUE"""),"Y")</f>
        <v>Y</v>
      </c>
      <c r="M720" t="str">
        <f ca="1">IFERROR(__xludf.DUMMYFUNCTION("""COMPUTED_VALUE"""),"pw-120")</f>
        <v>pw-120</v>
      </c>
    </row>
    <row r="721" spans="1:13" ht="12.5" x14ac:dyDescent="0.25">
      <c r="A721" t="str">
        <f ca="1">IFERROR(__xludf.DUMMYFUNCTION("""COMPUTED_VALUE"""),"Alfari")</f>
        <v>Alfari</v>
      </c>
      <c r="B721" t="str">
        <f ca="1">IFERROR(__xludf.DUMMYFUNCTION("""COMPUTED_VALUE"""),"Robertson")</f>
        <v>Robertson</v>
      </c>
      <c r="C721" t="str">
        <f ca="1">IFERROR(__xludf.DUMMYFUNCTION("""COMPUTED_VALUE"""),"Robertson@livex.com")</f>
        <v>Robertson@livex.com</v>
      </c>
      <c r="D721" t="str">
        <f ca="1">IFERROR(__xludf.DUMMYFUNCTION("""COMPUTED_VALUE"""),"Tebingtinggi")</f>
        <v>Tebingtinggi</v>
      </c>
      <c r="E721" s="12">
        <f ca="1">IFERROR(__xludf.DUMMYFUNCTION("""COMPUTED_VALUE"""),42627)</f>
        <v>42627</v>
      </c>
      <c r="F721" t="str">
        <f ca="1">IFERROR(__xludf.DUMMYFUNCTION("""COMPUTED_VALUE"""),"KP0925SG")</f>
        <v>KP0925SG</v>
      </c>
      <c r="G721" s="11">
        <f ca="1">IFERROR(__xludf.DUMMYFUNCTION("""COMPUTED_VALUE"""),45000000)</f>
        <v>45000000</v>
      </c>
      <c r="H721">
        <f ca="1">IFERROR(__xludf.DUMMYFUNCTION("""COMPUTED_VALUE"""),36667)</f>
        <v>36667</v>
      </c>
      <c r="I721">
        <f ca="1">IFERROR(__xludf.DUMMYFUNCTION("""COMPUTED_VALUE"""),3)</f>
        <v>3</v>
      </c>
      <c r="J721" t="str">
        <f ca="1">IFERROR(__xludf.DUMMYFUNCTION("""COMPUTED_VALUE"""),"N/A")</f>
        <v>N/A</v>
      </c>
      <c r="K721" t="str">
        <f ca="1">IFERROR(__xludf.DUMMYFUNCTION("""COMPUTED_VALUE"""),"JENT")</f>
        <v>JENT</v>
      </c>
      <c r="L721" t="str">
        <f ca="1">IFERROR(__xludf.DUMMYFUNCTION("""COMPUTED_VALUE"""),"Y")</f>
        <v>Y</v>
      </c>
      <c r="M721" t="str">
        <f ca="1">IFERROR(__xludf.DUMMYFUNCTION("""COMPUTED_VALUE"""),"bo-662")</f>
        <v>bo-662</v>
      </c>
    </row>
    <row r="722" spans="1:13" ht="12.5" x14ac:dyDescent="0.25">
      <c r="A722" t="str">
        <f ca="1">IFERROR(__xludf.DUMMYFUNCTION("""COMPUTED_VALUE"""),"Ramajati")</f>
        <v>Ramajati</v>
      </c>
      <c r="B722" t="str">
        <f ca="1">IFERROR(__xludf.DUMMYFUNCTION("""COMPUTED_VALUE"""),"Virgan")</f>
        <v>Virgan</v>
      </c>
      <c r="C722" t="str">
        <f ca="1">IFERROR(__xludf.DUMMYFUNCTION("""COMPUTED_VALUE"""),"Virgan@rocketmailx.com")</f>
        <v>Virgan@rocketmailx.com</v>
      </c>
      <c r="D722" t="str">
        <f ca="1">IFERROR(__xludf.DUMMYFUNCTION("""COMPUTED_VALUE"""),"Sungai Penuh")</f>
        <v>Sungai Penuh</v>
      </c>
      <c r="E722" s="12">
        <f ca="1">IFERROR(__xludf.DUMMYFUNCTION("""COMPUTED_VALUE"""),42627)</f>
        <v>42627</v>
      </c>
      <c r="F722" t="str">
        <f ca="1">IFERROR(__xludf.DUMMYFUNCTION("""COMPUTED_VALUE"""),"KP0750AJ")</f>
        <v>KP0750AJ</v>
      </c>
      <c r="G722" s="11">
        <f ca="1">IFERROR(__xludf.DUMMYFUNCTION("""COMPUTED_VALUE"""),36000000)</f>
        <v>36000000</v>
      </c>
      <c r="H722">
        <f ca="1">IFERROR(__xludf.DUMMYFUNCTION("""COMPUTED_VALUE"""),36128)</f>
        <v>36128</v>
      </c>
      <c r="I722">
        <f ca="1">IFERROR(__xludf.DUMMYFUNCTION("""COMPUTED_VALUE"""),2)</f>
        <v>2</v>
      </c>
      <c r="J722">
        <f ca="1">IFERROR(__xludf.DUMMYFUNCTION("""COMPUTED_VALUE"""),4)</f>
        <v>4</v>
      </c>
      <c r="K722" t="str">
        <f ca="1">IFERROR(__xludf.DUMMYFUNCTION("""COMPUTED_VALUE"""),"Pru Logistic")</f>
        <v>Pru Logistic</v>
      </c>
      <c r="L722" t="str">
        <f ca="1">IFERROR(__xludf.DUMMYFUNCTION("""COMPUTED_VALUE"""),"N")</f>
        <v>N</v>
      </c>
      <c r="M722" t="str">
        <f ca="1">IFERROR(__xludf.DUMMYFUNCTION("""COMPUTED_VALUE"""),"pg-512")</f>
        <v>pg-512</v>
      </c>
    </row>
    <row r="723" spans="1:13" ht="12.5" x14ac:dyDescent="0.25">
      <c r="A723" t="str">
        <f ca="1">IFERROR(__xludf.DUMMYFUNCTION("""COMPUTED_VALUE"""),"Simon")</f>
        <v>Simon</v>
      </c>
      <c r="B723" t="str">
        <f ca="1">IFERROR(__xludf.DUMMYFUNCTION("""COMPUTED_VALUE"""),"Limited")</f>
        <v>Limited</v>
      </c>
      <c r="C723" t="str">
        <f ca="1">IFERROR(__xludf.DUMMYFUNCTION("""COMPUTED_VALUE"""),"Simon@ymailx.com")</f>
        <v>Simon@ymailx.com</v>
      </c>
      <c r="D723" t="str">
        <f ca="1">IFERROR(__xludf.DUMMYFUNCTION("""COMPUTED_VALUE"""),"Banda Aceh")</f>
        <v>Banda Aceh</v>
      </c>
      <c r="E723" s="12">
        <f ca="1">IFERROR(__xludf.DUMMYFUNCTION("""COMPUTED_VALUE"""),42627)</f>
        <v>42627</v>
      </c>
      <c r="F723" t="str">
        <f ca="1">IFERROR(__xludf.DUMMYFUNCTION("""COMPUTED_VALUE"""),"KP0350CF")</f>
        <v>KP0350CF</v>
      </c>
      <c r="G723" s="11">
        <f ca="1">IFERROR(__xludf.DUMMYFUNCTION("""COMPUTED_VALUE"""),350000000)</f>
        <v>350000000</v>
      </c>
      <c r="H723">
        <f ca="1">IFERROR(__xludf.DUMMYFUNCTION("""COMPUTED_VALUE"""),35011)</f>
        <v>35011</v>
      </c>
      <c r="I723">
        <f ca="1">IFERROR(__xludf.DUMMYFUNCTION("""COMPUTED_VALUE"""),10)</f>
        <v>10</v>
      </c>
      <c r="J723">
        <f ca="1">IFERROR(__xludf.DUMMYFUNCTION("""COMPUTED_VALUE"""),5)</f>
        <v>5</v>
      </c>
      <c r="K723" t="str">
        <f ca="1">IFERROR(__xludf.DUMMYFUNCTION("""COMPUTED_VALUE"""),"JENT")</f>
        <v>JENT</v>
      </c>
      <c r="L723" t="str">
        <f ca="1">IFERROR(__xludf.DUMMYFUNCTION("""COMPUTED_VALUE"""),"N")</f>
        <v>N</v>
      </c>
      <c r="M723" t="str">
        <f ca="1">IFERROR(__xludf.DUMMYFUNCTION("""COMPUTED_VALUE"""),"te-101")</f>
        <v>te-101</v>
      </c>
    </row>
    <row r="724" spans="1:13" ht="12.5" x14ac:dyDescent="0.25">
      <c r="A724" t="str">
        <f ca="1">IFERROR(__xludf.DUMMYFUNCTION("""COMPUTED_VALUE"""),"Henry")</f>
        <v>Henry</v>
      </c>
      <c r="B724" t="str">
        <f ca="1">IFERROR(__xludf.DUMMYFUNCTION("""COMPUTED_VALUE"""),"Pramono")</f>
        <v>Pramono</v>
      </c>
      <c r="C724" t="str">
        <f ca="1">IFERROR(__xludf.DUMMYFUNCTION("""COMPUTED_VALUE"""),"Pramono@ymailx.com")</f>
        <v>Pramono@ymailx.com</v>
      </c>
      <c r="D724" t="str">
        <f ca="1">IFERROR(__xludf.DUMMYFUNCTION("""COMPUTED_VALUE"""),"Parepare")</f>
        <v>Parepare</v>
      </c>
      <c r="E724" s="12">
        <f ca="1">IFERROR(__xludf.DUMMYFUNCTION("""COMPUTED_VALUE"""),42626)</f>
        <v>42626</v>
      </c>
      <c r="F724" t="str">
        <f ca="1">IFERROR(__xludf.DUMMYFUNCTION("""COMPUTED_VALUE"""),"KP0425CB")</f>
        <v>KP0425CB</v>
      </c>
      <c r="G724" s="11">
        <f ca="1">IFERROR(__xludf.DUMMYFUNCTION("""COMPUTED_VALUE"""),81750000)</f>
        <v>81750000</v>
      </c>
      <c r="H724">
        <f ca="1">IFERROR(__xludf.DUMMYFUNCTION("""COMPUTED_VALUE"""),35370)</f>
        <v>35370</v>
      </c>
      <c r="I724">
        <f ca="1">IFERROR(__xludf.DUMMYFUNCTION("""COMPUTED_VALUE"""),3)</f>
        <v>3</v>
      </c>
      <c r="J724" t="str">
        <f ca="1">IFERROR(__xludf.DUMMYFUNCTION("""COMPUTED_VALUE"""),"N/A")</f>
        <v>N/A</v>
      </c>
      <c r="K724" t="str">
        <f ca="1">IFERROR(__xludf.DUMMYFUNCTION("""COMPUTED_VALUE"""),"Wakanda Express")</f>
        <v>Wakanda Express</v>
      </c>
      <c r="L724" t="str">
        <f ca="1">IFERROR(__xludf.DUMMYFUNCTION("""COMPUTED_VALUE"""),"Y")</f>
        <v>Y</v>
      </c>
      <c r="M724" t="str">
        <f ca="1">IFERROR(__xludf.DUMMYFUNCTION("""COMPUTED_VALUE"""),"oh-290")</f>
        <v>oh-290</v>
      </c>
    </row>
    <row r="725" spans="1:13" ht="12.5" x14ac:dyDescent="0.25">
      <c r="A725" t="str">
        <f ca="1">IFERROR(__xludf.DUMMYFUNCTION("""COMPUTED_VALUE"""),"Purwadi")</f>
        <v>Purwadi</v>
      </c>
      <c r="B725" t="str">
        <f ca="1">IFERROR(__xludf.DUMMYFUNCTION("""COMPUTED_VALUE"""),"Hermawan")</f>
        <v>Hermawan</v>
      </c>
      <c r="C725" t="str">
        <f ca="1">IFERROR(__xludf.DUMMYFUNCTION("""COMPUTED_VALUE"""),"Purwadi@gmailx.com")</f>
        <v>Purwadi@gmailx.com</v>
      </c>
      <c r="D725" t="str">
        <f ca="1">IFERROR(__xludf.DUMMYFUNCTION("""COMPUTED_VALUE"""),"Jambi")</f>
        <v>Jambi</v>
      </c>
      <c r="E725" s="12">
        <f ca="1">IFERROR(__xludf.DUMMYFUNCTION("""COMPUTED_VALUE"""),42713)</f>
        <v>42713</v>
      </c>
      <c r="F725" t="str">
        <f ca="1">IFERROR(__xludf.DUMMYFUNCTION("""COMPUTED_VALUE"""),"KP0925SG")</f>
        <v>KP0925SG</v>
      </c>
      <c r="G725" s="11">
        <f ca="1">IFERROR(__xludf.DUMMYFUNCTION("""COMPUTED_VALUE"""),135000000)</f>
        <v>135000000</v>
      </c>
      <c r="H725">
        <f ca="1">IFERROR(__xludf.DUMMYFUNCTION("""COMPUTED_VALUE"""),35246)</f>
        <v>35246</v>
      </c>
      <c r="I725">
        <f ca="1">IFERROR(__xludf.DUMMYFUNCTION("""COMPUTED_VALUE"""),9)</f>
        <v>9</v>
      </c>
      <c r="J725" t="str">
        <f ca="1">IFERROR(__xludf.DUMMYFUNCTION("""COMPUTED_VALUE"""),"N/A")</f>
        <v>N/A</v>
      </c>
      <c r="K725" t="str">
        <f ca="1">IFERROR(__xludf.DUMMYFUNCTION("""COMPUTED_VALUE"""),"Pru Logistic")</f>
        <v>Pru Logistic</v>
      </c>
      <c r="L725" t="str">
        <f ca="1">IFERROR(__xludf.DUMMYFUNCTION("""COMPUTED_VALUE"""),"N")</f>
        <v>N</v>
      </c>
      <c r="M725" t="str">
        <f ca="1">IFERROR(__xludf.DUMMYFUNCTION("""COMPUTED_VALUE"""),"vo-512")</f>
        <v>vo-512</v>
      </c>
    </row>
    <row r="726" spans="1:13" ht="12.5" x14ac:dyDescent="0.25">
      <c r="A726" t="str">
        <f ca="1">IFERROR(__xludf.DUMMYFUNCTION("""COMPUTED_VALUE"""),"Rachmat")</f>
        <v>Rachmat</v>
      </c>
      <c r="B726" t="str">
        <f ca="1">IFERROR(__xludf.DUMMYFUNCTION("""COMPUTED_VALUE"""),"Hardja")</f>
        <v>Hardja</v>
      </c>
      <c r="C726" t="str">
        <f ca="1">IFERROR(__xludf.DUMMYFUNCTION("""COMPUTED_VALUE"""),"Hardja@ymailx.com")</f>
        <v>Hardja@ymailx.com</v>
      </c>
      <c r="D726" t="str">
        <f ca="1">IFERROR(__xludf.DUMMYFUNCTION("""COMPUTED_VALUE"""),"Palu")</f>
        <v>Palu</v>
      </c>
      <c r="E726" s="12">
        <f ca="1">IFERROR(__xludf.DUMMYFUNCTION("""COMPUTED_VALUE"""),42683)</f>
        <v>42683</v>
      </c>
      <c r="F726" t="str">
        <f ca="1">IFERROR(__xludf.DUMMYFUNCTION("""COMPUTED_VALUE"""),"KP0625AF")</f>
        <v>KP0625AF</v>
      </c>
      <c r="G726" s="11">
        <f ca="1">IFERROR(__xludf.DUMMYFUNCTION("""COMPUTED_VALUE"""),120000000)</f>
        <v>120000000</v>
      </c>
      <c r="H726">
        <f ca="1">IFERROR(__xludf.DUMMYFUNCTION("""COMPUTED_VALUE"""),36298)</f>
        <v>36298</v>
      </c>
      <c r="I726">
        <f ca="1">IFERROR(__xludf.DUMMYFUNCTION("""COMPUTED_VALUE"""),10)</f>
        <v>10</v>
      </c>
      <c r="J726">
        <f ca="1">IFERROR(__xludf.DUMMYFUNCTION("""COMPUTED_VALUE"""),4)</f>
        <v>4</v>
      </c>
      <c r="K726" t="str">
        <f ca="1">IFERROR(__xludf.DUMMYFUNCTION("""COMPUTED_VALUE"""),"Swift Delivery")</f>
        <v>Swift Delivery</v>
      </c>
      <c r="L726" t="str">
        <f ca="1">IFERROR(__xludf.DUMMYFUNCTION("""COMPUTED_VALUE"""),"N")</f>
        <v>N</v>
      </c>
      <c r="M726" t="str">
        <f ca="1">IFERROR(__xludf.DUMMYFUNCTION("""COMPUTED_VALUE"""),"pg-280")</f>
        <v>pg-280</v>
      </c>
    </row>
    <row r="727" spans="1:13" ht="12.5" x14ac:dyDescent="0.25">
      <c r="A727" t="str">
        <f ca="1">IFERROR(__xludf.DUMMYFUNCTION("""COMPUTED_VALUE"""),"Dick")</f>
        <v>Dick</v>
      </c>
      <c r="B727" t="str">
        <f ca="1">IFERROR(__xludf.DUMMYFUNCTION("""COMPUTED_VALUE"""),"Liem")</f>
        <v>Liem</v>
      </c>
      <c r="C727" t="str">
        <f ca="1">IFERROR(__xludf.DUMMYFUNCTION("""COMPUTED_VALUE"""),"Dick@ymailx.com")</f>
        <v>Dick@ymailx.com</v>
      </c>
      <c r="D727" t="str">
        <f ca="1">IFERROR(__xludf.DUMMYFUNCTION("""COMPUTED_VALUE"""),"Semarang")</f>
        <v>Semarang</v>
      </c>
      <c r="E727" s="12">
        <f ca="1">IFERROR(__xludf.DUMMYFUNCTION("""COMPUTED_VALUE"""),42652)</f>
        <v>42652</v>
      </c>
      <c r="F727" t="str">
        <f ca="1">IFERROR(__xludf.DUMMYFUNCTION("""COMPUTED_VALUE"""),"KP0750AJ")</f>
        <v>KP0750AJ</v>
      </c>
      <c r="G727" s="11">
        <f ca="1">IFERROR(__xludf.DUMMYFUNCTION("""COMPUTED_VALUE"""),72000000)</f>
        <v>72000000</v>
      </c>
      <c r="H727">
        <f ca="1">IFERROR(__xludf.DUMMYFUNCTION("""COMPUTED_VALUE"""),35406)</f>
        <v>35406</v>
      </c>
      <c r="I727">
        <f ca="1">IFERROR(__xludf.DUMMYFUNCTION("""COMPUTED_VALUE"""),4)</f>
        <v>4</v>
      </c>
      <c r="J727" t="str">
        <f ca="1">IFERROR(__xludf.DUMMYFUNCTION("""COMPUTED_VALUE"""),"N/A")</f>
        <v>N/A</v>
      </c>
      <c r="K727" t="str">
        <f ca="1">IFERROR(__xludf.DUMMYFUNCTION("""COMPUTED_VALUE"""),"Swift Delivery")</f>
        <v>Swift Delivery</v>
      </c>
      <c r="L727" t="str">
        <f ca="1">IFERROR(__xludf.DUMMYFUNCTION("""COMPUTED_VALUE"""),"Y")</f>
        <v>Y</v>
      </c>
      <c r="M727" t="str">
        <f ca="1">IFERROR(__xludf.DUMMYFUNCTION("""COMPUTED_VALUE"""),"li-410")</f>
        <v>li-410</v>
      </c>
    </row>
    <row r="728" spans="1:13" ht="12.5" x14ac:dyDescent="0.25">
      <c r="A728" t="str">
        <f ca="1">IFERROR(__xludf.DUMMYFUNCTION("""COMPUTED_VALUE"""),"Lim")</f>
        <v>Lim</v>
      </c>
      <c r="B728" t="str">
        <f ca="1">IFERROR(__xludf.DUMMYFUNCTION("""COMPUTED_VALUE"""),"Kusuma")</f>
        <v>Kusuma</v>
      </c>
      <c r="C728" t="str">
        <f ca="1">IFERROR(__xludf.DUMMYFUNCTION("""COMPUTED_VALUE"""),"Kusuma@icloudx.com")</f>
        <v>Kusuma@icloudx.com</v>
      </c>
      <c r="D728" t="str">
        <f ca="1">IFERROR(__xludf.DUMMYFUNCTION("""COMPUTED_VALUE"""),"Sibolga")</f>
        <v>Sibolga</v>
      </c>
      <c r="E728" s="12">
        <f ca="1">IFERROR(__xludf.DUMMYFUNCTION("""COMPUTED_VALUE"""),42530)</f>
        <v>42530</v>
      </c>
      <c r="F728" t="str">
        <f ca="1">IFERROR(__xludf.DUMMYFUNCTION("""COMPUTED_VALUE"""),"KP0050AG")</f>
        <v>KP0050AG</v>
      </c>
      <c r="G728" s="11">
        <f ca="1">IFERROR(__xludf.DUMMYFUNCTION("""COMPUTED_VALUE"""),113750000)</f>
        <v>113750000</v>
      </c>
      <c r="H728">
        <f ca="1">IFERROR(__xludf.DUMMYFUNCTION("""COMPUTED_VALUE"""),36865)</f>
        <v>36865</v>
      </c>
      <c r="I728">
        <f ca="1">IFERROR(__xludf.DUMMYFUNCTION("""COMPUTED_VALUE"""),7)</f>
        <v>7</v>
      </c>
      <c r="J728">
        <f ca="1">IFERROR(__xludf.DUMMYFUNCTION("""COMPUTED_VALUE"""),4)</f>
        <v>4</v>
      </c>
      <c r="K728" t="str">
        <f ca="1">IFERROR(__xludf.DUMMYFUNCTION("""COMPUTED_VALUE"""),"Pru Logistic")</f>
        <v>Pru Logistic</v>
      </c>
      <c r="L728" t="str">
        <f ca="1">IFERROR(__xludf.DUMMYFUNCTION("""COMPUTED_VALUE"""),"Y")</f>
        <v>Y</v>
      </c>
      <c r="M728" t="str">
        <f ca="1">IFERROR(__xludf.DUMMYFUNCTION("""COMPUTED_VALUE"""),"mr-662")</f>
        <v>mr-662</v>
      </c>
    </row>
    <row r="729" spans="1:13" ht="12.5" x14ac:dyDescent="0.25">
      <c r="A729" t="str">
        <f ca="1">IFERROR(__xludf.DUMMYFUNCTION("""COMPUTED_VALUE"""),"Rudy")</f>
        <v>Rudy</v>
      </c>
      <c r="B729" t="str">
        <f ca="1">IFERROR(__xludf.DUMMYFUNCTION("""COMPUTED_VALUE"""),"C.")</f>
        <v>C.</v>
      </c>
      <c r="C729" t="str">
        <f ca="1">IFERROR(__xludf.DUMMYFUNCTION("""COMPUTED_VALUE"""),"C.@livex.com")</f>
        <v>C.@livex.com</v>
      </c>
      <c r="D729" t="str">
        <f ca="1">IFERROR(__xludf.DUMMYFUNCTION("""COMPUTED_VALUE"""),"Sawahlunto")</f>
        <v>Sawahlunto</v>
      </c>
      <c r="E729" s="12">
        <f ca="1">IFERROR(__xludf.DUMMYFUNCTION("""COMPUTED_VALUE"""),42530)</f>
        <v>42530</v>
      </c>
      <c r="F729" t="str">
        <f ca="1">IFERROR(__xludf.DUMMYFUNCTION("""COMPUTED_VALUE"""),"KP0850FB")</f>
        <v>KP0850FB</v>
      </c>
      <c r="G729" s="11">
        <f ca="1">IFERROR(__xludf.DUMMYFUNCTION("""COMPUTED_VALUE"""),189000000)</f>
        <v>189000000</v>
      </c>
      <c r="H729">
        <f ca="1">IFERROR(__xludf.DUMMYFUNCTION("""COMPUTED_VALUE"""),36637)</f>
        <v>36637</v>
      </c>
      <c r="I729">
        <f ca="1">IFERROR(__xludf.DUMMYFUNCTION("""COMPUTED_VALUE"""),9)</f>
        <v>9</v>
      </c>
      <c r="J729" t="str">
        <f ca="1">IFERROR(__xludf.DUMMYFUNCTION("""COMPUTED_VALUE"""),"N/A")</f>
        <v>N/A</v>
      </c>
      <c r="K729" t="str">
        <f ca="1">IFERROR(__xludf.DUMMYFUNCTION("""COMPUTED_VALUE"""),"Swift Delivery")</f>
        <v>Swift Delivery</v>
      </c>
      <c r="L729" t="str">
        <f ca="1">IFERROR(__xludf.DUMMYFUNCTION("""COMPUTED_VALUE"""),"N")</f>
        <v>N</v>
      </c>
      <c r="M729" t="str">
        <f ca="1">IFERROR(__xludf.DUMMYFUNCTION("""COMPUTED_VALUE"""),"ot-559")</f>
        <v>ot-559</v>
      </c>
    </row>
    <row r="730" spans="1:13" ht="12.5" x14ac:dyDescent="0.25">
      <c r="A730" t="str">
        <f ca="1">IFERROR(__xludf.DUMMYFUNCTION("""COMPUTED_VALUE"""),"Jimmy")</f>
        <v>Jimmy</v>
      </c>
      <c r="B730" t="str">
        <f ca="1">IFERROR(__xludf.DUMMYFUNCTION("""COMPUTED_VALUE"""),"Ulrich")</f>
        <v>Ulrich</v>
      </c>
      <c r="C730" t="str">
        <f ca="1">IFERROR(__xludf.DUMMYFUNCTION("""COMPUTED_VALUE"""),"Ulrich@gmailx.com")</f>
        <v>Ulrich@gmailx.com</v>
      </c>
      <c r="D730" t="str">
        <f ca="1">IFERROR(__xludf.DUMMYFUNCTION("""COMPUTED_VALUE"""),"Manado")</f>
        <v>Manado</v>
      </c>
      <c r="E730" s="12">
        <f ca="1">IFERROR(__xludf.DUMMYFUNCTION("""COMPUTED_VALUE"""),42469)</f>
        <v>42469</v>
      </c>
      <c r="F730" t="str">
        <f ca="1">IFERROR(__xludf.DUMMYFUNCTION("""COMPUTED_VALUE"""),"KP0050AG")</f>
        <v>KP0050AG</v>
      </c>
      <c r="G730" s="11">
        <f ca="1">IFERROR(__xludf.DUMMYFUNCTION("""COMPUTED_VALUE"""),65000000)</f>
        <v>65000000</v>
      </c>
      <c r="H730">
        <f ca="1">IFERROR(__xludf.DUMMYFUNCTION("""COMPUTED_VALUE"""),35878)</f>
        <v>35878</v>
      </c>
      <c r="I730">
        <f ca="1">IFERROR(__xludf.DUMMYFUNCTION("""COMPUTED_VALUE"""),4)</f>
        <v>4</v>
      </c>
      <c r="J730" t="str">
        <f ca="1">IFERROR(__xludf.DUMMYFUNCTION("""COMPUTED_VALUE"""),"N/A")</f>
        <v>N/A</v>
      </c>
      <c r="K730" t="str">
        <f ca="1">IFERROR(__xludf.DUMMYFUNCTION("""COMPUTED_VALUE"""),"Pru Logistic")</f>
        <v>Pru Logistic</v>
      </c>
      <c r="L730" t="str">
        <f ca="1">IFERROR(__xludf.DUMMYFUNCTION("""COMPUTED_VALUE"""),"Y")</f>
        <v>Y</v>
      </c>
      <c r="M730" t="str">
        <f ca="1">IFERROR(__xludf.DUMMYFUNCTION("""COMPUTED_VALUE"""),"tv-221")</f>
        <v>tv-221</v>
      </c>
    </row>
    <row r="731" spans="1:13" ht="12.5" x14ac:dyDescent="0.25">
      <c r="A731" t="str">
        <f ca="1">IFERROR(__xludf.DUMMYFUNCTION("""COMPUTED_VALUE"""),"Elvira")</f>
        <v>Elvira</v>
      </c>
      <c r="B731" t="str">
        <f ca="1">IFERROR(__xludf.DUMMYFUNCTION("""COMPUTED_VALUE"""),"Harris")</f>
        <v>Harris</v>
      </c>
      <c r="C731" t="str">
        <f ca="1">IFERROR(__xludf.DUMMYFUNCTION("""COMPUTED_VALUE"""),"Harris@icloudx.com")</f>
        <v>Harris@icloudx.com</v>
      </c>
      <c r="D731" t="str">
        <f ca="1">IFERROR(__xludf.DUMMYFUNCTION("""COMPUTED_VALUE"""),"Makassar")</f>
        <v>Makassar</v>
      </c>
      <c r="E731" s="12">
        <f ca="1">IFERROR(__xludf.DUMMYFUNCTION("""COMPUTED_VALUE"""),42438)</f>
        <v>42438</v>
      </c>
      <c r="F731" t="str">
        <f ca="1">IFERROR(__xludf.DUMMYFUNCTION("""COMPUTED_VALUE"""),"KP0150BH")</f>
        <v>KP0150BH</v>
      </c>
      <c r="G731" s="11">
        <f ca="1">IFERROR(__xludf.DUMMYFUNCTION("""COMPUTED_VALUE"""),135000000)</f>
        <v>135000000</v>
      </c>
      <c r="H731">
        <f ca="1">IFERROR(__xludf.DUMMYFUNCTION("""COMPUTED_VALUE"""),35918)</f>
        <v>35918</v>
      </c>
      <c r="I731">
        <f ca="1">IFERROR(__xludf.DUMMYFUNCTION("""COMPUTED_VALUE"""),5)</f>
        <v>5</v>
      </c>
      <c r="J731">
        <f ca="1">IFERROR(__xludf.DUMMYFUNCTION("""COMPUTED_VALUE"""),4)</f>
        <v>4</v>
      </c>
      <c r="K731" t="str">
        <f ca="1">IFERROR(__xludf.DUMMYFUNCTION("""COMPUTED_VALUE"""),"JENT")</f>
        <v>JENT</v>
      </c>
      <c r="L731" t="str">
        <f ca="1">IFERROR(__xludf.DUMMYFUNCTION("""COMPUTED_VALUE"""),"Y")</f>
        <v>Y</v>
      </c>
      <c r="M731" t="str">
        <f ca="1">IFERROR(__xludf.DUMMYFUNCTION("""COMPUTED_VALUE"""),"ba-290")</f>
        <v>ba-290</v>
      </c>
    </row>
    <row r="732" spans="1:13" ht="12.5" x14ac:dyDescent="0.25">
      <c r="A732" t="str">
        <f ca="1">IFERROR(__xludf.DUMMYFUNCTION("""COMPUTED_VALUE"""),"Eliezer")</f>
        <v>Eliezer</v>
      </c>
      <c r="B732" t="str">
        <f ca="1">IFERROR(__xludf.DUMMYFUNCTION("""COMPUTED_VALUE"""),"Setyaningsih")</f>
        <v>Setyaningsih</v>
      </c>
      <c r="C732" t="str">
        <f ca="1">IFERROR(__xludf.DUMMYFUNCTION("""COMPUTED_VALUE"""),"Eliezer@outlookx.com")</f>
        <v>Eliezer@outlookx.com</v>
      </c>
      <c r="D732" t="str">
        <f ca="1">IFERROR(__xludf.DUMMYFUNCTION("""COMPUTED_VALUE"""),"Bitung")</f>
        <v>Bitung</v>
      </c>
      <c r="E732" s="12">
        <f ca="1">IFERROR(__xludf.DUMMYFUNCTION("""COMPUTED_VALUE"""),42409)</f>
        <v>42409</v>
      </c>
      <c r="F732" t="str">
        <f ca="1">IFERROR(__xludf.DUMMYFUNCTION("""COMPUTED_VALUE"""),"KP0750AJ")</f>
        <v>KP0750AJ</v>
      </c>
      <c r="G732" s="11">
        <f ca="1">IFERROR(__xludf.DUMMYFUNCTION("""COMPUTED_VALUE"""),90000000)</f>
        <v>90000000</v>
      </c>
      <c r="H732">
        <f ca="1">IFERROR(__xludf.DUMMYFUNCTION("""COMPUTED_VALUE"""),35910)</f>
        <v>35910</v>
      </c>
      <c r="I732">
        <f ca="1">IFERROR(__xludf.DUMMYFUNCTION("""COMPUTED_VALUE"""),5)</f>
        <v>5</v>
      </c>
      <c r="J732" t="str">
        <f ca="1">IFERROR(__xludf.DUMMYFUNCTION("""COMPUTED_VALUE"""),"N/A")</f>
        <v>N/A</v>
      </c>
      <c r="K732" t="str">
        <f ca="1">IFERROR(__xludf.DUMMYFUNCTION("""COMPUTED_VALUE"""),"Cepat Kirim")</f>
        <v>Cepat Kirim</v>
      </c>
      <c r="L732" t="str">
        <f ca="1">IFERROR(__xludf.DUMMYFUNCTION("""COMPUTED_VALUE"""),"Y")</f>
        <v>Y</v>
      </c>
      <c r="M732" t="str">
        <f ca="1">IFERROR(__xludf.DUMMYFUNCTION("""COMPUTED_VALUE"""),"xf-221")</f>
        <v>xf-221</v>
      </c>
    </row>
    <row r="733" spans="1:13" ht="12.5" x14ac:dyDescent="0.25">
      <c r="A733" t="str">
        <f ca="1">IFERROR(__xludf.DUMMYFUNCTION("""COMPUTED_VALUE"""),"J.")</f>
        <v>J.</v>
      </c>
      <c r="B733" t="str">
        <f ca="1">IFERROR(__xludf.DUMMYFUNCTION("""COMPUTED_VALUE"""),"Djaja")</f>
        <v>Djaja</v>
      </c>
      <c r="C733" t="str">
        <f ca="1">IFERROR(__xludf.DUMMYFUNCTION("""COMPUTED_VALUE"""),"J.@ymailx.com")</f>
        <v>J.@ymailx.com</v>
      </c>
      <c r="D733" t="str">
        <f ca="1">IFERROR(__xludf.DUMMYFUNCTION("""COMPUTED_VALUE"""),"Blitar")</f>
        <v>Blitar</v>
      </c>
      <c r="E733" s="12">
        <f ca="1">IFERROR(__xludf.DUMMYFUNCTION("""COMPUTED_VALUE"""),42409)</f>
        <v>42409</v>
      </c>
      <c r="F733" t="str">
        <f ca="1">IFERROR(__xludf.DUMMYFUNCTION("""COMPUTED_VALUE"""),"KP0925SG")</f>
        <v>KP0925SG</v>
      </c>
      <c r="G733" s="11">
        <f ca="1">IFERROR(__xludf.DUMMYFUNCTION("""COMPUTED_VALUE"""),45000000)</f>
        <v>45000000</v>
      </c>
      <c r="H733">
        <f ca="1">IFERROR(__xludf.DUMMYFUNCTION("""COMPUTED_VALUE"""),35294)</f>
        <v>35294</v>
      </c>
      <c r="I733">
        <f ca="1">IFERROR(__xludf.DUMMYFUNCTION("""COMPUTED_VALUE"""),3)</f>
        <v>3</v>
      </c>
      <c r="J733" t="str">
        <f ca="1">IFERROR(__xludf.DUMMYFUNCTION("""COMPUTED_VALUE"""),"N/A")</f>
        <v>N/A</v>
      </c>
      <c r="K733" t="str">
        <f ca="1">IFERROR(__xludf.DUMMYFUNCTION("""COMPUTED_VALUE"""),"JENT")</f>
        <v>JENT</v>
      </c>
      <c r="L733" t="str">
        <f ca="1">IFERROR(__xludf.DUMMYFUNCTION("""COMPUTED_VALUE"""),"Y")</f>
        <v>Y</v>
      </c>
      <c r="M733" t="str">
        <f ca="1">IFERROR(__xludf.DUMMYFUNCTION("""COMPUTED_VALUE"""),"te-123")</f>
        <v>te-123</v>
      </c>
    </row>
    <row r="734" spans="1:13" ht="12.5" x14ac:dyDescent="0.25">
      <c r="A734" t="str">
        <f ca="1">IFERROR(__xludf.DUMMYFUNCTION("""COMPUTED_VALUE"""),"Herlinah")</f>
        <v>Herlinah</v>
      </c>
      <c r="B734" t="str">
        <f ca="1">IFERROR(__xludf.DUMMYFUNCTION("""COMPUTED_VALUE"""),"Tjiawi")</f>
        <v>Tjiawi</v>
      </c>
      <c r="C734" t="str">
        <f ca="1">IFERROR(__xludf.DUMMYFUNCTION("""COMPUTED_VALUE"""),"Herlinah@ymailx.com")</f>
        <v>Herlinah@ymailx.com</v>
      </c>
      <c r="D734" t="str">
        <f ca="1">IFERROR(__xludf.DUMMYFUNCTION("""COMPUTED_VALUE"""),"Kotamobagu")</f>
        <v>Kotamobagu</v>
      </c>
      <c r="E734" s="12">
        <f ca="1">IFERROR(__xludf.DUMMYFUNCTION("""COMPUTED_VALUE"""),42378)</f>
        <v>42378</v>
      </c>
      <c r="F734" t="str">
        <f ca="1">IFERROR(__xludf.DUMMYFUNCTION("""COMPUTED_VALUE"""),"KP0425CB")</f>
        <v>KP0425CB</v>
      </c>
      <c r="G734" s="11">
        <f ca="1">IFERROR(__xludf.DUMMYFUNCTION("""COMPUTED_VALUE"""),190750000)</f>
        <v>190750000</v>
      </c>
      <c r="H734">
        <f ca="1">IFERROR(__xludf.DUMMYFUNCTION("""COMPUTED_VALUE"""),35548)</f>
        <v>35548</v>
      </c>
      <c r="I734">
        <f ca="1">IFERROR(__xludf.DUMMYFUNCTION("""COMPUTED_VALUE"""),7)</f>
        <v>7</v>
      </c>
      <c r="J734" t="str">
        <f ca="1">IFERROR(__xludf.DUMMYFUNCTION("""COMPUTED_VALUE"""),"N/A")</f>
        <v>N/A</v>
      </c>
      <c r="K734" t="str">
        <f ca="1">IFERROR(__xludf.DUMMYFUNCTION("""COMPUTED_VALUE"""),"Swift Delivery")</f>
        <v>Swift Delivery</v>
      </c>
      <c r="L734" t="str">
        <f ca="1">IFERROR(__xludf.DUMMYFUNCTION("""COMPUTED_VALUE"""),"Y")</f>
        <v>Y</v>
      </c>
      <c r="M734" t="str">
        <f ca="1">IFERROR(__xludf.DUMMYFUNCTION("""COMPUTED_VALUE"""),"gi-221")</f>
        <v>gi-221</v>
      </c>
    </row>
    <row r="735" spans="1:13" ht="12.5" x14ac:dyDescent="0.25">
      <c r="A735" t="str">
        <f ca="1">IFERROR(__xludf.DUMMYFUNCTION("""COMPUTED_VALUE"""),"Hendrik")</f>
        <v>Hendrik</v>
      </c>
      <c r="B735" t="str">
        <f ca="1">IFERROR(__xludf.DUMMYFUNCTION("""COMPUTED_VALUE"""),"Hari")</f>
        <v>Hari</v>
      </c>
      <c r="C735" t="str">
        <f ca="1">IFERROR(__xludf.DUMMYFUNCTION("""COMPUTED_VALUE"""),"Hendrik@ymailx.com")</f>
        <v>Hendrik@ymailx.com</v>
      </c>
      <c r="D735" t="str">
        <f ca="1">IFERROR(__xludf.DUMMYFUNCTION("""COMPUTED_VALUE"""),"Sibolga")</f>
        <v>Sibolga</v>
      </c>
      <c r="E735" s="12">
        <f ca="1">IFERROR(__xludf.DUMMYFUNCTION("""COMPUTED_VALUE"""),42610)</f>
        <v>42610</v>
      </c>
      <c r="F735" t="str">
        <f ca="1">IFERROR(__xludf.DUMMYFUNCTION("""COMPUTED_VALUE"""),"KP0625AF")</f>
        <v>KP0625AF</v>
      </c>
      <c r="G735" s="11">
        <f ca="1">IFERROR(__xludf.DUMMYFUNCTION("""COMPUTED_VALUE"""),48000000)</f>
        <v>48000000</v>
      </c>
      <c r="H735">
        <f ca="1">IFERROR(__xludf.DUMMYFUNCTION("""COMPUTED_VALUE"""),35399)</f>
        <v>35399</v>
      </c>
      <c r="I735">
        <f ca="1">IFERROR(__xludf.DUMMYFUNCTION("""COMPUTED_VALUE"""),4)</f>
        <v>4</v>
      </c>
      <c r="J735" t="str">
        <f ca="1">IFERROR(__xludf.DUMMYFUNCTION("""COMPUTED_VALUE"""),"N/A")</f>
        <v>N/A</v>
      </c>
      <c r="K735" t="str">
        <f ca="1">IFERROR(__xludf.DUMMYFUNCTION("""COMPUTED_VALUE"""),"Wakanda Express")</f>
        <v>Wakanda Express</v>
      </c>
      <c r="L735" t="str">
        <f ca="1">IFERROR(__xludf.DUMMYFUNCTION("""COMPUTED_VALUE"""),"Y")</f>
        <v>Y</v>
      </c>
      <c r="M735" t="str">
        <f ca="1">IFERROR(__xludf.DUMMYFUNCTION("""COMPUTED_VALUE"""),"rm-662")</f>
        <v>rm-662</v>
      </c>
    </row>
    <row r="736" spans="1:13" ht="12.5" x14ac:dyDescent="0.25">
      <c r="A736" t="str">
        <f ca="1">IFERROR(__xludf.DUMMYFUNCTION("""COMPUTED_VALUE"""),"Bengt")</f>
        <v>Bengt</v>
      </c>
      <c r="B736" t="str">
        <f ca="1">IFERROR(__xludf.DUMMYFUNCTION("""COMPUTED_VALUE"""),"Consulting")</f>
        <v>Consulting</v>
      </c>
      <c r="C736" t="str">
        <f ca="1">IFERROR(__xludf.DUMMYFUNCTION("""COMPUTED_VALUE"""),"Consulting@outlookx.com")</f>
        <v>Consulting@outlookx.com</v>
      </c>
      <c r="D736" t="str">
        <f ca="1">IFERROR(__xludf.DUMMYFUNCTION("""COMPUTED_VALUE"""),"Padangpanjang")</f>
        <v>Padangpanjang</v>
      </c>
      <c r="E736" s="12">
        <f ca="1">IFERROR(__xludf.DUMMYFUNCTION("""COMPUTED_VALUE"""),42609)</f>
        <v>42609</v>
      </c>
      <c r="F736" t="str">
        <f ca="1">IFERROR(__xludf.DUMMYFUNCTION("""COMPUTED_VALUE"""),"KP0425CB")</f>
        <v>KP0425CB</v>
      </c>
      <c r="G736" s="11">
        <f ca="1">IFERROR(__xludf.DUMMYFUNCTION("""COMPUTED_VALUE"""),218000000)</f>
        <v>218000000</v>
      </c>
      <c r="H736">
        <f ca="1">IFERROR(__xludf.DUMMYFUNCTION("""COMPUTED_VALUE"""),36936)</f>
        <v>36936</v>
      </c>
      <c r="I736">
        <f ca="1">IFERROR(__xludf.DUMMYFUNCTION("""COMPUTED_VALUE"""),8)</f>
        <v>8</v>
      </c>
      <c r="J736" t="str">
        <f ca="1">IFERROR(__xludf.DUMMYFUNCTION("""COMPUTED_VALUE"""),"N/A")</f>
        <v>N/A</v>
      </c>
      <c r="K736" t="str">
        <f ca="1">IFERROR(__xludf.DUMMYFUNCTION("""COMPUTED_VALUE"""),"Swift Delivery")</f>
        <v>Swift Delivery</v>
      </c>
      <c r="L736" t="str">
        <f ca="1">IFERROR(__xludf.DUMMYFUNCTION("""COMPUTED_VALUE"""),"Y")</f>
        <v>Y</v>
      </c>
      <c r="M736" t="str">
        <f ca="1">IFERROR(__xludf.DUMMYFUNCTION("""COMPUTED_VALUE"""),"ku-559")</f>
        <v>ku-559</v>
      </c>
    </row>
    <row r="737" spans="1:13" ht="12.5" x14ac:dyDescent="0.25">
      <c r="A737" t="str">
        <f ca="1">IFERROR(__xludf.DUMMYFUNCTION("""COMPUTED_VALUE"""),"Gladys")</f>
        <v>Gladys</v>
      </c>
      <c r="B737" t="str">
        <f ca="1">IFERROR(__xludf.DUMMYFUNCTION("""COMPUTED_VALUE"""),"Samantha")</f>
        <v>Samantha</v>
      </c>
      <c r="C737" t="str">
        <f ca="1">IFERROR(__xludf.DUMMYFUNCTION("""COMPUTED_VALUE"""),"Samantha@ymailx.com")</f>
        <v>Samantha@ymailx.com</v>
      </c>
      <c r="D737" t="str">
        <f ca="1">IFERROR(__xludf.DUMMYFUNCTION("""COMPUTED_VALUE"""),"Lubuklinggau")</f>
        <v>Lubuklinggau</v>
      </c>
      <c r="E737" s="12">
        <f ca="1">IFERROR(__xludf.DUMMYFUNCTION("""COMPUTED_VALUE"""),42609)</f>
        <v>42609</v>
      </c>
      <c r="F737" t="str">
        <f ca="1">IFERROR(__xludf.DUMMYFUNCTION("""COMPUTED_VALUE"""),"KP0625AF")</f>
        <v>KP0625AF</v>
      </c>
      <c r="G737" s="11">
        <f ca="1">IFERROR(__xludf.DUMMYFUNCTION("""COMPUTED_VALUE"""),84000000)</f>
        <v>84000000</v>
      </c>
      <c r="H737">
        <f ca="1">IFERROR(__xludf.DUMMYFUNCTION("""COMPUTED_VALUE"""),35135)</f>
        <v>35135</v>
      </c>
      <c r="I737">
        <f ca="1">IFERROR(__xludf.DUMMYFUNCTION("""COMPUTED_VALUE"""),7)</f>
        <v>7</v>
      </c>
      <c r="J737">
        <f ca="1">IFERROR(__xludf.DUMMYFUNCTION("""COMPUTED_VALUE"""),4)</f>
        <v>4</v>
      </c>
      <c r="K737" t="str">
        <f ca="1">IFERROR(__xludf.DUMMYFUNCTION("""COMPUTED_VALUE"""),"JENT")</f>
        <v>JENT</v>
      </c>
      <c r="L737" t="str">
        <f ca="1">IFERROR(__xludf.DUMMYFUNCTION("""COMPUTED_VALUE"""),"Y")</f>
        <v>Y</v>
      </c>
      <c r="M737" t="str">
        <f ca="1">IFERROR(__xludf.DUMMYFUNCTION("""COMPUTED_VALUE"""),"lx-661")</f>
        <v>lx-661</v>
      </c>
    </row>
    <row r="738" spans="1:13" ht="12.5" x14ac:dyDescent="0.25">
      <c r="A738" t="str">
        <f ca="1">IFERROR(__xludf.DUMMYFUNCTION("""COMPUTED_VALUE"""),"Bong")</f>
        <v>Bong</v>
      </c>
      <c r="B738" t="str">
        <f ca="1">IFERROR(__xludf.DUMMYFUNCTION("""COMPUTED_VALUE"""),"Bagus")</f>
        <v>Bagus</v>
      </c>
      <c r="C738" t="str">
        <f ca="1">IFERROR(__xludf.DUMMYFUNCTION("""COMPUTED_VALUE"""),"Bagus@ymailx.com")</f>
        <v>Bagus@ymailx.com</v>
      </c>
      <c r="D738" t="str">
        <f ca="1">IFERROR(__xludf.DUMMYFUNCTION("""COMPUTED_VALUE"""),"Pekalongan")</f>
        <v>Pekalongan</v>
      </c>
      <c r="E738" s="12">
        <f ca="1">IFERROR(__xludf.DUMMYFUNCTION("""COMPUTED_VALUE"""),42609)</f>
        <v>42609</v>
      </c>
      <c r="F738" t="str">
        <f ca="1">IFERROR(__xludf.DUMMYFUNCTION("""COMPUTED_VALUE"""),"KP0150BH")</f>
        <v>KP0150BH</v>
      </c>
      <c r="G738" s="11">
        <f ca="1">IFERROR(__xludf.DUMMYFUNCTION("""COMPUTED_VALUE"""),135000000)</f>
        <v>135000000</v>
      </c>
      <c r="H738">
        <f ca="1">IFERROR(__xludf.DUMMYFUNCTION("""COMPUTED_VALUE"""),35022)</f>
        <v>35022</v>
      </c>
      <c r="I738">
        <f ca="1">IFERROR(__xludf.DUMMYFUNCTION("""COMPUTED_VALUE"""),5)</f>
        <v>5</v>
      </c>
      <c r="J738" t="str">
        <f ca="1">IFERROR(__xludf.DUMMYFUNCTION("""COMPUTED_VALUE"""),"N/A")</f>
        <v>N/A</v>
      </c>
      <c r="K738" t="str">
        <f ca="1">IFERROR(__xludf.DUMMYFUNCTION("""COMPUTED_VALUE"""),"Swift Delivery")</f>
        <v>Swift Delivery</v>
      </c>
      <c r="L738" t="str">
        <f ca="1">IFERROR(__xludf.DUMMYFUNCTION("""COMPUTED_VALUE"""),"Y")</f>
        <v>Y</v>
      </c>
      <c r="M738" t="str">
        <f ca="1">IFERROR(__xludf.DUMMYFUNCTION("""COMPUTED_VALUE"""),"ns-410")</f>
        <v>ns-410</v>
      </c>
    </row>
    <row r="739" spans="1:13" ht="12.5" x14ac:dyDescent="0.25">
      <c r="A739" t="str">
        <f ca="1">IFERROR(__xludf.DUMMYFUNCTION("""COMPUTED_VALUE"""),"Cindy")</f>
        <v>Cindy</v>
      </c>
      <c r="B739" t="str">
        <f ca="1">IFERROR(__xludf.DUMMYFUNCTION("""COMPUTED_VALUE"""),"Lestari")</f>
        <v>Lestari</v>
      </c>
      <c r="C739" t="str">
        <f ca="1">IFERROR(__xludf.DUMMYFUNCTION("""COMPUTED_VALUE"""),"Lestari@gmailx.com")</f>
        <v>Lestari@gmailx.com</v>
      </c>
      <c r="D739" t="str">
        <f ca="1">IFERROR(__xludf.DUMMYFUNCTION("""COMPUTED_VALUE"""),"Magelang")</f>
        <v>Magelang</v>
      </c>
      <c r="E739" s="12">
        <f ca="1">IFERROR(__xludf.DUMMYFUNCTION("""COMPUTED_VALUE"""),42608)</f>
        <v>42608</v>
      </c>
      <c r="F739" t="str">
        <f ca="1">IFERROR(__xludf.DUMMYFUNCTION("""COMPUTED_VALUE"""),"KP0925SG")</f>
        <v>KP0925SG</v>
      </c>
      <c r="G739" s="11">
        <f ca="1">IFERROR(__xludf.DUMMYFUNCTION("""COMPUTED_VALUE"""),105000000)</f>
        <v>105000000</v>
      </c>
      <c r="H739">
        <f ca="1">IFERROR(__xludf.DUMMYFUNCTION("""COMPUTED_VALUE"""),36001)</f>
        <v>36001</v>
      </c>
      <c r="I739">
        <f ca="1">IFERROR(__xludf.DUMMYFUNCTION("""COMPUTED_VALUE"""),7)</f>
        <v>7</v>
      </c>
      <c r="J739" t="str">
        <f ca="1">IFERROR(__xludf.DUMMYFUNCTION("""COMPUTED_VALUE"""),"N/A")</f>
        <v>N/A</v>
      </c>
      <c r="K739" t="str">
        <f ca="1">IFERROR(__xludf.DUMMYFUNCTION("""COMPUTED_VALUE"""),"Swift Delivery")</f>
        <v>Swift Delivery</v>
      </c>
      <c r="L739" t="str">
        <f ca="1">IFERROR(__xludf.DUMMYFUNCTION("""COMPUTED_VALUE"""),"Y")</f>
        <v>Y</v>
      </c>
      <c r="M739" t="str">
        <f ca="1">IFERROR(__xludf.DUMMYFUNCTION("""COMPUTED_VALUE"""),"wy-410")</f>
        <v>wy-410</v>
      </c>
    </row>
    <row r="740" spans="1:13" ht="12.5" x14ac:dyDescent="0.25">
      <c r="A740" t="str">
        <f ca="1">IFERROR(__xludf.DUMMYFUNCTION("""COMPUTED_VALUE"""),"Chander")</f>
        <v>Chander</v>
      </c>
      <c r="B740" t="str">
        <f ca="1">IFERROR(__xludf.DUMMYFUNCTION("""COMPUTED_VALUE"""),"Gobel")</f>
        <v>Gobel</v>
      </c>
      <c r="C740" t="str">
        <f ca="1">IFERROR(__xludf.DUMMYFUNCTION("""COMPUTED_VALUE"""),"Gobel@livex.com")</f>
        <v>Gobel@livex.com</v>
      </c>
      <c r="D740" t="str">
        <f ca="1">IFERROR(__xludf.DUMMYFUNCTION("""COMPUTED_VALUE"""),"Bima")</f>
        <v>Bima</v>
      </c>
      <c r="E740" s="12">
        <f ca="1">IFERROR(__xludf.DUMMYFUNCTION("""COMPUTED_VALUE"""),42608)</f>
        <v>42608</v>
      </c>
      <c r="F740" t="str">
        <f ca="1">IFERROR(__xludf.DUMMYFUNCTION("""COMPUTED_VALUE"""),"KP0150BH")</f>
        <v>KP0150BH</v>
      </c>
      <c r="G740" s="11">
        <f ca="1">IFERROR(__xludf.DUMMYFUNCTION("""COMPUTED_VALUE"""),54000000)</f>
        <v>54000000</v>
      </c>
      <c r="H740">
        <f ca="1">IFERROR(__xludf.DUMMYFUNCTION("""COMPUTED_VALUE"""),35372)</f>
        <v>35372</v>
      </c>
      <c r="I740">
        <f ca="1">IFERROR(__xludf.DUMMYFUNCTION("""COMPUTED_VALUE"""),2)</f>
        <v>2</v>
      </c>
      <c r="J740">
        <f ca="1">IFERROR(__xludf.DUMMYFUNCTION("""COMPUTED_VALUE"""),4)</f>
        <v>4</v>
      </c>
      <c r="K740" t="str">
        <f ca="1">IFERROR(__xludf.DUMMYFUNCTION("""COMPUTED_VALUE"""),"Cepat Kirim")</f>
        <v>Cepat Kirim</v>
      </c>
      <c r="L740" t="str">
        <f ca="1">IFERROR(__xludf.DUMMYFUNCTION("""COMPUTED_VALUE"""),"Y")</f>
        <v>Y</v>
      </c>
      <c r="M740" t="str">
        <f ca="1">IFERROR(__xludf.DUMMYFUNCTION("""COMPUTED_VALUE"""),"xe-183")</f>
        <v>xe-183</v>
      </c>
    </row>
    <row r="741" spans="1:13" ht="12.5" x14ac:dyDescent="0.25">
      <c r="A741" t="str">
        <f ca="1">IFERROR(__xludf.DUMMYFUNCTION("""COMPUTED_VALUE"""),"Jeffrey")</f>
        <v>Jeffrey</v>
      </c>
      <c r="B741" t="str">
        <f ca="1">IFERROR(__xludf.DUMMYFUNCTION("""COMPUTED_VALUE"""),"Suwarno")</f>
        <v>Suwarno</v>
      </c>
      <c r="C741" t="str">
        <f ca="1">IFERROR(__xludf.DUMMYFUNCTION("""COMPUTED_VALUE"""),"Jeffrey@ymailx.com")</f>
        <v>Jeffrey@ymailx.com</v>
      </c>
      <c r="D741" t="str">
        <f ca="1">IFERROR(__xludf.DUMMYFUNCTION("""COMPUTED_VALUE"""),"Pangkalpinang")</f>
        <v>Pangkalpinang</v>
      </c>
      <c r="E741" s="12">
        <f ca="1">IFERROR(__xludf.DUMMYFUNCTION("""COMPUTED_VALUE"""),42608)</f>
        <v>42608</v>
      </c>
      <c r="F741" t="str">
        <f ca="1">IFERROR(__xludf.DUMMYFUNCTION("""COMPUTED_VALUE"""),"KP0050AG")</f>
        <v>KP0050AG</v>
      </c>
      <c r="G741" s="11">
        <f ca="1">IFERROR(__xludf.DUMMYFUNCTION("""COMPUTED_VALUE"""),48750000)</f>
        <v>48750000</v>
      </c>
      <c r="H741">
        <f ca="1">IFERROR(__xludf.DUMMYFUNCTION("""COMPUTED_VALUE"""),36702)</f>
        <v>36702</v>
      </c>
      <c r="I741">
        <f ca="1">IFERROR(__xludf.DUMMYFUNCTION("""COMPUTED_VALUE"""),3)</f>
        <v>3</v>
      </c>
      <c r="J741" t="str">
        <f ca="1">IFERROR(__xludf.DUMMYFUNCTION("""COMPUTED_VALUE"""),"N/A")</f>
        <v>N/A</v>
      </c>
      <c r="K741" t="str">
        <f ca="1">IFERROR(__xludf.DUMMYFUNCTION("""COMPUTED_VALUE"""),"Wakanda Express")</f>
        <v>Wakanda Express</v>
      </c>
      <c r="L741" t="str">
        <f ca="1">IFERROR(__xludf.DUMMYFUNCTION("""COMPUTED_VALUE"""),"Y")</f>
        <v>Y</v>
      </c>
      <c r="M741" t="str">
        <f ca="1">IFERROR(__xludf.DUMMYFUNCTION("""COMPUTED_VALUE"""),"el-120")</f>
        <v>el-120</v>
      </c>
    </row>
    <row r="742" spans="1:13" ht="12.5" x14ac:dyDescent="0.25">
      <c r="A742" t="str">
        <f ca="1">IFERROR(__xludf.DUMMYFUNCTION("""COMPUTED_VALUE"""),"Ahmades")</f>
        <v>Ahmades</v>
      </c>
      <c r="B742" t="str">
        <f ca="1">IFERROR(__xludf.DUMMYFUNCTION("""COMPUTED_VALUE"""),"Muchtar")</f>
        <v>Muchtar</v>
      </c>
      <c r="C742" t="str">
        <f ca="1">IFERROR(__xludf.DUMMYFUNCTION("""COMPUTED_VALUE"""),"Ahmades@ymailx.com")</f>
        <v>Ahmades@ymailx.com</v>
      </c>
      <c r="D742" t="str">
        <f ca="1">IFERROR(__xludf.DUMMYFUNCTION("""COMPUTED_VALUE"""),"Kendari")</f>
        <v>Kendari</v>
      </c>
      <c r="E742" s="12">
        <f ca="1">IFERROR(__xludf.DUMMYFUNCTION("""COMPUTED_VALUE"""),42605)</f>
        <v>42605</v>
      </c>
      <c r="F742" t="str">
        <f ca="1">IFERROR(__xludf.DUMMYFUNCTION("""COMPUTED_VALUE"""),"KP0150BH")</f>
        <v>KP0150BH</v>
      </c>
      <c r="G742" s="11">
        <f ca="1">IFERROR(__xludf.DUMMYFUNCTION("""COMPUTED_VALUE"""),243000000)</f>
        <v>243000000</v>
      </c>
      <c r="H742">
        <f ca="1">IFERROR(__xludf.DUMMYFUNCTION("""COMPUTED_VALUE"""),36415)</f>
        <v>36415</v>
      </c>
      <c r="I742">
        <f ca="1">IFERROR(__xludf.DUMMYFUNCTION("""COMPUTED_VALUE"""),9)</f>
        <v>9</v>
      </c>
      <c r="J742" t="str">
        <f ca="1">IFERROR(__xludf.DUMMYFUNCTION("""COMPUTED_VALUE"""),"N/A")</f>
        <v>N/A</v>
      </c>
      <c r="K742" t="str">
        <f ca="1">IFERROR(__xludf.DUMMYFUNCTION("""COMPUTED_VALUE"""),"JENT")</f>
        <v>JENT</v>
      </c>
      <c r="L742" t="str">
        <f ca="1">IFERROR(__xludf.DUMMYFUNCTION("""COMPUTED_VALUE"""),"Y")</f>
        <v>Y</v>
      </c>
      <c r="M742" t="str">
        <f ca="1">IFERROR(__xludf.DUMMYFUNCTION("""COMPUTED_VALUE"""),"zs-250")</f>
        <v>zs-250</v>
      </c>
    </row>
    <row r="743" spans="1:13" ht="12.5" x14ac:dyDescent="0.25">
      <c r="A743" t="str">
        <f ca="1">IFERROR(__xludf.DUMMYFUNCTION("""COMPUTED_VALUE"""),"Henny")</f>
        <v>Henny</v>
      </c>
      <c r="B743" t="str">
        <f ca="1">IFERROR(__xludf.DUMMYFUNCTION("""COMPUTED_VALUE"""),"Winarko")</f>
        <v>Winarko</v>
      </c>
      <c r="C743" t="str">
        <f ca="1">IFERROR(__xludf.DUMMYFUNCTION("""COMPUTED_VALUE"""),"Henny@ymailx.com")</f>
        <v>Henny@ymailx.com</v>
      </c>
      <c r="D743" t="str">
        <f ca="1">IFERROR(__xludf.DUMMYFUNCTION("""COMPUTED_VALUE"""),"Tegal")</f>
        <v>Tegal</v>
      </c>
      <c r="E743" s="12">
        <f ca="1">IFERROR(__xludf.DUMMYFUNCTION("""COMPUTED_VALUE"""),42604)</f>
        <v>42604</v>
      </c>
      <c r="F743" t="str">
        <f ca="1">IFERROR(__xludf.DUMMYFUNCTION("""COMPUTED_VALUE"""),"KP0850FB")</f>
        <v>KP0850FB</v>
      </c>
      <c r="G743" s="11">
        <f ca="1">IFERROR(__xludf.DUMMYFUNCTION("""COMPUTED_VALUE"""),84000000)</f>
        <v>84000000</v>
      </c>
      <c r="H743">
        <f ca="1">IFERROR(__xludf.DUMMYFUNCTION("""COMPUTED_VALUE"""),36431)</f>
        <v>36431</v>
      </c>
      <c r="I743">
        <f ca="1">IFERROR(__xludf.DUMMYFUNCTION("""COMPUTED_VALUE"""),4)</f>
        <v>4</v>
      </c>
      <c r="J743" t="str">
        <f ca="1">IFERROR(__xludf.DUMMYFUNCTION("""COMPUTED_VALUE"""),"N/A")</f>
        <v>N/A</v>
      </c>
      <c r="K743" t="str">
        <f ca="1">IFERROR(__xludf.DUMMYFUNCTION("""COMPUTED_VALUE"""),"Wakanda Express")</f>
        <v>Wakanda Express</v>
      </c>
      <c r="L743" t="str">
        <f ca="1">IFERROR(__xludf.DUMMYFUNCTION("""COMPUTED_VALUE"""),"Y")</f>
        <v>Y</v>
      </c>
      <c r="M743" t="str">
        <f ca="1">IFERROR(__xludf.DUMMYFUNCTION("""COMPUTED_VALUE"""),"pq-410")</f>
        <v>pq-410</v>
      </c>
    </row>
    <row r="744" spans="1:13" ht="12.5" x14ac:dyDescent="0.25">
      <c r="A744" t="str">
        <f ca="1">IFERROR(__xludf.DUMMYFUNCTION("""COMPUTED_VALUE"""),"Irmayani")</f>
        <v>Irmayani</v>
      </c>
      <c r="B744" t="str">
        <f ca="1">IFERROR(__xludf.DUMMYFUNCTION("""COMPUTED_VALUE"""),"Suginawan")</f>
        <v>Suginawan</v>
      </c>
      <c r="C744" t="str">
        <f ca="1">IFERROR(__xludf.DUMMYFUNCTION("""COMPUTED_VALUE"""),"IRMAYANI@gmailx.com")</f>
        <v>IRMAYANI@gmailx.com</v>
      </c>
      <c r="D744" t="str">
        <f ca="1">IFERROR(__xludf.DUMMYFUNCTION("""COMPUTED_VALUE"""),"Probolinggo")</f>
        <v>Probolinggo</v>
      </c>
      <c r="E744" s="12">
        <f ca="1">IFERROR(__xludf.DUMMYFUNCTION("""COMPUTED_VALUE"""),42603)</f>
        <v>42603</v>
      </c>
      <c r="F744" t="str">
        <f ca="1">IFERROR(__xludf.DUMMYFUNCTION("""COMPUTED_VALUE"""),"KP0625AF")</f>
        <v>KP0625AF</v>
      </c>
      <c r="G744" s="11">
        <f ca="1">IFERROR(__xludf.DUMMYFUNCTION("""COMPUTED_VALUE"""),84000000)</f>
        <v>84000000</v>
      </c>
      <c r="H744">
        <f ca="1">IFERROR(__xludf.DUMMYFUNCTION("""COMPUTED_VALUE"""),36839)</f>
        <v>36839</v>
      </c>
      <c r="I744">
        <f ca="1">IFERROR(__xludf.DUMMYFUNCTION("""COMPUTED_VALUE"""),7)</f>
        <v>7</v>
      </c>
      <c r="J744" t="str">
        <f ca="1">IFERROR(__xludf.DUMMYFUNCTION("""COMPUTED_VALUE"""),"N/A")</f>
        <v>N/A</v>
      </c>
      <c r="K744" t="str">
        <f ca="1">IFERROR(__xludf.DUMMYFUNCTION("""COMPUTED_VALUE"""),"Wakanda Express")</f>
        <v>Wakanda Express</v>
      </c>
      <c r="L744" t="str">
        <f ca="1">IFERROR(__xludf.DUMMYFUNCTION("""COMPUTED_VALUE"""),"Y")</f>
        <v>Y</v>
      </c>
      <c r="M744" t="str">
        <f ca="1">IFERROR(__xludf.DUMMYFUNCTION("""COMPUTED_VALUE"""),"mc-123")</f>
        <v>mc-123</v>
      </c>
    </row>
    <row r="745" spans="1:13" ht="12.5" x14ac:dyDescent="0.25">
      <c r="A745" t="str">
        <f ca="1">IFERROR(__xludf.DUMMYFUNCTION("""COMPUTED_VALUE"""),"Hilton")</f>
        <v>Hilton</v>
      </c>
      <c r="B745" t="str">
        <f ca="1">IFERROR(__xludf.DUMMYFUNCTION("""COMPUTED_VALUE"""),"Darsono")</f>
        <v>Darsono</v>
      </c>
      <c r="C745" t="str">
        <f ca="1">IFERROR(__xludf.DUMMYFUNCTION("""COMPUTED_VALUE"""),"Darsono@ymailx.com")</f>
        <v>Darsono@ymailx.com</v>
      </c>
      <c r="D745" t="str">
        <f ca="1">IFERROR(__xludf.DUMMYFUNCTION("""COMPUTED_VALUE"""),"Jakarta Timur")</f>
        <v>Jakarta Timur</v>
      </c>
      <c r="E745" s="12">
        <f ca="1">IFERROR(__xludf.DUMMYFUNCTION("""COMPUTED_VALUE"""),42601)</f>
        <v>42601</v>
      </c>
      <c r="F745" t="str">
        <f ca="1">IFERROR(__xludf.DUMMYFUNCTION("""COMPUTED_VALUE"""),"KP0050AG")</f>
        <v>KP0050AG</v>
      </c>
      <c r="G745" s="11">
        <f ca="1">IFERROR(__xludf.DUMMYFUNCTION("""COMPUTED_VALUE"""),130000000)</f>
        <v>130000000</v>
      </c>
      <c r="H745">
        <f ca="1">IFERROR(__xludf.DUMMYFUNCTION("""COMPUTED_VALUE"""),36727)</f>
        <v>36727</v>
      </c>
      <c r="I745">
        <f ca="1">IFERROR(__xludf.DUMMYFUNCTION("""COMPUTED_VALUE"""),8)</f>
        <v>8</v>
      </c>
      <c r="J745" t="str">
        <f ca="1">IFERROR(__xludf.DUMMYFUNCTION("""COMPUTED_VALUE"""),"N/A")</f>
        <v>N/A</v>
      </c>
      <c r="K745" t="str">
        <f ca="1">IFERROR(__xludf.DUMMYFUNCTION("""COMPUTED_VALUE"""),"Cepat Kirim")</f>
        <v>Cepat Kirim</v>
      </c>
      <c r="L745" t="str">
        <f ca="1">IFERROR(__xludf.DUMMYFUNCTION("""COMPUTED_VALUE"""),"Y")</f>
        <v>Y</v>
      </c>
      <c r="M745" t="str">
        <f ca="1">IFERROR(__xludf.DUMMYFUNCTION("""COMPUTED_VALUE"""),"cd-333")</f>
        <v>cd-333</v>
      </c>
    </row>
    <row r="746" spans="1:13" ht="12.5" x14ac:dyDescent="0.25">
      <c r="A746" t="str">
        <f ca="1">IFERROR(__xludf.DUMMYFUNCTION("""COMPUTED_VALUE"""),"Vivi")</f>
        <v>Vivi</v>
      </c>
      <c r="B746" t="str">
        <f ca="1">IFERROR(__xludf.DUMMYFUNCTION("""COMPUTED_VALUE"""),"Hottama")</f>
        <v>Hottama</v>
      </c>
      <c r="C746" t="str">
        <f ca="1">IFERROR(__xludf.DUMMYFUNCTION("""COMPUTED_VALUE"""),"Vivi@gmailx.com")</f>
        <v>Vivi@gmailx.com</v>
      </c>
      <c r="D746" t="str">
        <f ca="1">IFERROR(__xludf.DUMMYFUNCTION("""COMPUTED_VALUE"""),"Surabaya")</f>
        <v>Surabaya</v>
      </c>
      <c r="E746" s="12">
        <f ca="1">IFERROR(__xludf.DUMMYFUNCTION("""COMPUTED_VALUE"""),42601)</f>
        <v>42601</v>
      </c>
      <c r="F746" t="str">
        <f ca="1">IFERROR(__xludf.DUMMYFUNCTION("""COMPUTED_VALUE"""),"KP0625AF")</f>
        <v>KP0625AF</v>
      </c>
      <c r="G746" s="11">
        <f ca="1">IFERROR(__xludf.DUMMYFUNCTION("""COMPUTED_VALUE"""),108000000)</f>
        <v>108000000</v>
      </c>
      <c r="H746">
        <f ca="1">IFERROR(__xludf.DUMMYFUNCTION("""COMPUTED_VALUE"""),36913)</f>
        <v>36913</v>
      </c>
      <c r="I746">
        <f ca="1">IFERROR(__xludf.DUMMYFUNCTION("""COMPUTED_VALUE"""),9)</f>
        <v>9</v>
      </c>
      <c r="J746">
        <f ca="1">IFERROR(__xludf.DUMMYFUNCTION("""COMPUTED_VALUE"""),4)</f>
        <v>4</v>
      </c>
      <c r="K746" t="str">
        <f ca="1">IFERROR(__xludf.DUMMYFUNCTION("""COMPUTED_VALUE"""),"#N/A")</f>
        <v>#N/A</v>
      </c>
      <c r="L746" t="str">
        <f ca="1">IFERROR(__xludf.DUMMYFUNCTION("""COMPUTED_VALUE"""),"N")</f>
        <v>N</v>
      </c>
      <c r="M746" t="str">
        <f ca="1">IFERROR(__xludf.DUMMYFUNCTION("""COMPUTED_VALUE"""),"yy-123")</f>
        <v>yy-123</v>
      </c>
    </row>
    <row r="747" spans="1:13" ht="12.5" x14ac:dyDescent="0.25">
      <c r="A747" t="str">
        <f ca="1">IFERROR(__xludf.DUMMYFUNCTION("""COMPUTED_VALUE"""),"Andreas")</f>
        <v>Andreas</v>
      </c>
      <c r="B747" t="str">
        <f ca="1">IFERROR(__xludf.DUMMYFUNCTION("""COMPUTED_VALUE"""),"Sandi")</f>
        <v>Sandi</v>
      </c>
      <c r="C747" t="str">
        <f ca="1">IFERROR(__xludf.DUMMYFUNCTION("""COMPUTED_VALUE"""),"Andreas@gmailx.com")</f>
        <v>Andreas@gmailx.com</v>
      </c>
      <c r="D747" t="str">
        <f ca="1">IFERROR(__xludf.DUMMYFUNCTION("""COMPUTED_VALUE"""),"Magelang")</f>
        <v>Magelang</v>
      </c>
      <c r="E747" s="12">
        <f ca="1">IFERROR(__xludf.DUMMYFUNCTION("""COMPUTED_VALUE"""),42597)</f>
        <v>42597</v>
      </c>
      <c r="F747" t="str">
        <f ca="1">IFERROR(__xludf.DUMMYFUNCTION("""COMPUTED_VALUE"""),"KP0625AF")</f>
        <v>KP0625AF</v>
      </c>
      <c r="G747" s="11">
        <f ca="1">IFERROR(__xludf.DUMMYFUNCTION("""COMPUTED_VALUE"""),24000000)</f>
        <v>24000000</v>
      </c>
      <c r="H747">
        <f ca="1">IFERROR(__xludf.DUMMYFUNCTION("""COMPUTED_VALUE"""),36036)</f>
        <v>36036</v>
      </c>
      <c r="I747">
        <f ca="1">IFERROR(__xludf.DUMMYFUNCTION("""COMPUTED_VALUE"""),2)</f>
        <v>2</v>
      </c>
      <c r="J747">
        <f ca="1">IFERROR(__xludf.DUMMYFUNCTION("""COMPUTED_VALUE"""),5)</f>
        <v>5</v>
      </c>
      <c r="K747" t="str">
        <f ca="1">IFERROR(__xludf.DUMMYFUNCTION("""COMPUTED_VALUE"""),"Pru Logistic")</f>
        <v>Pru Logistic</v>
      </c>
      <c r="L747" t="str">
        <f ca="1">IFERROR(__xludf.DUMMYFUNCTION("""COMPUTED_VALUE"""),"Y")</f>
        <v>Y</v>
      </c>
      <c r="M747" t="str">
        <f ca="1">IFERROR(__xludf.DUMMYFUNCTION("""COMPUTED_VALUE"""),"fp-410")</f>
        <v>fp-410</v>
      </c>
    </row>
    <row r="748" spans="1:13" ht="12.5" x14ac:dyDescent="0.25">
      <c r="A748" t="str">
        <f ca="1">IFERROR(__xludf.DUMMYFUNCTION("""COMPUTED_VALUE"""),"Budiman")</f>
        <v>Budiman</v>
      </c>
      <c r="B748" t="str">
        <f ca="1">IFERROR(__xludf.DUMMYFUNCTION("""COMPUTED_VALUE"""),"Irsjad")</f>
        <v>Irsjad</v>
      </c>
      <c r="C748" t="str">
        <f ca="1">IFERROR(__xludf.DUMMYFUNCTION("""COMPUTED_VALUE"""),"IRSJAD@gmailx.com")</f>
        <v>IRSJAD@gmailx.com</v>
      </c>
      <c r="D748" t="str">
        <f ca="1">IFERROR(__xludf.DUMMYFUNCTION("""COMPUTED_VALUE"""),"Kediri")</f>
        <v>Kediri</v>
      </c>
      <c r="E748" s="12">
        <f ca="1">IFERROR(__xludf.DUMMYFUNCTION("""COMPUTED_VALUE"""),42596)</f>
        <v>42596</v>
      </c>
      <c r="F748" t="str">
        <f ca="1">IFERROR(__xludf.DUMMYFUNCTION("""COMPUTED_VALUE"""),"KP0750AJ")</f>
        <v>KP0750AJ</v>
      </c>
      <c r="G748" s="11">
        <f ca="1">IFERROR(__xludf.DUMMYFUNCTION("""COMPUTED_VALUE"""),180000000)</f>
        <v>180000000</v>
      </c>
      <c r="H748">
        <f ca="1">IFERROR(__xludf.DUMMYFUNCTION("""COMPUTED_VALUE"""),36887)</f>
        <v>36887</v>
      </c>
      <c r="I748">
        <f ca="1">IFERROR(__xludf.DUMMYFUNCTION("""COMPUTED_VALUE"""),10)</f>
        <v>10</v>
      </c>
      <c r="J748" t="str">
        <f ca="1">IFERROR(__xludf.DUMMYFUNCTION("""COMPUTED_VALUE"""),"N/A")</f>
        <v>N/A</v>
      </c>
      <c r="K748" t="str">
        <f ca="1">IFERROR(__xludf.DUMMYFUNCTION("""COMPUTED_VALUE"""),"JENT")</f>
        <v>JENT</v>
      </c>
      <c r="L748" t="str">
        <f ca="1">IFERROR(__xludf.DUMMYFUNCTION("""COMPUTED_VALUE"""),"Y")</f>
        <v>Y</v>
      </c>
      <c r="M748" t="str">
        <f ca="1">IFERROR(__xludf.DUMMYFUNCTION("""COMPUTED_VALUE"""),"ni-123")</f>
        <v>ni-123</v>
      </c>
    </row>
    <row r="749" spans="1:13" ht="12.5" x14ac:dyDescent="0.25">
      <c r="A749" t="str">
        <f ca="1">IFERROR(__xludf.DUMMYFUNCTION("""COMPUTED_VALUE"""),"Johnlee")</f>
        <v>Johnlee</v>
      </c>
      <c r="B749" t="str">
        <f ca="1">IFERROR(__xludf.DUMMYFUNCTION("""COMPUTED_VALUE"""),"Sukardi")</f>
        <v>Sukardi</v>
      </c>
      <c r="C749" t="str">
        <f ca="1">IFERROR(__xludf.DUMMYFUNCTION("""COMPUTED_VALUE"""),"Johnlee@ymailx.com")</f>
        <v>Johnlee@ymailx.com</v>
      </c>
      <c r="D749" t="str">
        <f ca="1">IFERROR(__xludf.DUMMYFUNCTION("""COMPUTED_VALUE"""),"Tebingtinggi")</f>
        <v>Tebingtinggi</v>
      </c>
      <c r="E749" s="12">
        <f ca="1">IFERROR(__xludf.DUMMYFUNCTION("""COMPUTED_VALUE"""),42596)</f>
        <v>42596</v>
      </c>
      <c r="F749" t="str">
        <f ca="1">IFERROR(__xludf.DUMMYFUNCTION("""COMPUTED_VALUE"""),"KP0225BB")</f>
        <v>KP0225BB</v>
      </c>
      <c r="G749" s="11">
        <f ca="1">IFERROR(__xludf.DUMMYFUNCTION("""COMPUTED_VALUE"""),40000000)</f>
        <v>40000000</v>
      </c>
      <c r="H749">
        <f ca="1">IFERROR(__xludf.DUMMYFUNCTION("""COMPUTED_VALUE"""),35385)</f>
        <v>35385</v>
      </c>
      <c r="I749">
        <f ca="1">IFERROR(__xludf.DUMMYFUNCTION("""COMPUTED_VALUE"""),4)</f>
        <v>4</v>
      </c>
      <c r="J749" t="str">
        <f ca="1">IFERROR(__xludf.DUMMYFUNCTION("""COMPUTED_VALUE"""),"N/A")</f>
        <v>N/A</v>
      </c>
      <c r="K749" t="str">
        <f ca="1">IFERROR(__xludf.DUMMYFUNCTION("""COMPUTED_VALUE"""),"Cepat Kirim")</f>
        <v>Cepat Kirim</v>
      </c>
      <c r="L749" t="str">
        <f ca="1">IFERROR(__xludf.DUMMYFUNCTION("""COMPUTED_VALUE"""),"Y")</f>
        <v>Y</v>
      </c>
      <c r="M749" t="str">
        <f ca="1">IFERROR(__xludf.DUMMYFUNCTION("""COMPUTED_VALUE"""),"mp-662")</f>
        <v>mp-662</v>
      </c>
    </row>
    <row r="750" spans="1:13" ht="12.5" x14ac:dyDescent="0.25">
      <c r="A750" t="str">
        <f ca="1">IFERROR(__xludf.DUMMYFUNCTION("""COMPUTED_VALUE"""),"Hesti")</f>
        <v>Hesti</v>
      </c>
      <c r="B750" t="str">
        <f ca="1">IFERROR(__xludf.DUMMYFUNCTION("""COMPUTED_VALUE"""),"Yoesoef")</f>
        <v>Yoesoef</v>
      </c>
      <c r="C750" t="str">
        <f ca="1">IFERROR(__xludf.DUMMYFUNCTION("""COMPUTED_VALUE"""),"Hesti@gmailx.com")</f>
        <v>Hesti@gmailx.com</v>
      </c>
      <c r="D750" t="str">
        <f ca="1">IFERROR(__xludf.DUMMYFUNCTION("""COMPUTED_VALUE"""),"Pekanbaru")</f>
        <v>Pekanbaru</v>
      </c>
      <c r="E750" s="12">
        <f ca="1">IFERROR(__xludf.DUMMYFUNCTION("""COMPUTED_VALUE"""),42595)</f>
        <v>42595</v>
      </c>
      <c r="F750" t="str">
        <f ca="1">IFERROR(__xludf.DUMMYFUNCTION("""COMPUTED_VALUE"""),"KP0425CB")</f>
        <v>KP0425CB</v>
      </c>
      <c r="G750" s="11">
        <f ca="1">IFERROR(__xludf.DUMMYFUNCTION("""COMPUTED_VALUE"""),245250000)</f>
        <v>245250000</v>
      </c>
      <c r="H750">
        <f ca="1">IFERROR(__xludf.DUMMYFUNCTION("""COMPUTED_VALUE"""),36659)</f>
        <v>36659</v>
      </c>
      <c r="I750">
        <f ca="1">IFERROR(__xludf.DUMMYFUNCTION("""COMPUTED_VALUE"""),9)</f>
        <v>9</v>
      </c>
      <c r="J750" t="str">
        <f ca="1">IFERROR(__xludf.DUMMYFUNCTION("""COMPUTED_VALUE"""),"N/A")</f>
        <v>N/A</v>
      </c>
      <c r="K750" t="str">
        <f ca="1">IFERROR(__xludf.DUMMYFUNCTION("""COMPUTED_VALUE"""),"Cepat Kirim")</f>
        <v>Cepat Kirim</v>
      </c>
      <c r="L750" t="str">
        <f ca="1">IFERROR(__xludf.DUMMYFUNCTION("""COMPUTED_VALUE"""),"Y")</f>
        <v>Y</v>
      </c>
      <c r="M750" t="str">
        <f ca="1">IFERROR(__xludf.DUMMYFUNCTION("""COMPUTED_VALUE"""),"xv-222")</f>
        <v>xv-222</v>
      </c>
    </row>
    <row r="751" spans="1:13" ht="12.5" x14ac:dyDescent="0.25">
      <c r="A751" t="str">
        <f ca="1">IFERROR(__xludf.DUMMYFUNCTION("""COMPUTED_VALUE"""),"Arief")</f>
        <v>Arief</v>
      </c>
      <c r="B751" t="str">
        <f ca="1">IFERROR(__xludf.DUMMYFUNCTION("""COMPUTED_VALUE"""),"Soesanto")</f>
        <v>Soesanto</v>
      </c>
      <c r="C751" t="str">
        <f ca="1">IFERROR(__xludf.DUMMYFUNCTION("""COMPUTED_VALUE"""),"Arief@livex.com")</f>
        <v>Arief@livex.com</v>
      </c>
      <c r="D751" t="str">
        <f ca="1">IFERROR(__xludf.DUMMYFUNCTION("""COMPUTED_VALUE"""),"Singkawang")</f>
        <v>Singkawang</v>
      </c>
      <c r="E751" s="12">
        <f ca="1">IFERROR(__xludf.DUMMYFUNCTION("""COMPUTED_VALUE"""),42595)</f>
        <v>42595</v>
      </c>
      <c r="F751" t="str">
        <f ca="1">IFERROR(__xludf.DUMMYFUNCTION("""COMPUTED_VALUE"""),"KP0425CB")</f>
        <v>KP0425CB</v>
      </c>
      <c r="G751" s="11">
        <f ca="1">IFERROR(__xludf.DUMMYFUNCTION("""COMPUTED_VALUE"""),218000000)</f>
        <v>218000000</v>
      </c>
      <c r="H751">
        <f ca="1">IFERROR(__xludf.DUMMYFUNCTION("""COMPUTED_VALUE"""),35944)</f>
        <v>35944</v>
      </c>
      <c r="I751">
        <f ca="1">IFERROR(__xludf.DUMMYFUNCTION("""COMPUTED_VALUE"""),8)</f>
        <v>8</v>
      </c>
      <c r="J751">
        <f ca="1">IFERROR(__xludf.DUMMYFUNCTION("""COMPUTED_VALUE"""),3)</f>
        <v>3</v>
      </c>
      <c r="K751" t="str">
        <f ca="1">IFERROR(__xludf.DUMMYFUNCTION("""COMPUTED_VALUE"""),"Wakanda Express")</f>
        <v>Wakanda Express</v>
      </c>
      <c r="L751" t="str">
        <f ca="1">IFERROR(__xludf.DUMMYFUNCTION("""COMPUTED_VALUE"""),"Y")</f>
        <v>Y</v>
      </c>
      <c r="M751" t="str">
        <f ca="1">IFERROR(__xludf.DUMMYFUNCTION("""COMPUTED_VALUE"""),"wm-880")</f>
        <v>wm-880</v>
      </c>
    </row>
    <row r="752" spans="1:13" ht="12.5" x14ac:dyDescent="0.25">
      <c r="A752" t="str">
        <f ca="1">IFERROR(__xludf.DUMMYFUNCTION("""COMPUTED_VALUE"""),"Drs")</f>
        <v>Drs</v>
      </c>
      <c r="B752" t="str">
        <f ca="1">IFERROR(__xludf.DUMMYFUNCTION("""COMPUTED_VALUE"""),"Parlaungan")</f>
        <v>Parlaungan</v>
      </c>
      <c r="C752" t="str">
        <f ca="1">IFERROR(__xludf.DUMMYFUNCTION("""COMPUTED_VALUE"""),"DRS@gmailx.com")</f>
        <v>DRS@gmailx.com</v>
      </c>
      <c r="D752" t="str">
        <f ca="1">IFERROR(__xludf.DUMMYFUNCTION("""COMPUTED_VALUE"""),"Cimahi")</f>
        <v>Cimahi</v>
      </c>
      <c r="E752" s="12">
        <f ca="1">IFERROR(__xludf.DUMMYFUNCTION("""COMPUTED_VALUE"""),42712)</f>
        <v>42712</v>
      </c>
      <c r="F752" t="str">
        <f ca="1">IFERROR(__xludf.DUMMYFUNCTION("""COMPUTED_VALUE"""),"KP0850FB")</f>
        <v>KP0850FB</v>
      </c>
      <c r="G752" s="11">
        <f ca="1">IFERROR(__xludf.DUMMYFUNCTION("""COMPUTED_VALUE"""),63000000)</f>
        <v>63000000</v>
      </c>
      <c r="H752">
        <f ca="1">IFERROR(__xludf.DUMMYFUNCTION("""COMPUTED_VALUE"""),35554)</f>
        <v>35554</v>
      </c>
      <c r="I752">
        <f ca="1">IFERROR(__xludf.DUMMYFUNCTION("""COMPUTED_VALUE"""),3)</f>
        <v>3</v>
      </c>
      <c r="J752" t="str">
        <f ca="1">IFERROR(__xludf.DUMMYFUNCTION("""COMPUTED_VALUE"""),"N/A")</f>
        <v>N/A</v>
      </c>
      <c r="K752" t="str">
        <f ca="1">IFERROR(__xludf.DUMMYFUNCTION("""COMPUTED_VALUE"""),"Pru Logistic")</f>
        <v>Pru Logistic</v>
      </c>
      <c r="L752" t="str">
        <f ca="1">IFERROR(__xludf.DUMMYFUNCTION("""COMPUTED_VALUE"""),"Y")</f>
        <v>Y</v>
      </c>
      <c r="M752" t="str">
        <f ca="1">IFERROR(__xludf.DUMMYFUNCTION("""COMPUTED_VALUE"""),"fl-409")</f>
        <v>fl-409</v>
      </c>
    </row>
    <row r="753" spans="1:13" ht="12.5" x14ac:dyDescent="0.25">
      <c r="A753" t="str">
        <f ca="1">IFERROR(__xludf.DUMMYFUNCTION("""COMPUTED_VALUE"""),"Didit")</f>
        <v>Didit</v>
      </c>
      <c r="B753" t="str">
        <f ca="1">IFERROR(__xludf.DUMMYFUNCTION("""COMPUTED_VALUE"""),"I")</f>
        <v>I</v>
      </c>
      <c r="C753" t="str">
        <f ca="1">IFERROR(__xludf.DUMMYFUNCTION("""COMPUTED_VALUE"""),"I@outlookx.com")</f>
        <v>I@outlookx.com</v>
      </c>
      <c r="D753" t="str">
        <f ca="1">IFERROR(__xludf.DUMMYFUNCTION("""COMPUTED_VALUE"""),"Salatiga")</f>
        <v>Salatiga</v>
      </c>
      <c r="E753" s="12">
        <f ca="1">IFERROR(__xludf.DUMMYFUNCTION("""COMPUTED_VALUE"""),42651)</f>
        <v>42651</v>
      </c>
      <c r="F753" t="str">
        <f ca="1">IFERROR(__xludf.DUMMYFUNCTION("""COMPUTED_VALUE"""),"KP0425CB")</f>
        <v>KP0425CB</v>
      </c>
      <c r="G753" s="11">
        <f ca="1">IFERROR(__xludf.DUMMYFUNCTION("""COMPUTED_VALUE"""),54500000)</f>
        <v>54500000</v>
      </c>
      <c r="H753">
        <f ca="1">IFERROR(__xludf.DUMMYFUNCTION("""COMPUTED_VALUE"""),35170)</f>
        <v>35170</v>
      </c>
      <c r="I753">
        <f ca="1">IFERROR(__xludf.DUMMYFUNCTION("""COMPUTED_VALUE"""),2)</f>
        <v>2</v>
      </c>
      <c r="J753">
        <f ca="1">IFERROR(__xludf.DUMMYFUNCTION("""COMPUTED_VALUE"""),4)</f>
        <v>4</v>
      </c>
      <c r="K753" t="str">
        <f ca="1">IFERROR(__xludf.DUMMYFUNCTION("""COMPUTED_VALUE"""),"Swift Delivery")</f>
        <v>Swift Delivery</v>
      </c>
      <c r="L753" t="str">
        <f ca="1">IFERROR(__xludf.DUMMYFUNCTION("""COMPUTED_VALUE"""),"Y")</f>
        <v>Y</v>
      </c>
      <c r="M753" t="str">
        <f ca="1">IFERROR(__xludf.DUMMYFUNCTION("""COMPUTED_VALUE"""),"ow-410")</f>
        <v>ow-410</v>
      </c>
    </row>
    <row r="754" spans="1:13" ht="12.5" x14ac:dyDescent="0.25">
      <c r="A754" t="str">
        <f ca="1">IFERROR(__xludf.DUMMYFUNCTION("""COMPUTED_VALUE"""),"Sallyawati")</f>
        <v>Sallyawati</v>
      </c>
      <c r="B754" t="str">
        <f ca="1">IFERROR(__xludf.DUMMYFUNCTION("""COMPUTED_VALUE"""),"Hanna")</f>
        <v>Hanna</v>
      </c>
      <c r="C754" t="str">
        <f ca="1">IFERROR(__xludf.DUMMYFUNCTION("""COMPUTED_VALUE"""),"Hanna@gmailx.com")</f>
        <v>Hanna@gmailx.com</v>
      </c>
      <c r="D754" t="str">
        <f ca="1">IFERROR(__xludf.DUMMYFUNCTION("""COMPUTED_VALUE"""),"Pematangsiantar")</f>
        <v>Pematangsiantar</v>
      </c>
      <c r="E754" s="12">
        <f ca="1">IFERROR(__xludf.DUMMYFUNCTION("""COMPUTED_VALUE"""),42651)</f>
        <v>42651</v>
      </c>
      <c r="F754" t="str">
        <f ca="1">IFERROR(__xludf.DUMMYFUNCTION("""COMPUTED_VALUE"""),"KP0225BB")</f>
        <v>KP0225BB</v>
      </c>
      <c r="G754" s="11">
        <f ca="1">IFERROR(__xludf.DUMMYFUNCTION("""COMPUTED_VALUE"""),50000000)</f>
        <v>50000000</v>
      </c>
      <c r="H754">
        <f ca="1">IFERROR(__xludf.DUMMYFUNCTION("""COMPUTED_VALUE"""),35939)</f>
        <v>35939</v>
      </c>
      <c r="I754">
        <f ca="1">IFERROR(__xludf.DUMMYFUNCTION("""COMPUTED_VALUE"""),5)</f>
        <v>5</v>
      </c>
      <c r="J754" t="str">
        <f ca="1">IFERROR(__xludf.DUMMYFUNCTION("""COMPUTED_VALUE"""),"N/A")</f>
        <v>N/A</v>
      </c>
      <c r="K754" t="str">
        <f ca="1">IFERROR(__xludf.DUMMYFUNCTION("""COMPUTED_VALUE"""),"Swift Delivery")</f>
        <v>Swift Delivery</v>
      </c>
      <c r="L754" t="str">
        <f ca="1">IFERROR(__xludf.DUMMYFUNCTION("""COMPUTED_VALUE"""),"N")</f>
        <v>N</v>
      </c>
      <c r="M754" t="str">
        <f ca="1">IFERROR(__xludf.DUMMYFUNCTION("""COMPUTED_VALUE"""),"ne-662")</f>
        <v>ne-662</v>
      </c>
    </row>
    <row r="755" spans="1:13" ht="12.5" x14ac:dyDescent="0.25">
      <c r="A755" t="str">
        <f ca="1">IFERROR(__xludf.DUMMYFUNCTION("""COMPUTED_VALUE"""),"Kwok")</f>
        <v>Kwok</v>
      </c>
      <c r="B755" t="str">
        <f ca="1">IFERROR(__xludf.DUMMYFUNCTION("""COMPUTED_VALUE"""),"Lys")</f>
        <v>Lys</v>
      </c>
      <c r="C755" t="str">
        <f ca="1">IFERROR(__xludf.DUMMYFUNCTION("""COMPUTED_VALUE"""),"Lys@ymailx.com")</f>
        <v>Lys@ymailx.com</v>
      </c>
      <c r="D755" t="str">
        <f ca="1">IFERROR(__xludf.DUMMYFUNCTION("""COMPUTED_VALUE"""),"Parepare")</f>
        <v>Parepare</v>
      </c>
      <c r="E755" s="12">
        <f ca="1">IFERROR(__xludf.DUMMYFUNCTION("""COMPUTED_VALUE"""),42621)</f>
        <v>42621</v>
      </c>
      <c r="F755" t="str">
        <f ca="1">IFERROR(__xludf.DUMMYFUNCTION("""COMPUTED_VALUE"""),"KP0625AF")</f>
        <v>KP0625AF</v>
      </c>
      <c r="G755" s="11">
        <f ca="1">IFERROR(__xludf.DUMMYFUNCTION("""COMPUTED_VALUE"""),84000000)</f>
        <v>84000000</v>
      </c>
      <c r="H755">
        <f ca="1">IFERROR(__xludf.DUMMYFUNCTION("""COMPUTED_VALUE"""),36778)</f>
        <v>36778</v>
      </c>
      <c r="I755">
        <f ca="1">IFERROR(__xludf.DUMMYFUNCTION("""COMPUTED_VALUE"""),7)</f>
        <v>7</v>
      </c>
      <c r="J755" t="str">
        <f ca="1">IFERROR(__xludf.DUMMYFUNCTION("""COMPUTED_VALUE"""),"N/A")</f>
        <v>N/A</v>
      </c>
      <c r="K755" t="str">
        <f ca="1">IFERROR(__xludf.DUMMYFUNCTION("""COMPUTED_VALUE"""),"Pru Logistic")</f>
        <v>Pru Logistic</v>
      </c>
      <c r="L755" t="str">
        <f ca="1">IFERROR(__xludf.DUMMYFUNCTION("""COMPUTED_VALUE"""),"Y")</f>
        <v>Y</v>
      </c>
      <c r="M755" t="str">
        <f ca="1">IFERROR(__xludf.DUMMYFUNCTION("""COMPUTED_VALUE"""),"eh-290")</f>
        <v>eh-290</v>
      </c>
    </row>
    <row r="756" spans="1:13" ht="12.5" x14ac:dyDescent="0.25">
      <c r="A756" t="str">
        <f ca="1">IFERROR(__xludf.DUMMYFUNCTION("""COMPUTED_VALUE"""),"Hadinata")</f>
        <v>Hadinata</v>
      </c>
      <c r="B756" t="str">
        <f ca="1">IFERROR(__xludf.DUMMYFUNCTION("""COMPUTED_VALUE"""),"Susilo")</f>
        <v>Susilo</v>
      </c>
      <c r="C756" t="str">
        <f ca="1">IFERROR(__xludf.DUMMYFUNCTION("""COMPUTED_VALUE"""),"Susilo@gmailx.com")</f>
        <v>Susilo@gmailx.com</v>
      </c>
      <c r="D756" t="str">
        <f ca="1">IFERROR(__xludf.DUMMYFUNCTION("""COMPUTED_VALUE"""),"Bau-Bau")</f>
        <v>Bau-Bau</v>
      </c>
      <c r="E756" s="12">
        <f ca="1">IFERROR(__xludf.DUMMYFUNCTION("""COMPUTED_VALUE"""),42621)</f>
        <v>42621</v>
      </c>
      <c r="F756" t="str">
        <f ca="1">IFERROR(__xludf.DUMMYFUNCTION("""COMPUTED_VALUE"""),"KP0625AF")</f>
        <v>KP0625AF</v>
      </c>
      <c r="G756" s="11">
        <f ca="1">IFERROR(__xludf.DUMMYFUNCTION("""COMPUTED_VALUE"""),36000000)</f>
        <v>36000000</v>
      </c>
      <c r="H756">
        <f ca="1">IFERROR(__xludf.DUMMYFUNCTION("""COMPUTED_VALUE"""),35607)</f>
        <v>35607</v>
      </c>
      <c r="I756">
        <f ca="1">IFERROR(__xludf.DUMMYFUNCTION("""COMPUTED_VALUE"""),3)</f>
        <v>3</v>
      </c>
      <c r="J756">
        <f ca="1">IFERROR(__xludf.DUMMYFUNCTION("""COMPUTED_VALUE"""),5)</f>
        <v>5</v>
      </c>
      <c r="K756" t="str">
        <f ca="1">IFERROR(__xludf.DUMMYFUNCTION("""COMPUTED_VALUE"""),"Wakanda Express")</f>
        <v>Wakanda Express</v>
      </c>
      <c r="L756" t="str">
        <f ca="1">IFERROR(__xludf.DUMMYFUNCTION("""COMPUTED_VALUE"""),"Y")</f>
        <v>Y</v>
      </c>
      <c r="M756" t="str">
        <f ca="1">IFERROR(__xludf.DUMMYFUNCTION("""COMPUTED_VALUE"""),"zx-250")</f>
        <v>zx-250</v>
      </c>
    </row>
    <row r="757" spans="1:13" ht="12.5" x14ac:dyDescent="0.25">
      <c r="A757" t="str">
        <f ca="1">IFERROR(__xludf.DUMMYFUNCTION("""COMPUTED_VALUE"""),"Habib")</f>
        <v>Habib</v>
      </c>
      <c r="B757" t="str">
        <f ca="1">IFERROR(__xludf.DUMMYFUNCTION("""COMPUTED_VALUE"""),"Marlina")</f>
        <v>Marlina</v>
      </c>
      <c r="C757" t="str">
        <f ca="1">IFERROR(__xludf.DUMMYFUNCTION("""COMPUTED_VALUE"""),"Marlina@gmailx.com")</f>
        <v>Marlina@gmailx.com</v>
      </c>
      <c r="D757" t="str">
        <f ca="1">IFERROR(__xludf.DUMMYFUNCTION("""COMPUTED_VALUE"""),"Ambon")</f>
        <v>Ambon</v>
      </c>
      <c r="E757" s="12">
        <f ca="1">IFERROR(__xludf.DUMMYFUNCTION("""COMPUTED_VALUE"""),42590)</f>
        <v>42590</v>
      </c>
      <c r="F757" t="str">
        <f ca="1">IFERROR(__xludf.DUMMYFUNCTION("""COMPUTED_VALUE"""),"KP0850FB")</f>
        <v>KP0850FB</v>
      </c>
      <c r="G757" s="11">
        <f ca="1">IFERROR(__xludf.DUMMYFUNCTION("""COMPUTED_VALUE"""),126000000)</f>
        <v>126000000</v>
      </c>
      <c r="H757">
        <f ca="1">IFERROR(__xludf.DUMMYFUNCTION("""COMPUTED_VALUE"""),35422)</f>
        <v>35422</v>
      </c>
      <c r="I757">
        <f ca="1">IFERROR(__xludf.DUMMYFUNCTION("""COMPUTED_VALUE"""),6)</f>
        <v>6</v>
      </c>
      <c r="J757" t="str">
        <f ca="1">IFERROR(__xludf.DUMMYFUNCTION("""COMPUTED_VALUE"""),"N/A")</f>
        <v>N/A</v>
      </c>
      <c r="K757" t="str">
        <f ca="1">IFERROR(__xludf.DUMMYFUNCTION("""COMPUTED_VALUE"""),"Pru Logistic")</f>
        <v>Pru Logistic</v>
      </c>
      <c r="L757" t="str">
        <f ca="1">IFERROR(__xludf.DUMMYFUNCTION("""COMPUTED_VALUE"""),"Y")</f>
        <v>Y</v>
      </c>
      <c r="M757" t="str">
        <f ca="1">IFERROR(__xludf.DUMMYFUNCTION("""COMPUTED_VALUE"""),"iv-171")</f>
        <v>iv-171</v>
      </c>
    </row>
    <row r="758" spans="1:13" ht="12.5" x14ac:dyDescent="0.25">
      <c r="A758" t="str">
        <f ca="1">IFERROR(__xludf.DUMMYFUNCTION("""COMPUTED_VALUE"""),"Franciscus")</f>
        <v>Franciscus</v>
      </c>
      <c r="B758" t="str">
        <f ca="1">IFERROR(__xludf.DUMMYFUNCTION("""COMPUTED_VALUE"""),"Margaretha")</f>
        <v>Margaretha</v>
      </c>
      <c r="C758" t="str">
        <f ca="1">IFERROR(__xludf.DUMMYFUNCTION("""COMPUTED_VALUE"""),"Franciscus@ymailx.com")</f>
        <v>Franciscus@ymailx.com</v>
      </c>
      <c r="D758" t="str">
        <f ca="1">IFERROR(__xludf.DUMMYFUNCTION("""COMPUTED_VALUE"""),"Mataram")</f>
        <v>Mataram</v>
      </c>
      <c r="E758" s="12">
        <f ca="1">IFERROR(__xludf.DUMMYFUNCTION("""COMPUTED_VALUE"""),42529)</f>
        <v>42529</v>
      </c>
      <c r="F758" t="str">
        <f ca="1">IFERROR(__xludf.DUMMYFUNCTION("""COMPUTED_VALUE"""),"KP0925SG")</f>
        <v>KP0925SG</v>
      </c>
      <c r="G758" s="11">
        <f ca="1">IFERROR(__xludf.DUMMYFUNCTION("""COMPUTED_VALUE"""),90000000)</f>
        <v>90000000</v>
      </c>
      <c r="H758">
        <f ca="1">IFERROR(__xludf.DUMMYFUNCTION("""COMPUTED_VALUE"""),36303)</f>
        <v>36303</v>
      </c>
      <c r="I758">
        <f ca="1">IFERROR(__xludf.DUMMYFUNCTION("""COMPUTED_VALUE"""),6)</f>
        <v>6</v>
      </c>
      <c r="J758" t="str">
        <f ca="1">IFERROR(__xludf.DUMMYFUNCTION("""COMPUTED_VALUE"""),"N/A")</f>
        <v>N/A</v>
      </c>
      <c r="K758" t="str">
        <f ca="1">IFERROR(__xludf.DUMMYFUNCTION("""COMPUTED_VALUE"""),"JENT")</f>
        <v>JENT</v>
      </c>
      <c r="L758" t="str">
        <f ca="1">IFERROR(__xludf.DUMMYFUNCTION("""COMPUTED_VALUE"""),"Y")</f>
        <v>Y</v>
      </c>
      <c r="M758" t="str">
        <f ca="1">IFERROR(__xludf.DUMMYFUNCTION("""COMPUTED_VALUE"""),"km-183")</f>
        <v>km-183</v>
      </c>
    </row>
    <row r="759" spans="1:13" ht="12.5" x14ac:dyDescent="0.25">
      <c r="A759" t="str">
        <f ca="1">IFERROR(__xludf.DUMMYFUNCTION("""COMPUTED_VALUE"""),"Agus")</f>
        <v>Agus</v>
      </c>
      <c r="B759" t="str">
        <f ca="1">IFERROR(__xludf.DUMMYFUNCTION("""COMPUTED_VALUE"""),"Joseph")</f>
        <v>Joseph</v>
      </c>
      <c r="C759" t="str">
        <f ca="1">IFERROR(__xludf.DUMMYFUNCTION("""COMPUTED_VALUE"""),"Joseph@livex.com")</f>
        <v>Joseph@livex.com</v>
      </c>
      <c r="D759" t="str">
        <f ca="1">IFERROR(__xludf.DUMMYFUNCTION("""COMPUTED_VALUE"""),"Gorontalo")</f>
        <v>Gorontalo</v>
      </c>
      <c r="E759" s="12">
        <f ca="1">IFERROR(__xludf.DUMMYFUNCTION("""COMPUTED_VALUE"""),42529)</f>
        <v>42529</v>
      </c>
      <c r="F759" t="str">
        <f ca="1">IFERROR(__xludf.DUMMYFUNCTION("""COMPUTED_VALUE"""),"KP0225BB")</f>
        <v>KP0225BB</v>
      </c>
      <c r="G759" s="11">
        <f ca="1">IFERROR(__xludf.DUMMYFUNCTION("""COMPUTED_VALUE"""),70000000)</f>
        <v>70000000</v>
      </c>
      <c r="H759">
        <f ca="1">IFERROR(__xludf.DUMMYFUNCTION("""COMPUTED_VALUE"""),35261)</f>
        <v>35261</v>
      </c>
      <c r="I759">
        <f ca="1">IFERROR(__xludf.DUMMYFUNCTION("""COMPUTED_VALUE"""),7)</f>
        <v>7</v>
      </c>
      <c r="J759" t="str">
        <f ca="1">IFERROR(__xludf.DUMMYFUNCTION("""COMPUTED_VALUE"""),"N/A")</f>
        <v>N/A</v>
      </c>
      <c r="K759" t="str">
        <f ca="1">IFERROR(__xludf.DUMMYFUNCTION("""COMPUTED_VALUE"""),"Wakanda Express")</f>
        <v>Wakanda Express</v>
      </c>
      <c r="L759" t="str">
        <f ca="1">IFERROR(__xludf.DUMMYFUNCTION("""COMPUTED_VALUE"""),"Y")</f>
        <v>Y</v>
      </c>
      <c r="M759" t="str">
        <f ca="1">IFERROR(__xludf.DUMMYFUNCTION("""COMPUTED_VALUE"""),"hx-983")</f>
        <v>hx-983</v>
      </c>
    </row>
    <row r="760" spans="1:13" ht="12.5" x14ac:dyDescent="0.25">
      <c r="A760" t="str">
        <f ca="1">IFERROR(__xludf.DUMMYFUNCTION("""COMPUTED_VALUE"""),"Paulis")</f>
        <v>Paulis</v>
      </c>
      <c r="B760" t="str">
        <f ca="1">IFERROR(__xludf.DUMMYFUNCTION("""COMPUTED_VALUE"""),"Sumito")</f>
        <v>Sumito</v>
      </c>
      <c r="C760" t="str">
        <f ca="1">IFERROR(__xludf.DUMMYFUNCTION("""COMPUTED_VALUE"""),"Paulis@icloudx.com")</f>
        <v>Paulis@icloudx.com</v>
      </c>
      <c r="D760" t="str">
        <f ca="1">IFERROR(__xludf.DUMMYFUNCTION("""COMPUTED_VALUE"""),"Padang Sidempuan")</f>
        <v>Padang Sidempuan</v>
      </c>
      <c r="E760" s="12">
        <f ca="1">IFERROR(__xludf.DUMMYFUNCTION("""COMPUTED_VALUE"""),42498)</f>
        <v>42498</v>
      </c>
      <c r="F760" t="str">
        <f ca="1">IFERROR(__xludf.DUMMYFUNCTION("""COMPUTED_VALUE"""),"KP0625AF")</f>
        <v>KP0625AF</v>
      </c>
      <c r="G760" s="11">
        <f ca="1">IFERROR(__xludf.DUMMYFUNCTION("""COMPUTED_VALUE"""),48000000)</f>
        <v>48000000</v>
      </c>
      <c r="H760">
        <f ca="1">IFERROR(__xludf.DUMMYFUNCTION("""COMPUTED_VALUE"""),35547)</f>
        <v>35547</v>
      </c>
      <c r="I760">
        <f ca="1">IFERROR(__xludf.DUMMYFUNCTION("""COMPUTED_VALUE"""),4)</f>
        <v>4</v>
      </c>
      <c r="J760" t="str">
        <f ca="1">IFERROR(__xludf.DUMMYFUNCTION("""COMPUTED_VALUE"""),"N/A")</f>
        <v>N/A</v>
      </c>
      <c r="K760" t="str">
        <f ca="1">IFERROR(__xludf.DUMMYFUNCTION("""COMPUTED_VALUE"""),"Wakanda Express")</f>
        <v>Wakanda Express</v>
      </c>
      <c r="L760" t="str">
        <f ca="1">IFERROR(__xludf.DUMMYFUNCTION("""COMPUTED_VALUE"""),"N")</f>
        <v>N</v>
      </c>
      <c r="M760" t="str">
        <f ca="1">IFERROR(__xludf.DUMMYFUNCTION("""COMPUTED_VALUE"""),"iw-662")</f>
        <v>iw-662</v>
      </c>
    </row>
    <row r="761" spans="1:13" ht="12.5" x14ac:dyDescent="0.25">
      <c r="A761" t="str">
        <f ca="1">IFERROR(__xludf.DUMMYFUNCTION("""COMPUTED_VALUE"""),"Fensa")</f>
        <v>Fensa</v>
      </c>
      <c r="B761" t="str">
        <f ca="1">IFERROR(__xludf.DUMMYFUNCTION("""COMPUTED_VALUE"""),"C")</f>
        <v>C</v>
      </c>
      <c r="C761" t="str">
        <f ca="1">IFERROR(__xludf.DUMMYFUNCTION("""COMPUTED_VALUE"""),"C@outlookx.com")</f>
        <v>C@outlookx.com</v>
      </c>
      <c r="D761" t="str">
        <f ca="1">IFERROR(__xludf.DUMMYFUNCTION("""COMPUTED_VALUE"""),"Jayapura")</f>
        <v>Jayapura</v>
      </c>
      <c r="E761" s="12">
        <f ca="1">IFERROR(__xludf.DUMMYFUNCTION("""COMPUTED_VALUE"""),42437)</f>
        <v>42437</v>
      </c>
      <c r="F761" t="str">
        <f ca="1">IFERROR(__xludf.DUMMYFUNCTION("""COMPUTED_VALUE"""),"KP0750AJ")</f>
        <v>KP0750AJ</v>
      </c>
      <c r="G761" s="11">
        <f ca="1">IFERROR(__xludf.DUMMYFUNCTION("""COMPUTED_VALUE"""),180000000)</f>
        <v>180000000</v>
      </c>
      <c r="H761">
        <f ca="1">IFERROR(__xludf.DUMMYFUNCTION("""COMPUTED_VALUE"""),35110)</f>
        <v>35110</v>
      </c>
      <c r="I761">
        <f ca="1">IFERROR(__xludf.DUMMYFUNCTION("""COMPUTED_VALUE"""),10)</f>
        <v>10</v>
      </c>
      <c r="J761">
        <f ca="1">IFERROR(__xludf.DUMMYFUNCTION("""COMPUTED_VALUE"""),5)</f>
        <v>5</v>
      </c>
      <c r="K761" t="str">
        <f ca="1">IFERROR(__xludf.DUMMYFUNCTION("""COMPUTED_VALUE"""),"Swift Delivery")</f>
        <v>Swift Delivery</v>
      </c>
      <c r="L761" t="str">
        <f ca="1">IFERROR(__xludf.DUMMYFUNCTION("""COMPUTED_VALUE"""),"Y")</f>
        <v>Y</v>
      </c>
      <c r="M761" t="str">
        <f ca="1">IFERROR(__xludf.DUMMYFUNCTION("""COMPUTED_VALUE"""),"mj-990")</f>
        <v>mj-990</v>
      </c>
    </row>
    <row r="762" spans="1:13" ht="12.5" x14ac:dyDescent="0.25">
      <c r="A762" t="str">
        <f ca="1">IFERROR(__xludf.DUMMYFUNCTION("""COMPUTED_VALUE"""),"Geoffrey")</f>
        <v>Geoffrey</v>
      </c>
      <c r="B762" t="str">
        <f ca="1">IFERROR(__xludf.DUMMYFUNCTION("""COMPUTED_VALUE"""),"Hoshi")</f>
        <v>Hoshi</v>
      </c>
      <c r="C762" t="str">
        <f ca="1">IFERROR(__xludf.DUMMYFUNCTION("""COMPUTED_VALUE"""),"Geoffrey@gmailx.com")</f>
        <v>Geoffrey@gmailx.com</v>
      </c>
      <c r="D762" t="str">
        <f ca="1">IFERROR(__xludf.DUMMYFUNCTION("""COMPUTED_VALUE"""),"Banjar")</f>
        <v>Banjar</v>
      </c>
      <c r="E762" s="12">
        <f ca="1">IFERROR(__xludf.DUMMYFUNCTION("""COMPUTED_VALUE"""),42408)</f>
        <v>42408</v>
      </c>
      <c r="F762" t="str">
        <f ca="1">IFERROR(__xludf.DUMMYFUNCTION("""COMPUTED_VALUE"""),"KP0425CB")</f>
        <v>KP0425CB</v>
      </c>
      <c r="G762" s="11">
        <f ca="1">IFERROR(__xludf.DUMMYFUNCTION("""COMPUTED_VALUE"""),109000000)</f>
        <v>109000000</v>
      </c>
      <c r="H762">
        <f ca="1">IFERROR(__xludf.DUMMYFUNCTION("""COMPUTED_VALUE"""),35118)</f>
        <v>35118</v>
      </c>
      <c r="I762">
        <f ca="1">IFERROR(__xludf.DUMMYFUNCTION("""COMPUTED_VALUE"""),4)</f>
        <v>4</v>
      </c>
      <c r="J762" t="str">
        <f ca="1">IFERROR(__xludf.DUMMYFUNCTION("""COMPUTED_VALUE"""),"N/A")</f>
        <v>N/A</v>
      </c>
      <c r="K762" t="str">
        <f ca="1">IFERROR(__xludf.DUMMYFUNCTION("""COMPUTED_VALUE"""),"Pru Logistic")</f>
        <v>Pru Logistic</v>
      </c>
      <c r="L762" t="str">
        <f ca="1">IFERROR(__xludf.DUMMYFUNCTION("""COMPUTED_VALUE"""),"Y")</f>
        <v>Y</v>
      </c>
      <c r="M762" t="str">
        <f ca="1">IFERROR(__xludf.DUMMYFUNCTION("""COMPUTED_VALUE"""),"nb-409")</f>
        <v>nb-409</v>
      </c>
    </row>
    <row r="763" spans="1:13" ht="12.5" x14ac:dyDescent="0.25">
      <c r="A763" t="str">
        <f ca="1">IFERROR(__xludf.DUMMYFUNCTION("""COMPUTED_VALUE"""),"Kama")</f>
        <v>Kama</v>
      </c>
      <c r="B763" t="str">
        <f ca="1">IFERROR(__xludf.DUMMYFUNCTION("""COMPUTED_VALUE"""),"Bachtiar")</f>
        <v>Bachtiar</v>
      </c>
      <c r="C763" t="str">
        <f ca="1">IFERROR(__xludf.DUMMYFUNCTION("""COMPUTED_VALUE"""),"Bachtiar@ymailx.com")</f>
        <v>Bachtiar@ymailx.com</v>
      </c>
      <c r="D763" t="str">
        <f ca="1">IFERROR(__xludf.DUMMYFUNCTION("""COMPUTED_VALUE"""),"Tangerang Selatan")</f>
        <v>Tangerang Selatan</v>
      </c>
      <c r="E763" s="12">
        <f ca="1">IFERROR(__xludf.DUMMYFUNCTION("""COMPUTED_VALUE"""),42408)</f>
        <v>42408</v>
      </c>
      <c r="F763" t="str">
        <f ca="1">IFERROR(__xludf.DUMMYFUNCTION("""COMPUTED_VALUE"""),"KP0850FB")</f>
        <v>KP0850FB</v>
      </c>
      <c r="G763" s="11">
        <f ca="1">IFERROR(__xludf.DUMMYFUNCTION("""COMPUTED_VALUE"""),189000000)</f>
        <v>189000000</v>
      </c>
      <c r="H763">
        <f ca="1">IFERROR(__xludf.DUMMYFUNCTION("""COMPUTED_VALUE"""),35842)</f>
        <v>35842</v>
      </c>
      <c r="I763">
        <f ca="1">IFERROR(__xludf.DUMMYFUNCTION("""COMPUTED_VALUE"""),9)</f>
        <v>9</v>
      </c>
      <c r="J763" t="str">
        <f ca="1">IFERROR(__xludf.DUMMYFUNCTION("""COMPUTED_VALUE"""),"N/A")</f>
        <v>N/A</v>
      </c>
      <c r="K763" t="str">
        <f ca="1">IFERROR(__xludf.DUMMYFUNCTION("""COMPUTED_VALUE"""),"Swift Delivery")</f>
        <v>Swift Delivery</v>
      </c>
      <c r="L763" t="str">
        <f ca="1">IFERROR(__xludf.DUMMYFUNCTION("""COMPUTED_VALUE"""),"Y")</f>
        <v>Y</v>
      </c>
      <c r="M763" t="str">
        <f ca="1">IFERROR(__xludf.DUMMYFUNCTION("""COMPUTED_VALUE"""),"br-500")</f>
        <v>br-500</v>
      </c>
    </row>
    <row r="764" spans="1:13" ht="12.5" x14ac:dyDescent="0.25">
      <c r="A764" t="str">
        <f ca="1">IFERROR(__xludf.DUMMYFUNCTION("""COMPUTED_VALUE"""),"Ani")</f>
        <v>Ani</v>
      </c>
      <c r="B764" t="str">
        <f ca="1">IFERROR(__xludf.DUMMYFUNCTION("""COMPUTED_VALUE"""),"Sathibal")</f>
        <v>Sathibal</v>
      </c>
      <c r="C764" t="str">
        <f ca="1">IFERROR(__xludf.DUMMYFUNCTION("""COMPUTED_VALUE"""),"Ani@livex.com")</f>
        <v>Ani@livex.com</v>
      </c>
      <c r="D764" t="str">
        <f ca="1">IFERROR(__xludf.DUMMYFUNCTION("""COMPUTED_VALUE"""),"Ambon")</f>
        <v>Ambon</v>
      </c>
      <c r="E764" s="12">
        <f ca="1">IFERROR(__xludf.DUMMYFUNCTION("""COMPUTED_VALUE"""),42377)</f>
        <v>42377</v>
      </c>
      <c r="F764" t="str">
        <f ca="1">IFERROR(__xludf.DUMMYFUNCTION("""COMPUTED_VALUE"""),"KP0625AF")</f>
        <v>KP0625AF</v>
      </c>
      <c r="G764" s="11">
        <f ca="1">IFERROR(__xludf.DUMMYFUNCTION("""COMPUTED_VALUE"""),96000000)</f>
        <v>96000000</v>
      </c>
      <c r="H764">
        <f ca="1">IFERROR(__xludf.DUMMYFUNCTION("""COMPUTED_VALUE"""),36998)</f>
        <v>36998</v>
      </c>
      <c r="I764">
        <f ca="1">IFERROR(__xludf.DUMMYFUNCTION("""COMPUTED_VALUE"""),8)</f>
        <v>8</v>
      </c>
      <c r="J764" t="str">
        <f ca="1">IFERROR(__xludf.DUMMYFUNCTION("""COMPUTED_VALUE"""),"N/A")</f>
        <v>N/A</v>
      </c>
      <c r="K764" t="str">
        <f ca="1">IFERROR(__xludf.DUMMYFUNCTION("""COMPUTED_VALUE"""),"JENT")</f>
        <v>JENT</v>
      </c>
      <c r="L764" t="str">
        <f ca="1">IFERROR(__xludf.DUMMYFUNCTION("""COMPUTED_VALUE"""),"Y")</f>
        <v>Y</v>
      </c>
      <c r="M764" t="str">
        <f ca="1">IFERROR(__xludf.DUMMYFUNCTION("""COMPUTED_VALUE"""),"qi-171")</f>
        <v>qi-171</v>
      </c>
    </row>
    <row r="765" spans="1:13" ht="12.5" x14ac:dyDescent="0.25">
      <c r="A765" t="str">
        <f ca="1">IFERROR(__xludf.DUMMYFUNCTION("""COMPUTED_VALUE"""),"Efrem")</f>
        <v>Efrem</v>
      </c>
      <c r="B765" t="str">
        <f ca="1">IFERROR(__xludf.DUMMYFUNCTION("""COMPUTED_VALUE"""),"Siregar")</f>
        <v>Siregar</v>
      </c>
      <c r="C765" t="str">
        <f ca="1">IFERROR(__xludf.DUMMYFUNCTION("""COMPUTED_VALUE"""),"Efrem@ymailx.com")</f>
        <v>Efrem@ymailx.com</v>
      </c>
      <c r="D765" t="str">
        <f ca="1">IFERROR(__xludf.DUMMYFUNCTION("""COMPUTED_VALUE"""),"Purwokerto")</f>
        <v>Purwokerto</v>
      </c>
      <c r="E765" s="12">
        <f ca="1">IFERROR(__xludf.DUMMYFUNCTION("""COMPUTED_VALUE"""),42377)</f>
        <v>42377</v>
      </c>
      <c r="F765" t="str">
        <f ca="1">IFERROR(__xludf.DUMMYFUNCTION("""COMPUTED_VALUE"""),"KP0350CF")</f>
        <v>KP0350CF</v>
      </c>
      <c r="G765" s="11">
        <f ca="1">IFERROR(__xludf.DUMMYFUNCTION("""COMPUTED_VALUE"""),175000000)</f>
        <v>175000000</v>
      </c>
      <c r="H765">
        <f ca="1">IFERROR(__xludf.DUMMYFUNCTION("""COMPUTED_VALUE"""),35525)</f>
        <v>35525</v>
      </c>
      <c r="I765">
        <f ca="1">IFERROR(__xludf.DUMMYFUNCTION("""COMPUTED_VALUE"""),5)</f>
        <v>5</v>
      </c>
      <c r="J765" t="str">
        <f ca="1">IFERROR(__xludf.DUMMYFUNCTION("""COMPUTED_VALUE"""),"N/A")</f>
        <v>N/A</v>
      </c>
      <c r="K765" t="str">
        <f ca="1">IFERROR(__xludf.DUMMYFUNCTION("""COMPUTED_VALUE"""),"Swift Delivery")</f>
        <v>Swift Delivery</v>
      </c>
      <c r="L765" t="str">
        <f ca="1">IFERROR(__xludf.DUMMYFUNCTION("""COMPUTED_VALUE"""),"Y")</f>
        <v>Y</v>
      </c>
      <c r="M765" t="str">
        <f ca="1">IFERROR(__xludf.DUMMYFUNCTION("""COMPUTED_VALUE"""),"ru-410")</f>
        <v>ru-410</v>
      </c>
    </row>
    <row r="766" spans="1:13" ht="12.5" x14ac:dyDescent="0.25">
      <c r="A766" t="str">
        <f ca="1">IFERROR(__xludf.DUMMYFUNCTION("""COMPUTED_VALUE"""),"Mochamad")</f>
        <v>Mochamad</v>
      </c>
      <c r="B766" t="str">
        <f ca="1">IFERROR(__xludf.DUMMYFUNCTION("""COMPUTED_VALUE"""),"Balmaceda")</f>
        <v>Balmaceda</v>
      </c>
      <c r="C766" t="str">
        <f ca="1">IFERROR(__xludf.DUMMYFUNCTION("""COMPUTED_VALUE"""),"Mochamad@ymailx.com")</f>
        <v>Mochamad@ymailx.com</v>
      </c>
      <c r="D766" t="str">
        <f ca="1">IFERROR(__xludf.DUMMYFUNCTION("""COMPUTED_VALUE"""),"Yogyakarta")</f>
        <v>Yogyakarta</v>
      </c>
      <c r="E766" s="12">
        <f ca="1">IFERROR(__xludf.DUMMYFUNCTION("""COMPUTED_VALUE"""),42578)</f>
        <v>42578</v>
      </c>
      <c r="F766" t="str">
        <f ca="1">IFERROR(__xludf.DUMMYFUNCTION("""COMPUTED_VALUE"""),"KP0350CF")</f>
        <v>KP0350CF</v>
      </c>
      <c r="G766" s="11">
        <f ca="1">IFERROR(__xludf.DUMMYFUNCTION("""COMPUTED_VALUE"""),350000000)</f>
        <v>350000000</v>
      </c>
      <c r="H766">
        <f ca="1">IFERROR(__xludf.DUMMYFUNCTION("""COMPUTED_VALUE"""),36375)</f>
        <v>36375</v>
      </c>
      <c r="I766">
        <f ca="1">IFERROR(__xludf.DUMMYFUNCTION("""COMPUTED_VALUE"""),10)</f>
        <v>10</v>
      </c>
      <c r="J766">
        <f ca="1">IFERROR(__xludf.DUMMYFUNCTION("""COMPUTED_VALUE"""),4)</f>
        <v>4</v>
      </c>
      <c r="K766" t="str">
        <f ca="1">IFERROR(__xludf.DUMMYFUNCTION("""COMPUTED_VALUE"""),"Pru Logistic")</f>
        <v>Pru Logistic</v>
      </c>
      <c r="L766" t="str">
        <f ca="1">IFERROR(__xludf.DUMMYFUNCTION("""COMPUTED_VALUE"""),"Y")</f>
        <v>Y</v>
      </c>
      <c r="M766" t="str">
        <f ca="1">IFERROR(__xludf.DUMMYFUNCTION("""COMPUTED_VALUE"""),"bu-444")</f>
        <v>bu-444</v>
      </c>
    </row>
    <row r="767" spans="1:13" ht="12.5" x14ac:dyDescent="0.25">
      <c r="A767" t="str">
        <f ca="1">IFERROR(__xludf.DUMMYFUNCTION("""COMPUTED_VALUE"""),"Anwar")</f>
        <v>Anwar</v>
      </c>
      <c r="B767" t="str">
        <f ca="1">IFERROR(__xludf.DUMMYFUNCTION("""COMPUTED_VALUE"""),"Hendrastiti")</f>
        <v>Hendrastiti</v>
      </c>
      <c r="C767" t="str">
        <f ca="1">IFERROR(__xludf.DUMMYFUNCTION("""COMPUTED_VALUE"""),"Hendrastiti@livex.com")</f>
        <v>Hendrastiti@livex.com</v>
      </c>
      <c r="D767" t="str">
        <f ca="1">IFERROR(__xludf.DUMMYFUNCTION("""COMPUTED_VALUE"""),"Banda Aceh")</f>
        <v>Banda Aceh</v>
      </c>
      <c r="E767" s="12">
        <f ca="1">IFERROR(__xludf.DUMMYFUNCTION("""COMPUTED_VALUE"""),42575)</f>
        <v>42575</v>
      </c>
      <c r="F767" t="str">
        <f ca="1">IFERROR(__xludf.DUMMYFUNCTION("""COMPUTED_VALUE"""),"KP0925SG")</f>
        <v>KP0925SG</v>
      </c>
      <c r="G767" s="11">
        <f ca="1">IFERROR(__xludf.DUMMYFUNCTION("""COMPUTED_VALUE"""),60000000)</f>
        <v>60000000</v>
      </c>
      <c r="H767">
        <f ca="1">IFERROR(__xludf.DUMMYFUNCTION("""COMPUTED_VALUE"""),35056)</f>
        <v>35056</v>
      </c>
      <c r="I767">
        <f ca="1">IFERROR(__xludf.DUMMYFUNCTION("""COMPUTED_VALUE"""),4)</f>
        <v>4</v>
      </c>
      <c r="J767">
        <f ca="1">IFERROR(__xludf.DUMMYFUNCTION("""COMPUTED_VALUE"""),4)</f>
        <v>4</v>
      </c>
      <c r="K767" t="str">
        <f ca="1">IFERROR(__xludf.DUMMYFUNCTION("""COMPUTED_VALUE"""),"JENT")</f>
        <v>JENT</v>
      </c>
      <c r="L767" t="str">
        <f ca="1">IFERROR(__xludf.DUMMYFUNCTION("""COMPUTED_VALUE"""),"Y")</f>
        <v>Y</v>
      </c>
      <c r="M767" t="str">
        <f ca="1">IFERROR(__xludf.DUMMYFUNCTION("""COMPUTED_VALUE"""),"ie-101")</f>
        <v>ie-101</v>
      </c>
    </row>
    <row r="768" spans="1:13" ht="12.5" x14ac:dyDescent="0.25">
      <c r="A768" t="str">
        <f ca="1">IFERROR(__xludf.DUMMYFUNCTION("""COMPUTED_VALUE"""),"Sonal")</f>
        <v>Sonal</v>
      </c>
      <c r="B768" t="str">
        <f ca="1">IFERROR(__xludf.DUMMYFUNCTION("""COMPUTED_VALUE"""),"Tjahyawati")</f>
        <v>Tjahyawati</v>
      </c>
      <c r="C768" t="str">
        <f ca="1">IFERROR(__xludf.DUMMYFUNCTION("""COMPUTED_VALUE"""),"Sonal@mex.com")</f>
        <v>Sonal@mex.com</v>
      </c>
      <c r="D768" t="str">
        <f ca="1">IFERROR(__xludf.DUMMYFUNCTION("""COMPUTED_VALUE"""),"Madiun")</f>
        <v>Madiun</v>
      </c>
      <c r="E768" s="12">
        <f ca="1">IFERROR(__xludf.DUMMYFUNCTION("""COMPUTED_VALUE"""),42575)</f>
        <v>42575</v>
      </c>
      <c r="F768" t="str">
        <f ca="1">IFERROR(__xludf.DUMMYFUNCTION("""COMPUTED_VALUE"""),"KP0750AJ")</f>
        <v>KP0750AJ</v>
      </c>
      <c r="G768" s="11">
        <f ca="1">IFERROR(__xludf.DUMMYFUNCTION("""COMPUTED_VALUE"""),90000000)</f>
        <v>90000000</v>
      </c>
      <c r="H768">
        <f ca="1">IFERROR(__xludf.DUMMYFUNCTION("""COMPUTED_VALUE"""),36717)</f>
        <v>36717</v>
      </c>
      <c r="I768">
        <f ca="1">IFERROR(__xludf.DUMMYFUNCTION("""COMPUTED_VALUE"""),5)</f>
        <v>5</v>
      </c>
      <c r="J768" t="str">
        <f ca="1">IFERROR(__xludf.DUMMYFUNCTION("""COMPUTED_VALUE"""),"N/A")</f>
        <v>N/A</v>
      </c>
      <c r="K768" t="str">
        <f ca="1">IFERROR(__xludf.DUMMYFUNCTION("""COMPUTED_VALUE"""),"Swift Delivery")</f>
        <v>Swift Delivery</v>
      </c>
      <c r="L768" t="str">
        <f ca="1">IFERROR(__xludf.DUMMYFUNCTION("""COMPUTED_VALUE"""),"N")</f>
        <v>N</v>
      </c>
      <c r="M768" t="str">
        <f ca="1">IFERROR(__xludf.DUMMYFUNCTION("""COMPUTED_VALUE"""),"kt-123")</f>
        <v>kt-123</v>
      </c>
    </row>
    <row r="769" spans="1:13" ht="12.5" x14ac:dyDescent="0.25">
      <c r="A769" t="str">
        <f ca="1">IFERROR(__xludf.DUMMYFUNCTION("""COMPUTED_VALUE"""),"Herman")</f>
        <v>Herman</v>
      </c>
      <c r="B769" t="str">
        <f ca="1">IFERROR(__xludf.DUMMYFUNCTION("""COMPUTED_VALUE"""),"Nur")</f>
        <v>Nur</v>
      </c>
      <c r="C769" t="str">
        <f ca="1">IFERROR(__xludf.DUMMYFUNCTION("""COMPUTED_VALUE"""),"Nur@ymailx.com")</f>
        <v>Nur@ymailx.com</v>
      </c>
      <c r="D769" t="str">
        <f ca="1">IFERROR(__xludf.DUMMYFUNCTION("""COMPUTED_VALUE"""),"Tangerang")</f>
        <v>Tangerang</v>
      </c>
      <c r="E769" s="12">
        <f ca="1">IFERROR(__xludf.DUMMYFUNCTION("""COMPUTED_VALUE"""),42573)</f>
        <v>42573</v>
      </c>
      <c r="F769" t="str">
        <f ca="1">IFERROR(__xludf.DUMMYFUNCTION("""COMPUTED_VALUE"""),"KP0625AF")</f>
        <v>KP0625AF</v>
      </c>
      <c r="G769" s="11">
        <f ca="1">IFERROR(__xludf.DUMMYFUNCTION("""COMPUTED_VALUE"""),108000000)</f>
        <v>108000000</v>
      </c>
      <c r="H769">
        <f ca="1">IFERROR(__xludf.DUMMYFUNCTION("""COMPUTED_VALUE"""),35112)</f>
        <v>35112</v>
      </c>
      <c r="I769">
        <f ca="1">IFERROR(__xludf.DUMMYFUNCTION("""COMPUTED_VALUE"""),9)</f>
        <v>9</v>
      </c>
      <c r="J769" t="str">
        <f ca="1">IFERROR(__xludf.DUMMYFUNCTION("""COMPUTED_VALUE"""),"N/A")</f>
        <v>N/A</v>
      </c>
      <c r="K769" t="str">
        <f ca="1">IFERROR(__xludf.DUMMYFUNCTION("""COMPUTED_VALUE"""),"Wakanda Express")</f>
        <v>Wakanda Express</v>
      </c>
      <c r="L769" t="str">
        <f ca="1">IFERROR(__xludf.DUMMYFUNCTION("""COMPUTED_VALUE"""),"Y")</f>
        <v>Y</v>
      </c>
      <c r="M769" t="str">
        <f ca="1">IFERROR(__xludf.DUMMYFUNCTION("""COMPUTED_VALUE"""),"uf-500")</f>
        <v>uf-500</v>
      </c>
    </row>
    <row r="770" spans="1:13" ht="12.5" x14ac:dyDescent="0.25">
      <c r="A770" t="str">
        <f ca="1">IFERROR(__xludf.DUMMYFUNCTION("""COMPUTED_VALUE"""),"Katini")</f>
        <v>Katini</v>
      </c>
      <c r="B770" t="str">
        <f ca="1">IFERROR(__xludf.DUMMYFUNCTION("""COMPUTED_VALUE"""),"Hamzah")</f>
        <v>Hamzah</v>
      </c>
      <c r="C770" t="str">
        <f ca="1">IFERROR(__xludf.DUMMYFUNCTION("""COMPUTED_VALUE"""),"Katini@ymailx.com")</f>
        <v>Katini@ymailx.com</v>
      </c>
      <c r="D770" t="str">
        <f ca="1">IFERROR(__xludf.DUMMYFUNCTION("""COMPUTED_VALUE"""),"Prabumulih")</f>
        <v>Prabumulih</v>
      </c>
      <c r="E770" s="12">
        <f ca="1">IFERROR(__xludf.DUMMYFUNCTION("""COMPUTED_VALUE"""),42572)</f>
        <v>42572</v>
      </c>
      <c r="F770" t="str">
        <f ca="1">IFERROR(__xludf.DUMMYFUNCTION("""COMPUTED_VALUE"""),"KP0925SG")</f>
        <v>KP0925SG</v>
      </c>
      <c r="G770" s="11">
        <f ca="1">IFERROR(__xludf.DUMMYFUNCTION("""COMPUTED_VALUE"""),150000000)</f>
        <v>150000000</v>
      </c>
      <c r="H770">
        <f ca="1">IFERROR(__xludf.DUMMYFUNCTION("""COMPUTED_VALUE"""),35614)</f>
        <v>35614</v>
      </c>
      <c r="I770">
        <f ca="1">IFERROR(__xludf.DUMMYFUNCTION("""COMPUTED_VALUE"""),10)</f>
        <v>10</v>
      </c>
      <c r="J770">
        <f ca="1">IFERROR(__xludf.DUMMYFUNCTION("""COMPUTED_VALUE"""),4)</f>
        <v>4</v>
      </c>
      <c r="K770" t="str">
        <f ca="1">IFERROR(__xludf.DUMMYFUNCTION("""COMPUTED_VALUE"""),"Cepat Kirim")</f>
        <v>Cepat Kirim</v>
      </c>
      <c r="L770" t="str">
        <f ca="1">IFERROR(__xludf.DUMMYFUNCTION("""COMPUTED_VALUE"""),"Y")</f>
        <v>Y</v>
      </c>
      <c r="M770" t="str">
        <f ca="1">IFERROR(__xludf.DUMMYFUNCTION("""COMPUTED_VALUE"""),"ul-661")</f>
        <v>ul-661</v>
      </c>
    </row>
    <row r="771" spans="1:13" ht="12.5" x14ac:dyDescent="0.25">
      <c r="A771" t="str">
        <f ca="1">IFERROR(__xludf.DUMMYFUNCTION("""COMPUTED_VALUE"""),"Lucia")</f>
        <v>Lucia</v>
      </c>
      <c r="B771" t="str">
        <f ca="1">IFERROR(__xludf.DUMMYFUNCTION("""COMPUTED_VALUE"""),"Anggraini")</f>
        <v>Anggraini</v>
      </c>
      <c r="C771" t="str">
        <f ca="1">IFERROR(__xludf.DUMMYFUNCTION("""COMPUTED_VALUE"""),"Lucia@icloudx.com")</f>
        <v>Lucia@icloudx.com</v>
      </c>
      <c r="D771" t="str">
        <f ca="1">IFERROR(__xludf.DUMMYFUNCTION("""COMPUTED_VALUE"""),"Probolinggo")</f>
        <v>Probolinggo</v>
      </c>
      <c r="E771" s="12">
        <f ca="1">IFERROR(__xludf.DUMMYFUNCTION("""COMPUTED_VALUE"""),42570)</f>
        <v>42570</v>
      </c>
      <c r="F771" t="str">
        <f ca="1">IFERROR(__xludf.DUMMYFUNCTION("""COMPUTED_VALUE"""),"KP0925SG")</f>
        <v>KP0925SG</v>
      </c>
      <c r="G771" s="11">
        <f ca="1">IFERROR(__xludf.DUMMYFUNCTION("""COMPUTED_VALUE"""),150000000)</f>
        <v>150000000</v>
      </c>
      <c r="H771">
        <f ca="1">IFERROR(__xludf.DUMMYFUNCTION("""COMPUTED_VALUE"""),36297)</f>
        <v>36297</v>
      </c>
      <c r="I771">
        <f ca="1">IFERROR(__xludf.DUMMYFUNCTION("""COMPUTED_VALUE"""),10)</f>
        <v>10</v>
      </c>
      <c r="J771">
        <f ca="1">IFERROR(__xludf.DUMMYFUNCTION("""COMPUTED_VALUE"""),4)</f>
        <v>4</v>
      </c>
      <c r="K771" t="str">
        <f ca="1">IFERROR(__xludf.DUMMYFUNCTION("""COMPUTED_VALUE"""),"JENT")</f>
        <v>JENT</v>
      </c>
      <c r="L771" t="str">
        <f ca="1">IFERROR(__xludf.DUMMYFUNCTION("""COMPUTED_VALUE"""),"Y")</f>
        <v>Y</v>
      </c>
      <c r="M771" t="str">
        <f ca="1">IFERROR(__xludf.DUMMYFUNCTION("""COMPUTED_VALUE"""),"cg-123")</f>
        <v>cg-123</v>
      </c>
    </row>
    <row r="772" spans="1:13" ht="12.5" x14ac:dyDescent="0.25">
      <c r="A772" t="str">
        <f ca="1">IFERROR(__xludf.DUMMYFUNCTION("""COMPUTED_VALUE"""),"Rachana")</f>
        <v>Rachana</v>
      </c>
      <c r="B772" t="str">
        <f ca="1">IFERROR(__xludf.DUMMYFUNCTION("""COMPUTED_VALUE"""),"L.")</f>
        <v>L.</v>
      </c>
      <c r="C772" t="str">
        <f ca="1">IFERROR(__xludf.DUMMYFUNCTION("""COMPUTED_VALUE"""),"L.@rocketmailx.com")</f>
        <v>L.@rocketmailx.com</v>
      </c>
      <c r="D772" t="str">
        <f ca="1">IFERROR(__xludf.DUMMYFUNCTION("""COMPUTED_VALUE"""),"Samarinda")</f>
        <v>Samarinda</v>
      </c>
      <c r="E772" s="12">
        <f ca="1">IFERROR(__xludf.DUMMYFUNCTION("""COMPUTED_VALUE"""),42567)</f>
        <v>42567</v>
      </c>
      <c r="F772" t="str">
        <f ca="1">IFERROR(__xludf.DUMMYFUNCTION("""COMPUTED_VALUE"""),"KP0225BB")</f>
        <v>KP0225BB</v>
      </c>
      <c r="G772" s="11">
        <f ca="1">IFERROR(__xludf.DUMMYFUNCTION("""COMPUTED_VALUE"""),80000000)</f>
        <v>80000000</v>
      </c>
      <c r="H772">
        <f ca="1">IFERROR(__xludf.DUMMYFUNCTION("""COMPUTED_VALUE"""),35984)</f>
        <v>35984</v>
      </c>
      <c r="I772">
        <f ca="1">IFERROR(__xludf.DUMMYFUNCTION("""COMPUTED_VALUE"""),8)</f>
        <v>8</v>
      </c>
      <c r="J772" t="str">
        <f ca="1">IFERROR(__xludf.DUMMYFUNCTION("""COMPUTED_VALUE"""),"N/A")</f>
        <v>N/A</v>
      </c>
      <c r="K772" t="str">
        <f ca="1">IFERROR(__xludf.DUMMYFUNCTION("""COMPUTED_VALUE"""),"JENT")</f>
        <v>JENT</v>
      </c>
      <c r="L772" t="str">
        <f ca="1">IFERROR(__xludf.DUMMYFUNCTION("""COMPUTED_VALUE"""),"N")</f>
        <v>N</v>
      </c>
      <c r="M772" t="str">
        <f ca="1">IFERROR(__xludf.DUMMYFUNCTION("""COMPUTED_VALUE"""),"kh-993")</f>
        <v>kh-993</v>
      </c>
    </row>
    <row r="773" spans="1:13" ht="12.5" x14ac:dyDescent="0.25">
      <c r="A773" t="str">
        <f ca="1">IFERROR(__xludf.DUMMYFUNCTION("""COMPUTED_VALUE"""),"Pitra")</f>
        <v>Pitra</v>
      </c>
      <c r="B773" t="str">
        <f ca="1">IFERROR(__xludf.DUMMYFUNCTION("""COMPUTED_VALUE"""),"Kusnadi")</f>
        <v>Kusnadi</v>
      </c>
      <c r="C773" t="str">
        <f ca="1">IFERROR(__xludf.DUMMYFUNCTION("""COMPUTED_VALUE"""),"Kusnadi@icloudx.com")</f>
        <v>Kusnadi@icloudx.com</v>
      </c>
      <c r="D773" t="str">
        <f ca="1">IFERROR(__xludf.DUMMYFUNCTION("""COMPUTED_VALUE"""),"Palu")</f>
        <v>Palu</v>
      </c>
      <c r="E773" s="12">
        <f ca="1">IFERROR(__xludf.DUMMYFUNCTION("""COMPUTED_VALUE"""),42567)</f>
        <v>42567</v>
      </c>
      <c r="F773" t="str">
        <f ca="1">IFERROR(__xludf.DUMMYFUNCTION("""COMPUTED_VALUE"""),"KP0925SG")</f>
        <v>KP0925SG</v>
      </c>
      <c r="G773" s="11">
        <f ca="1">IFERROR(__xludf.DUMMYFUNCTION("""COMPUTED_VALUE"""),150000000)</f>
        <v>150000000</v>
      </c>
      <c r="H773">
        <f ca="1">IFERROR(__xludf.DUMMYFUNCTION("""COMPUTED_VALUE"""),35694)</f>
        <v>35694</v>
      </c>
      <c r="I773">
        <f ca="1">IFERROR(__xludf.DUMMYFUNCTION("""COMPUTED_VALUE"""),10)</f>
        <v>10</v>
      </c>
      <c r="J773">
        <f ca="1">IFERROR(__xludf.DUMMYFUNCTION("""COMPUTED_VALUE"""),4)</f>
        <v>4</v>
      </c>
      <c r="K773" t="str">
        <f ca="1">IFERROR(__xludf.DUMMYFUNCTION("""COMPUTED_VALUE"""),"JENT")</f>
        <v>JENT</v>
      </c>
      <c r="L773" t="str">
        <f ca="1">IFERROR(__xludf.DUMMYFUNCTION("""COMPUTED_VALUE"""),"N")</f>
        <v>N</v>
      </c>
      <c r="M773" t="str">
        <f ca="1">IFERROR(__xludf.DUMMYFUNCTION("""COMPUTED_VALUE"""),"qa-280")</f>
        <v>qa-280</v>
      </c>
    </row>
    <row r="774" spans="1:13" ht="12.5" x14ac:dyDescent="0.25">
      <c r="A774" t="str">
        <f ca="1">IFERROR(__xludf.DUMMYFUNCTION("""COMPUTED_VALUE"""),"Sonny")</f>
        <v>Sonny</v>
      </c>
      <c r="B774" t="str">
        <f ca="1">IFERROR(__xludf.DUMMYFUNCTION("""COMPUTED_VALUE"""),"Pribadi")</f>
        <v>Pribadi</v>
      </c>
      <c r="C774" t="str">
        <f ca="1">IFERROR(__xludf.DUMMYFUNCTION("""COMPUTED_VALUE"""),"Sonny@mex.com")</f>
        <v>Sonny@mex.com</v>
      </c>
      <c r="D774" t="str">
        <f ca="1">IFERROR(__xludf.DUMMYFUNCTION("""COMPUTED_VALUE"""),"Tangerang Selatan")</f>
        <v>Tangerang Selatan</v>
      </c>
      <c r="E774" s="12">
        <f ca="1">IFERROR(__xludf.DUMMYFUNCTION("""COMPUTED_VALUE"""),42567)</f>
        <v>42567</v>
      </c>
      <c r="F774" t="str">
        <f ca="1">IFERROR(__xludf.DUMMYFUNCTION("""COMPUTED_VALUE"""),"KP0925SG")</f>
        <v>KP0925SG</v>
      </c>
      <c r="G774" s="11">
        <f ca="1">IFERROR(__xludf.DUMMYFUNCTION("""COMPUTED_VALUE"""),120000000)</f>
        <v>120000000</v>
      </c>
      <c r="H774">
        <f ca="1">IFERROR(__xludf.DUMMYFUNCTION("""COMPUTED_VALUE"""),36318)</f>
        <v>36318</v>
      </c>
      <c r="I774">
        <f ca="1">IFERROR(__xludf.DUMMYFUNCTION("""COMPUTED_VALUE"""),8)</f>
        <v>8</v>
      </c>
      <c r="J774" t="str">
        <f ca="1">IFERROR(__xludf.DUMMYFUNCTION("""COMPUTED_VALUE"""),"N/A")</f>
        <v>N/A</v>
      </c>
      <c r="K774" t="str">
        <f ca="1">IFERROR(__xludf.DUMMYFUNCTION("""COMPUTED_VALUE"""),"JENT")</f>
        <v>JENT</v>
      </c>
      <c r="L774" t="str">
        <f ca="1">IFERROR(__xludf.DUMMYFUNCTION("""COMPUTED_VALUE"""),"N")</f>
        <v>N</v>
      </c>
      <c r="M774" t="str">
        <f ca="1">IFERROR(__xludf.DUMMYFUNCTION("""COMPUTED_VALUE"""),"ha-500")</f>
        <v>ha-500</v>
      </c>
    </row>
    <row r="775" spans="1:13" ht="12.5" x14ac:dyDescent="0.25">
      <c r="A775" t="str">
        <f ca="1">IFERROR(__xludf.DUMMYFUNCTION("""COMPUTED_VALUE"""),"Petrus")</f>
        <v>Petrus</v>
      </c>
      <c r="B775" t="str">
        <f ca="1">IFERROR(__xludf.DUMMYFUNCTION("""COMPUTED_VALUE"""),"Sugianto")</f>
        <v>Sugianto</v>
      </c>
      <c r="C775" t="str">
        <f ca="1">IFERROR(__xludf.DUMMYFUNCTION("""COMPUTED_VALUE"""),"Petrus@livex.com")</f>
        <v>Petrus@livex.com</v>
      </c>
      <c r="D775" t="str">
        <f ca="1">IFERROR(__xludf.DUMMYFUNCTION("""COMPUTED_VALUE"""),"Pekalongan")</f>
        <v>Pekalongan</v>
      </c>
      <c r="E775" s="12">
        <f ca="1">IFERROR(__xludf.DUMMYFUNCTION("""COMPUTED_VALUE"""),42565)</f>
        <v>42565</v>
      </c>
      <c r="F775" t="str">
        <f ca="1">IFERROR(__xludf.DUMMYFUNCTION("""COMPUTED_VALUE"""),"KP0850FB")</f>
        <v>KP0850FB</v>
      </c>
      <c r="G775" s="11">
        <f ca="1">IFERROR(__xludf.DUMMYFUNCTION("""COMPUTED_VALUE"""),126000000)</f>
        <v>126000000</v>
      </c>
      <c r="H775">
        <f ca="1">IFERROR(__xludf.DUMMYFUNCTION("""COMPUTED_VALUE"""),36863)</f>
        <v>36863</v>
      </c>
      <c r="I775">
        <f ca="1">IFERROR(__xludf.DUMMYFUNCTION("""COMPUTED_VALUE"""),6)</f>
        <v>6</v>
      </c>
      <c r="J775" t="str">
        <f ca="1">IFERROR(__xludf.DUMMYFUNCTION("""COMPUTED_VALUE"""),"N/A")</f>
        <v>N/A</v>
      </c>
      <c r="K775" t="str">
        <f ca="1">IFERROR(__xludf.DUMMYFUNCTION("""COMPUTED_VALUE"""),"Pru Logistic")</f>
        <v>Pru Logistic</v>
      </c>
      <c r="L775" t="str">
        <f ca="1">IFERROR(__xludf.DUMMYFUNCTION("""COMPUTED_VALUE"""),"N")</f>
        <v>N</v>
      </c>
      <c r="M775" t="str">
        <f ca="1">IFERROR(__xludf.DUMMYFUNCTION("""COMPUTED_VALUE"""),"zy-410")</f>
        <v>zy-410</v>
      </c>
    </row>
    <row r="776" spans="1:13" ht="12.5" x14ac:dyDescent="0.25">
      <c r="A776" t="str">
        <f ca="1">IFERROR(__xludf.DUMMYFUNCTION("""COMPUTED_VALUE"""),"Kim")</f>
        <v>Kim</v>
      </c>
      <c r="B776" t="str">
        <f ca="1">IFERROR(__xludf.DUMMYFUNCTION("""COMPUTED_VALUE"""),"Brett")</f>
        <v>Brett</v>
      </c>
      <c r="C776" t="str">
        <f ca="1">IFERROR(__xludf.DUMMYFUNCTION("""COMPUTED_VALUE"""),"Brett@ymailx.com")</f>
        <v>Brett@ymailx.com</v>
      </c>
      <c r="D776" t="str">
        <f ca="1">IFERROR(__xludf.DUMMYFUNCTION("""COMPUTED_VALUE"""),"Bitung")</f>
        <v>Bitung</v>
      </c>
      <c r="E776" s="12">
        <f ca="1">IFERROR(__xludf.DUMMYFUNCTION("""COMPUTED_VALUE"""),42565)</f>
        <v>42565</v>
      </c>
      <c r="F776" t="str">
        <f ca="1">IFERROR(__xludf.DUMMYFUNCTION("""COMPUTED_VALUE"""),"KP0225BB")</f>
        <v>KP0225BB</v>
      </c>
      <c r="G776" s="11">
        <f ca="1">IFERROR(__xludf.DUMMYFUNCTION("""COMPUTED_VALUE"""),100000000)</f>
        <v>100000000</v>
      </c>
      <c r="H776">
        <f ca="1">IFERROR(__xludf.DUMMYFUNCTION("""COMPUTED_VALUE"""),35893)</f>
        <v>35893</v>
      </c>
      <c r="I776">
        <f ca="1">IFERROR(__xludf.DUMMYFUNCTION("""COMPUTED_VALUE"""),10)</f>
        <v>10</v>
      </c>
      <c r="J776" t="str">
        <f ca="1">IFERROR(__xludf.DUMMYFUNCTION("""COMPUTED_VALUE"""),"N/A")</f>
        <v>N/A</v>
      </c>
      <c r="K776" t="str">
        <f ca="1">IFERROR(__xludf.DUMMYFUNCTION("""COMPUTED_VALUE"""),"Cepat Kirim")</f>
        <v>Cepat Kirim</v>
      </c>
      <c r="L776" t="str">
        <f ca="1">IFERROR(__xludf.DUMMYFUNCTION("""COMPUTED_VALUE"""),"Y")</f>
        <v>Y</v>
      </c>
      <c r="M776" t="str">
        <f ca="1">IFERROR(__xludf.DUMMYFUNCTION("""COMPUTED_VALUE"""),"zx-221")</f>
        <v>zx-221</v>
      </c>
    </row>
    <row r="777" spans="1:13" ht="12.5" x14ac:dyDescent="0.25">
      <c r="A777" t="str">
        <f ca="1">IFERROR(__xludf.DUMMYFUNCTION("""COMPUTED_VALUE"""),"Anil")</f>
        <v>Anil</v>
      </c>
      <c r="B777" t="str">
        <f ca="1">IFERROR(__xludf.DUMMYFUNCTION("""COMPUTED_VALUE"""),"Djauhari")</f>
        <v>Djauhari</v>
      </c>
      <c r="C777" t="str">
        <f ca="1">IFERROR(__xludf.DUMMYFUNCTION("""COMPUTED_VALUE"""),"Djauhari@ymailx.com")</f>
        <v>Djauhari@ymailx.com</v>
      </c>
      <c r="D777" t="str">
        <f ca="1">IFERROR(__xludf.DUMMYFUNCTION("""COMPUTED_VALUE"""),"Meulaboh")</f>
        <v>Meulaboh</v>
      </c>
      <c r="E777" s="12">
        <f ca="1">IFERROR(__xludf.DUMMYFUNCTION("""COMPUTED_VALUE"""),42565)</f>
        <v>42565</v>
      </c>
      <c r="F777" t="str">
        <f ca="1">IFERROR(__xludf.DUMMYFUNCTION("""COMPUTED_VALUE"""),"KP0150BH")</f>
        <v>KP0150BH</v>
      </c>
      <c r="G777" s="11">
        <f ca="1">IFERROR(__xludf.DUMMYFUNCTION("""COMPUTED_VALUE"""),189000000)</f>
        <v>189000000</v>
      </c>
      <c r="H777">
        <f ca="1">IFERROR(__xludf.DUMMYFUNCTION("""COMPUTED_VALUE"""),36299)</f>
        <v>36299</v>
      </c>
      <c r="I777">
        <f ca="1">IFERROR(__xludf.DUMMYFUNCTION("""COMPUTED_VALUE"""),7)</f>
        <v>7</v>
      </c>
      <c r="J777">
        <f ca="1">IFERROR(__xludf.DUMMYFUNCTION("""COMPUTED_VALUE"""),5)</f>
        <v>5</v>
      </c>
      <c r="K777" t="str">
        <f ca="1">IFERROR(__xludf.DUMMYFUNCTION("""COMPUTED_VALUE"""),"JENT")</f>
        <v>JENT</v>
      </c>
      <c r="L777" t="str">
        <f ca="1">IFERROR(__xludf.DUMMYFUNCTION("""COMPUTED_VALUE"""),"Y")</f>
        <v>Y</v>
      </c>
      <c r="M777" t="str">
        <f ca="1">IFERROR(__xludf.DUMMYFUNCTION("""COMPUTED_VALUE"""),"yl-101")</f>
        <v>yl-101</v>
      </c>
    </row>
    <row r="778" spans="1:13" ht="12.5" x14ac:dyDescent="0.25">
      <c r="A778" t="str">
        <f ca="1">IFERROR(__xludf.DUMMYFUNCTION("""COMPUTED_VALUE"""),"Dicky")</f>
        <v>Dicky</v>
      </c>
      <c r="B778" t="str">
        <f ca="1">IFERROR(__xludf.DUMMYFUNCTION("""COMPUTED_VALUE"""),"Panigoro")</f>
        <v>Panigoro</v>
      </c>
      <c r="C778" t="str">
        <f ca="1">IFERROR(__xludf.DUMMYFUNCTION("""COMPUTED_VALUE"""),"Panigoro@gmailx.com")</f>
        <v>Panigoro@gmailx.com</v>
      </c>
      <c r="D778" t="str">
        <f ca="1">IFERROR(__xludf.DUMMYFUNCTION("""COMPUTED_VALUE"""),"Salatiga")</f>
        <v>Salatiga</v>
      </c>
      <c r="E778" s="12">
        <f ca="1">IFERROR(__xludf.DUMMYFUNCTION("""COMPUTED_VALUE"""),42681)</f>
        <v>42681</v>
      </c>
      <c r="F778" t="str">
        <f ca="1">IFERROR(__xludf.DUMMYFUNCTION("""COMPUTED_VALUE"""),"KP0225BB")</f>
        <v>KP0225BB</v>
      </c>
      <c r="G778" s="11">
        <f ca="1">IFERROR(__xludf.DUMMYFUNCTION("""COMPUTED_VALUE"""),60000000)</f>
        <v>60000000</v>
      </c>
      <c r="H778">
        <f ca="1">IFERROR(__xludf.DUMMYFUNCTION("""COMPUTED_VALUE"""),35808)</f>
        <v>35808</v>
      </c>
      <c r="I778">
        <f ca="1">IFERROR(__xludf.DUMMYFUNCTION("""COMPUTED_VALUE"""),6)</f>
        <v>6</v>
      </c>
      <c r="J778" t="str">
        <f ca="1">IFERROR(__xludf.DUMMYFUNCTION("""COMPUTED_VALUE"""),"N/A")</f>
        <v>N/A</v>
      </c>
      <c r="K778" t="str">
        <f ca="1">IFERROR(__xludf.DUMMYFUNCTION("""COMPUTED_VALUE"""),"Wakanda Express")</f>
        <v>Wakanda Express</v>
      </c>
      <c r="L778" t="str">
        <f ca="1">IFERROR(__xludf.DUMMYFUNCTION("""COMPUTED_VALUE"""),"Y")</f>
        <v>Y</v>
      </c>
      <c r="M778" t="str">
        <f ca="1">IFERROR(__xludf.DUMMYFUNCTION("""COMPUTED_VALUE"""),"ea-410")</f>
        <v>ea-410</v>
      </c>
    </row>
    <row r="779" spans="1:13" ht="12.5" x14ac:dyDescent="0.25">
      <c r="A779" t="str">
        <f ca="1">IFERROR(__xludf.DUMMYFUNCTION("""COMPUTED_VALUE"""),"Veronica")</f>
        <v>Veronica</v>
      </c>
      <c r="B779" t="str">
        <f ca="1">IFERROR(__xludf.DUMMYFUNCTION("""COMPUTED_VALUE"""),"Yuwono")</f>
        <v>Yuwono</v>
      </c>
      <c r="C779" t="str">
        <f ca="1">IFERROR(__xludf.DUMMYFUNCTION("""COMPUTED_VALUE"""),"Veronica@mex.com")</f>
        <v>Veronica@mex.com</v>
      </c>
      <c r="D779" t="str">
        <f ca="1">IFERROR(__xludf.DUMMYFUNCTION("""COMPUTED_VALUE"""),"Sungai Penuh")</f>
        <v>Sungai Penuh</v>
      </c>
      <c r="E779" s="12">
        <f ca="1">IFERROR(__xludf.DUMMYFUNCTION("""COMPUTED_VALUE"""),42650)</f>
        <v>42650</v>
      </c>
      <c r="F779" t="str">
        <f ca="1">IFERROR(__xludf.DUMMYFUNCTION("""COMPUTED_VALUE"""),"KP0150BH")</f>
        <v>KP0150BH</v>
      </c>
      <c r="G779" s="11">
        <f ca="1">IFERROR(__xludf.DUMMYFUNCTION("""COMPUTED_VALUE"""),108000000)</f>
        <v>108000000</v>
      </c>
      <c r="H779">
        <f ca="1">IFERROR(__xludf.DUMMYFUNCTION("""COMPUTED_VALUE"""),36959)</f>
        <v>36959</v>
      </c>
      <c r="I779">
        <f ca="1">IFERROR(__xludf.DUMMYFUNCTION("""COMPUTED_VALUE"""),4)</f>
        <v>4</v>
      </c>
      <c r="J779">
        <f ca="1">IFERROR(__xludf.DUMMYFUNCTION("""COMPUTED_VALUE"""),4)</f>
        <v>4</v>
      </c>
      <c r="K779" t="str">
        <f ca="1">IFERROR(__xludf.DUMMYFUNCTION("""COMPUTED_VALUE"""),"#N/A")</f>
        <v>#N/A</v>
      </c>
      <c r="L779" t="str">
        <f ca="1">IFERROR(__xludf.DUMMYFUNCTION("""COMPUTED_VALUE"""),"N")</f>
        <v>N</v>
      </c>
      <c r="M779" t="str">
        <f ca="1">IFERROR(__xludf.DUMMYFUNCTION("""COMPUTED_VALUE"""),"cc-512")</f>
        <v>cc-512</v>
      </c>
    </row>
    <row r="780" spans="1:13" ht="12.5" x14ac:dyDescent="0.25">
      <c r="A780" t="str">
        <f ca="1">IFERROR(__xludf.DUMMYFUNCTION("""COMPUTED_VALUE"""),"Hong")</f>
        <v>Hong</v>
      </c>
      <c r="B780" t="str">
        <f ca="1">IFERROR(__xludf.DUMMYFUNCTION("""COMPUTED_VALUE"""),"Narpatisuta")</f>
        <v>Narpatisuta</v>
      </c>
      <c r="C780" t="str">
        <f ca="1">IFERROR(__xludf.DUMMYFUNCTION("""COMPUTED_VALUE"""),"Narpatisuta@ymailx.com")</f>
        <v>Narpatisuta@ymailx.com</v>
      </c>
      <c r="D780" t="str">
        <f ca="1">IFERROR(__xludf.DUMMYFUNCTION("""COMPUTED_VALUE"""),"Pematangsiantar")</f>
        <v>Pematangsiantar</v>
      </c>
      <c r="E780" s="12">
        <f ca="1">IFERROR(__xludf.DUMMYFUNCTION("""COMPUTED_VALUE"""),42589)</f>
        <v>42589</v>
      </c>
      <c r="F780" t="str">
        <f ca="1">IFERROR(__xludf.DUMMYFUNCTION("""COMPUTED_VALUE"""),"KP0750AJ")</f>
        <v>KP0750AJ</v>
      </c>
      <c r="G780" s="11">
        <f ca="1">IFERROR(__xludf.DUMMYFUNCTION("""COMPUTED_VALUE"""),72000000)</f>
        <v>72000000</v>
      </c>
      <c r="H780">
        <f ca="1">IFERROR(__xludf.DUMMYFUNCTION("""COMPUTED_VALUE"""),36081)</f>
        <v>36081</v>
      </c>
      <c r="I780">
        <f ca="1">IFERROR(__xludf.DUMMYFUNCTION("""COMPUTED_VALUE"""),4)</f>
        <v>4</v>
      </c>
      <c r="J780" t="str">
        <f ca="1">IFERROR(__xludf.DUMMYFUNCTION("""COMPUTED_VALUE"""),"N/A")</f>
        <v>N/A</v>
      </c>
      <c r="K780" t="str">
        <f ca="1">IFERROR(__xludf.DUMMYFUNCTION("""COMPUTED_VALUE"""),"Wakanda Express")</f>
        <v>Wakanda Express</v>
      </c>
      <c r="L780" t="str">
        <f ca="1">IFERROR(__xludf.DUMMYFUNCTION("""COMPUTED_VALUE"""),"Y")</f>
        <v>Y</v>
      </c>
      <c r="M780" t="str">
        <f ca="1">IFERROR(__xludf.DUMMYFUNCTION("""COMPUTED_VALUE"""),"ow-662")</f>
        <v>ow-662</v>
      </c>
    </row>
    <row r="781" spans="1:13" ht="12.5" x14ac:dyDescent="0.25">
      <c r="A781" t="str">
        <f ca="1">IFERROR(__xludf.DUMMYFUNCTION("""COMPUTED_VALUE"""),"Stan")</f>
        <v>Stan</v>
      </c>
      <c r="B781" t="str">
        <f ca="1">IFERROR(__xludf.DUMMYFUNCTION("""COMPUTED_VALUE"""),"Kam")</f>
        <v>Kam</v>
      </c>
      <c r="C781" t="str">
        <f ca="1">IFERROR(__xludf.DUMMYFUNCTION("""COMPUTED_VALUE"""),"Stan@ymailx.com")</f>
        <v>Stan@ymailx.com</v>
      </c>
      <c r="D781" t="str">
        <f ca="1">IFERROR(__xludf.DUMMYFUNCTION("""COMPUTED_VALUE"""),"Padang")</f>
        <v>Padang</v>
      </c>
      <c r="E781" s="12">
        <f ca="1">IFERROR(__xludf.DUMMYFUNCTION("""COMPUTED_VALUE"""),42589)</f>
        <v>42589</v>
      </c>
      <c r="F781" t="str">
        <f ca="1">IFERROR(__xludf.DUMMYFUNCTION("""COMPUTED_VALUE"""),"KP0150BH")</f>
        <v>KP0150BH</v>
      </c>
      <c r="G781" s="11">
        <f ca="1">IFERROR(__xludf.DUMMYFUNCTION("""COMPUTED_VALUE"""),135000000)</f>
        <v>135000000</v>
      </c>
      <c r="H781">
        <f ca="1">IFERROR(__xludf.DUMMYFUNCTION("""COMPUTED_VALUE"""),36785)</f>
        <v>36785</v>
      </c>
      <c r="I781">
        <f ca="1">IFERROR(__xludf.DUMMYFUNCTION("""COMPUTED_VALUE"""),5)</f>
        <v>5</v>
      </c>
      <c r="J781">
        <f ca="1">IFERROR(__xludf.DUMMYFUNCTION("""COMPUTED_VALUE"""),4)</f>
        <v>4</v>
      </c>
      <c r="K781" t="str">
        <f ca="1">IFERROR(__xludf.DUMMYFUNCTION("""COMPUTED_VALUE"""),"JENT")</f>
        <v>JENT</v>
      </c>
      <c r="L781" t="str">
        <f ca="1">IFERROR(__xludf.DUMMYFUNCTION("""COMPUTED_VALUE"""),"N")</f>
        <v>N</v>
      </c>
      <c r="M781" t="str">
        <f ca="1">IFERROR(__xludf.DUMMYFUNCTION("""COMPUTED_VALUE"""),"sa-559")</f>
        <v>sa-559</v>
      </c>
    </row>
    <row r="782" spans="1:13" ht="12.5" x14ac:dyDescent="0.25">
      <c r="A782" t="str">
        <f ca="1">IFERROR(__xludf.DUMMYFUNCTION("""COMPUTED_VALUE"""),"Ong")</f>
        <v>Ong</v>
      </c>
      <c r="B782" t="str">
        <f ca="1">IFERROR(__xludf.DUMMYFUNCTION("""COMPUTED_VALUE"""),"Djuwadi")</f>
        <v>Djuwadi</v>
      </c>
      <c r="C782" t="str">
        <f ca="1">IFERROR(__xludf.DUMMYFUNCTION("""COMPUTED_VALUE"""),"Ong@rocketmailx.com")</f>
        <v>Ong@rocketmailx.com</v>
      </c>
      <c r="D782" t="str">
        <f ca="1">IFERROR(__xludf.DUMMYFUNCTION("""COMPUTED_VALUE"""),"Padang Sidempuan")</f>
        <v>Padang Sidempuan</v>
      </c>
      <c r="E782" s="12">
        <f ca="1">IFERROR(__xludf.DUMMYFUNCTION("""COMPUTED_VALUE"""),42558)</f>
        <v>42558</v>
      </c>
      <c r="F782" t="str">
        <f ca="1">IFERROR(__xludf.DUMMYFUNCTION("""COMPUTED_VALUE"""),"KP0050AG")</f>
        <v>KP0050AG</v>
      </c>
      <c r="G782" s="11">
        <f ca="1">IFERROR(__xludf.DUMMYFUNCTION("""COMPUTED_VALUE"""),113750000)</f>
        <v>113750000</v>
      </c>
      <c r="H782">
        <f ca="1">IFERROR(__xludf.DUMMYFUNCTION("""COMPUTED_VALUE"""),36390)</f>
        <v>36390</v>
      </c>
      <c r="I782">
        <f ca="1">IFERROR(__xludf.DUMMYFUNCTION("""COMPUTED_VALUE"""),7)</f>
        <v>7</v>
      </c>
      <c r="J782">
        <f ca="1">IFERROR(__xludf.DUMMYFUNCTION("""COMPUTED_VALUE"""),4)</f>
        <v>4</v>
      </c>
      <c r="K782" t="str">
        <f ca="1">IFERROR(__xludf.DUMMYFUNCTION("""COMPUTED_VALUE"""),"Cepat Kirim")</f>
        <v>Cepat Kirim</v>
      </c>
      <c r="L782" t="str">
        <f ca="1">IFERROR(__xludf.DUMMYFUNCTION("""COMPUTED_VALUE"""),"N")</f>
        <v>N</v>
      </c>
      <c r="M782" t="str">
        <f ca="1">IFERROR(__xludf.DUMMYFUNCTION("""COMPUTED_VALUE"""),"zr-662")</f>
        <v>zr-662</v>
      </c>
    </row>
    <row r="783" spans="1:13" ht="12.5" x14ac:dyDescent="0.25">
      <c r="A783" t="str">
        <f ca="1">IFERROR(__xludf.DUMMYFUNCTION("""COMPUTED_VALUE"""),"Kasiviswanathan")</f>
        <v>Kasiviswanathan</v>
      </c>
      <c r="B783" t="str">
        <f ca="1">IFERROR(__xludf.DUMMYFUNCTION("""COMPUTED_VALUE"""),"Solaiman")</f>
        <v>Solaiman</v>
      </c>
      <c r="C783" t="str">
        <f ca="1">IFERROR(__xludf.DUMMYFUNCTION("""COMPUTED_VALUE"""),"Solaiman@gmailx.com")</f>
        <v>Solaiman@gmailx.com</v>
      </c>
      <c r="D783" t="str">
        <f ca="1">IFERROR(__xludf.DUMMYFUNCTION("""COMPUTED_VALUE"""),"Blitar")</f>
        <v>Blitar</v>
      </c>
      <c r="E783" s="12">
        <f ca="1">IFERROR(__xludf.DUMMYFUNCTION("""COMPUTED_VALUE"""),42558)</f>
        <v>42558</v>
      </c>
      <c r="F783" t="str">
        <f ca="1">IFERROR(__xludf.DUMMYFUNCTION("""COMPUTED_VALUE"""),"KP0750AJ")</f>
        <v>KP0750AJ</v>
      </c>
      <c r="G783" s="11">
        <f ca="1">IFERROR(__xludf.DUMMYFUNCTION("""COMPUTED_VALUE"""),54000000)</f>
        <v>54000000</v>
      </c>
      <c r="H783">
        <f ca="1">IFERROR(__xludf.DUMMYFUNCTION("""COMPUTED_VALUE"""),35691)</f>
        <v>35691</v>
      </c>
      <c r="I783">
        <f ca="1">IFERROR(__xludf.DUMMYFUNCTION("""COMPUTED_VALUE"""),3)</f>
        <v>3</v>
      </c>
      <c r="J783" t="str">
        <f ca="1">IFERROR(__xludf.DUMMYFUNCTION("""COMPUTED_VALUE"""),"N/A")</f>
        <v>N/A</v>
      </c>
      <c r="K783" t="str">
        <f ca="1">IFERROR(__xludf.DUMMYFUNCTION("""COMPUTED_VALUE"""),"JENT")</f>
        <v>JENT</v>
      </c>
      <c r="L783" t="str">
        <f ca="1">IFERROR(__xludf.DUMMYFUNCTION("""COMPUTED_VALUE"""),"Y")</f>
        <v>Y</v>
      </c>
      <c r="M783" t="str">
        <f ca="1">IFERROR(__xludf.DUMMYFUNCTION("""COMPUTED_VALUE"""),"fi-123")</f>
        <v>fi-123</v>
      </c>
    </row>
    <row r="784" spans="1:13" ht="12.5" x14ac:dyDescent="0.25">
      <c r="A784" t="str">
        <f ca="1">IFERROR(__xludf.DUMMYFUNCTION("""COMPUTED_VALUE"""),"Osbert")</f>
        <v>Osbert</v>
      </c>
      <c r="B784" t="str">
        <f ca="1">IFERROR(__xludf.DUMMYFUNCTION("""COMPUTED_VALUE"""),"Maramis")</f>
        <v>Maramis</v>
      </c>
      <c r="C784" t="str">
        <f ca="1">IFERROR(__xludf.DUMMYFUNCTION("""COMPUTED_VALUE"""),"Maramis@outlookx.com")</f>
        <v>Maramis@outlookx.com</v>
      </c>
      <c r="D784" t="str">
        <f ca="1">IFERROR(__xludf.DUMMYFUNCTION("""COMPUTED_VALUE"""),"Purwokerto")</f>
        <v>Purwokerto</v>
      </c>
      <c r="E784" s="12">
        <f ca="1">IFERROR(__xludf.DUMMYFUNCTION("""COMPUTED_VALUE"""),42467)</f>
        <v>42467</v>
      </c>
      <c r="F784" t="str">
        <f ca="1">IFERROR(__xludf.DUMMYFUNCTION("""COMPUTED_VALUE"""),"KP0850FB")</f>
        <v>KP0850FB</v>
      </c>
      <c r="G784" s="11">
        <f ca="1">IFERROR(__xludf.DUMMYFUNCTION("""COMPUTED_VALUE"""),168000000)</f>
        <v>168000000</v>
      </c>
      <c r="H784">
        <f ca="1">IFERROR(__xludf.DUMMYFUNCTION("""COMPUTED_VALUE"""),36799)</f>
        <v>36799</v>
      </c>
      <c r="I784">
        <f ca="1">IFERROR(__xludf.DUMMYFUNCTION("""COMPUTED_VALUE"""),8)</f>
        <v>8</v>
      </c>
      <c r="J784" t="str">
        <f ca="1">IFERROR(__xludf.DUMMYFUNCTION("""COMPUTED_VALUE"""),"N/A")</f>
        <v>N/A</v>
      </c>
      <c r="K784" t="str">
        <f ca="1">IFERROR(__xludf.DUMMYFUNCTION("""COMPUTED_VALUE"""),"Wakanda Express")</f>
        <v>Wakanda Express</v>
      </c>
      <c r="L784" t="str">
        <f ca="1">IFERROR(__xludf.DUMMYFUNCTION("""COMPUTED_VALUE"""),"N")</f>
        <v>N</v>
      </c>
      <c r="M784" t="str">
        <f ca="1">IFERROR(__xludf.DUMMYFUNCTION("""COMPUTED_VALUE"""),"bx-410")</f>
        <v>bx-410</v>
      </c>
    </row>
    <row r="785" spans="1:13" ht="12.5" x14ac:dyDescent="0.25">
      <c r="A785" t="str">
        <f ca="1">IFERROR(__xludf.DUMMYFUNCTION("""COMPUTED_VALUE"""),"Itjendri")</f>
        <v>Itjendri</v>
      </c>
      <c r="B785" t="str">
        <f ca="1">IFERROR(__xludf.DUMMYFUNCTION("""COMPUTED_VALUE"""),"Ezeddin")</f>
        <v>Ezeddin</v>
      </c>
      <c r="C785" t="str">
        <f ca="1">IFERROR(__xludf.DUMMYFUNCTION("""COMPUTED_VALUE"""),"Ezeddin@gmailx.com")</f>
        <v>Ezeddin@gmailx.com</v>
      </c>
      <c r="D785" t="str">
        <f ca="1">IFERROR(__xludf.DUMMYFUNCTION("""COMPUTED_VALUE"""),"Payakumbuh")</f>
        <v>Payakumbuh</v>
      </c>
      <c r="E785" s="12">
        <f ca="1">IFERROR(__xludf.DUMMYFUNCTION("""COMPUTED_VALUE"""),42436)</f>
        <v>42436</v>
      </c>
      <c r="F785" t="str">
        <f ca="1">IFERROR(__xludf.DUMMYFUNCTION("""COMPUTED_VALUE"""),"KP0625AF")</f>
        <v>KP0625AF</v>
      </c>
      <c r="G785" s="11">
        <f ca="1">IFERROR(__xludf.DUMMYFUNCTION("""COMPUTED_VALUE"""),36000000)</f>
        <v>36000000</v>
      </c>
      <c r="H785">
        <f ca="1">IFERROR(__xludf.DUMMYFUNCTION("""COMPUTED_VALUE"""),35397)</f>
        <v>35397</v>
      </c>
      <c r="I785">
        <f ca="1">IFERROR(__xludf.DUMMYFUNCTION("""COMPUTED_VALUE"""),3)</f>
        <v>3</v>
      </c>
      <c r="J785">
        <f ca="1">IFERROR(__xludf.DUMMYFUNCTION("""COMPUTED_VALUE"""),5)</f>
        <v>5</v>
      </c>
      <c r="K785" t="str">
        <f ca="1">IFERROR(__xludf.DUMMYFUNCTION("""COMPUTED_VALUE"""),"Pru Logistic")</f>
        <v>Pru Logistic</v>
      </c>
      <c r="L785" t="str">
        <f ca="1">IFERROR(__xludf.DUMMYFUNCTION("""COMPUTED_VALUE"""),"Y")</f>
        <v>Y</v>
      </c>
      <c r="M785" t="str">
        <f ca="1">IFERROR(__xludf.DUMMYFUNCTION("""COMPUTED_VALUE"""),"kh-559")</f>
        <v>kh-559</v>
      </c>
    </row>
    <row r="786" spans="1:13" ht="12.5" x14ac:dyDescent="0.25">
      <c r="A786" t="str">
        <f ca="1">IFERROR(__xludf.DUMMYFUNCTION("""COMPUTED_VALUE"""),"Gen")</f>
        <v>Gen</v>
      </c>
      <c r="B786" t="str">
        <f ca="1">IFERROR(__xludf.DUMMYFUNCTION("""COMPUTED_VALUE"""),"Kurniawan")</f>
        <v>Kurniawan</v>
      </c>
      <c r="C786" t="str">
        <f ca="1">IFERROR(__xludf.DUMMYFUNCTION("""COMPUTED_VALUE"""),"Gen@gmailx.com")</f>
        <v>Gen@gmailx.com</v>
      </c>
      <c r="D786" t="str">
        <f ca="1">IFERROR(__xludf.DUMMYFUNCTION("""COMPUTED_VALUE"""),"Kupang")</f>
        <v>Kupang</v>
      </c>
      <c r="E786" s="12">
        <f ca="1">IFERROR(__xludf.DUMMYFUNCTION("""COMPUTED_VALUE"""),42436)</f>
        <v>42436</v>
      </c>
      <c r="F786" t="str">
        <f ca="1">IFERROR(__xludf.DUMMYFUNCTION("""COMPUTED_VALUE"""),"KP0625AF")</f>
        <v>KP0625AF</v>
      </c>
      <c r="G786" s="11">
        <f ca="1">IFERROR(__xludf.DUMMYFUNCTION("""COMPUTED_VALUE"""),84000000)</f>
        <v>84000000</v>
      </c>
      <c r="H786">
        <f ca="1">IFERROR(__xludf.DUMMYFUNCTION("""COMPUTED_VALUE"""),36370)</f>
        <v>36370</v>
      </c>
      <c r="I786">
        <f ca="1">IFERROR(__xludf.DUMMYFUNCTION("""COMPUTED_VALUE"""),7)</f>
        <v>7</v>
      </c>
      <c r="J786">
        <f ca="1">IFERROR(__xludf.DUMMYFUNCTION("""COMPUTED_VALUE"""),4)</f>
        <v>4</v>
      </c>
      <c r="K786" t="str">
        <f ca="1">IFERROR(__xludf.DUMMYFUNCTION("""COMPUTED_VALUE"""),"Swift Delivery")</f>
        <v>Swift Delivery</v>
      </c>
      <c r="L786" t="str">
        <f ca="1">IFERROR(__xludf.DUMMYFUNCTION("""COMPUTED_VALUE"""),"Y")</f>
        <v>Y</v>
      </c>
      <c r="M786" t="str">
        <f ca="1">IFERROR(__xludf.DUMMYFUNCTION("""COMPUTED_VALUE"""),"zk-185")</f>
        <v>zk-185</v>
      </c>
    </row>
    <row r="787" spans="1:13" ht="12.5" x14ac:dyDescent="0.25">
      <c r="A787" t="str">
        <f ca="1">IFERROR(__xludf.DUMMYFUNCTION("""COMPUTED_VALUE"""),"Catherine")</f>
        <v>Catherine</v>
      </c>
      <c r="B787" t="str">
        <f ca="1">IFERROR(__xludf.DUMMYFUNCTION("""COMPUTED_VALUE"""),"Sudjie")</f>
        <v>Sudjie</v>
      </c>
      <c r="C787" t="str">
        <f ca="1">IFERROR(__xludf.DUMMYFUNCTION("""COMPUTED_VALUE"""),"Catherine@outlookx.com")</f>
        <v>Catherine@outlookx.com</v>
      </c>
      <c r="D787" t="str">
        <f ca="1">IFERROR(__xludf.DUMMYFUNCTION("""COMPUTED_VALUE"""),"Semarang")</f>
        <v>Semarang</v>
      </c>
      <c r="E787" s="12">
        <f ca="1">IFERROR(__xludf.DUMMYFUNCTION("""COMPUTED_VALUE"""),42407)</f>
        <v>42407</v>
      </c>
      <c r="F787" t="str">
        <f ca="1">IFERROR(__xludf.DUMMYFUNCTION("""COMPUTED_VALUE"""),"KP0150BH")</f>
        <v>KP0150BH</v>
      </c>
      <c r="G787" s="11">
        <f ca="1">IFERROR(__xludf.DUMMYFUNCTION("""COMPUTED_VALUE"""),135000000)</f>
        <v>135000000</v>
      </c>
      <c r="H787">
        <f ca="1">IFERROR(__xludf.DUMMYFUNCTION("""COMPUTED_VALUE"""),36404)</f>
        <v>36404</v>
      </c>
      <c r="I787">
        <f ca="1">IFERROR(__xludf.DUMMYFUNCTION("""COMPUTED_VALUE"""),5)</f>
        <v>5</v>
      </c>
      <c r="J787" t="str">
        <f ca="1">IFERROR(__xludf.DUMMYFUNCTION("""COMPUTED_VALUE"""),"N/A")</f>
        <v>N/A</v>
      </c>
      <c r="K787" t="str">
        <f ca="1">IFERROR(__xludf.DUMMYFUNCTION("""COMPUTED_VALUE"""),"Wakanda Express")</f>
        <v>Wakanda Express</v>
      </c>
      <c r="L787" t="str">
        <f ca="1">IFERROR(__xludf.DUMMYFUNCTION("""COMPUTED_VALUE"""),"Y")</f>
        <v>Y</v>
      </c>
      <c r="M787" t="str">
        <f ca="1">IFERROR(__xludf.DUMMYFUNCTION("""COMPUTED_VALUE"""),"du-410")</f>
        <v>du-410</v>
      </c>
    </row>
    <row r="788" spans="1:13" ht="12.5" x14ac:dyDescent="0.25">
      <c r="A788" t="str">
        <f ca="1">IFERROR(__xludf.DUMMYFUNCTION("""COMPUTED_VALUE"""),"Johnson")</f>
        <v>Johnson</v>
      </c>
      <c r="B788" t="str">
        <f ca="1">IFERROR(__xludf.DUMMYFUNCTION("""COMPUTED_VALUE"""),"Achmad")</f>
        <v>Achmad</v>
      </c>
      <c r="C788" t="str">
        <f ca="1">IFERROR(__xludf.DUMMYFUNCTION("""COMPUTED_VALUE"""),"Johnson@gmailx.com")</f>
        <v>Johnson@gmailx.com</v>
      </c>
      <c r="D788" t="str">
        <f ca="1">IFERROR(__xludf.DUMMYFUNCTION("""COMPUTED_VALUE"""),"Makassar")</f>
        <v>Makassar</v>
      </c>
      <c r="E788" s="12">
        <f ca="1">IFERROR(__xludf.DUMMYFUNCTION("""COMPUTED_VALUE"""),42407)</f>
        <v>42407</v>
      </c>
      <c r="F788" t="str">
        <f ca="1">IFERROR(__xludf.DUMMYFUNCTION("""COMPUTED_VALUE"""),"KP0350CF")</f>
        <v>KP0350CF</v>
      </c>
      <c r="G788" s="11">
        <f ca="1">IFERROR(__xludf.DUMMYFUNCTION("""COMPUTED_VALUE"""),280000000)</f>
        <v>280000000</v>
      </c>
      <c r="H788">
        <f ca="1">IFERROR(__xludf.DUMMYFUNCTION("""COMPUTED_VALUE"""),36541)</f>
        <v>36541</v>
      </c>
      <c r="I788">
        <f ca="1">IFERROR(__xludf.DUMMYFUNCTION("""COMPUTED_VALUE"""),8)</f>
        <v>8</v>
      </c>
      <c r="J788">
        <f ca="1">IFERROR(__xludf.DUMMYFUNCTION("""COMPUTED_VALUE"""),4)</f>
        <v>4</v>
      </c>
      <c r="K788" t="str">
        <f ca="1">IFERROR(__xludf.DUMMYFUNCTION("""COMPUTED_VALUE"""),"Swift Delivery")</f>
        <v>Swift Delivery</v>
      </c>
      <c r="L788" t="str">
        <f ca="1">IFERROR(__xludf.DUMMYFUNCTION("""COMPUTED_VALUE"""),"Y")</f>
        <v>Y</v>
      </c>
      <c r="M788" t="str">
        <f ca="1">IFERROR(__xludf.DUMMYFUNCTION("""COMPUTED_VALUE"""),"ww-290")</f>
        <v>ww-290</v>
      </c>
    </row>
    <row r="789" spans="1:13" ht="12.5" x14ac:dyDescent="0.25">
      <c r="A789" t="str">
        <f ca="1">IFERROR(__xludf.DUMMYFUNCTION("""COMPUTED_VALUE"""),"Sierah")</f>
        <v>Sierah</v>
      </c>
      <c r="B789" t="str">
        <f ca="1">IFERROR(__xludf.DUMMYFUNCTION("""COMPUTED_VALUE"""),"Tjioe")</f>
        <v>Tjioe</v>
      </c>
      <c r="C789" t="str">
        <f ca="1">IFERROR(__xludf.DUMMYFUNCTION("""COMPUTED_VALUE"""),"Sierah@outlookx.com")</f>
        <v>Sierah@outlookx.com</v>
      </c>
      <c r="D789" t="str">
        <f ca="1">IFERROR(__xludf.DUMMYFUNCTION("""COMPUTED_VALUE"""),"Bukittinggi")</f>
        <v>Bukittinggi</v>
      </c>
      <c r="E789" s="12">
        <f ca="1">IFERROR(__xludf.DUMMYFUNCTION("""COMPUTED_VALUE"""),42549)</f>
        <v>42549</v>
      </c>
      <c r="F789" t="str">
        <f ca="1">IFERROR(__xludf.DUMMYFUNCTION("""COMPUTED_VALUE"""),"KP0750AJ")</f>
        <v>KP0750AJ</v>
      </c>
      <c r="G789" s="11">
        <f ca="1">IFERROR(__xludf.DUMMYFUNCTION("""COMPUTED_VALUE"""),180000000)</f>
        <v>180000000</v>
      </c>
      <c r="H789">
        <f ca="1">IFERROR(__xludf.DUMMYFUNCTION("""COMPUTED_VALUE"""),36355)</f>
        <v>36355</v>
      </c>
      <c r="I789">
        <f ca="1">IFERROR(__xludf.DUMMYFUNCTION("""COMPUTED_VALUE"""),10)</f>
        <v>10</v>
      </c>
      <c r="J789">
        <f ca="1">IFERROR(__xludf.DUMMYFUNCTION("""COMPUTED_VALUE"""),4)</f>
        <v>4</v>
      </c>
      <c r="K789" t="str">
        <f ca="1">IFERROR(__xludf.DUMMYFUNCTION("""COMPUTED_VALUE"""),"Pru Logistic")</f>
        <v>Pru Logistic</v>
      </c>
      <c r="L789" t="str">
        <f ca="1">IFERROR(__xludf.DUMMYFUNCTION("""COMPUTED_VALUE"""),"N")</f>
        <v>N</v>
      </c>
      <c r="M789" t="str">
        <f ca="1">IFERROR(__xludf.DUMMYFUNCTION("""COMPUTED_VALUE"""),"ku-559")</f>
        <v>ku-559</v>
      </c>
    </row>
    <row r="790" spans="1:13" ht="12.5" x14ac:dyDescent="0.25">
      <c r="A790" t="str">
        <f ca="1">IFERROR(__xludf.DUMMYFUNCTION("""COMPUTED_VALUE"""),"Budyanto")</f>
        <v>Budyanto</v>
      </c>
      <c r="B790" t="str">
        <f ca="1">IFERROR(__xludf.DUMMYFUNCTION("""COMPUTED_VALUE"""),"Eko")</f>
        <v>Eko</v>
      </c>
      <c r="C790" t="str">
        <f ca="1">IFERROR(__xludf.DUMMYFUNCTION("""COMPUTED_VALUE"""),"Budyanto@ymailx.com")</f>
        <v>Budyanto@ymailx.com</v>
      </c>
      <c r="D790" t="str">
        <f ca="1">IFERROR(__xludf.DUMMYFUNCTION("""COMPUTED_VALUE"""),"Depok")</f>
        <v>Depok</v>
      </c>
      <c r="E790" s="12">
        <f ca="1">IFERROR(__xludf.DUMMYFUNCTION("""COMPUTED_VALUE"""),42549)</f>
        <v>42549</v>
      </c>
      <c r="F790" t="str">
        <f ca="1">IFERROR(__xludf.DUMMYFUNCTION("""COMPUTED_VALUE"""),"KP0850FB")</f>
        <v>KP0850FB</v>
      </c>
      <c r="G790" s="11">
        <f ca="1">IFERROR(__xludf.DUMMYFUNCTION("""COMPUTED_VALUE"""),189000000)</f>
        <v>189000000</v>
      </c>
      <c r="H790">
        <f ca="1">IFERROR(__xludf.DUMMYFUNCTION("""COMPUTED_VALUE"""),36153)</f>
        <v>36153</v>
      </c>
      <c r="I790">
        <f ca="1">IFERROR(__xludf.DUMMYFUNCTION("""COMPUTED_VALUE"""),9)</f>
        <v>9</v>
      </c>
      <c r="J790" t="str">
        <f ca="1">IFERROR(__xludf.DUMMYFUNCTION("""COMPUTED_VALUE"""),"N/A")</f>
        <v>N/A</v>
      </c>
      <c r="K790" t="str">
        <f ca="1">IFERROR(__xludf.DUMMYFUNCTION("""COMPUTED_VALUE"""),"JENT")</f>
        <v>JENT</v>
      </c>
      <c r="L790" t="str">
        <f ca="1">IFERROR(__xludf.DUMMYFUNCTION("""COMPUTED_VALUE"""),"Y")</f>
        <v>Y</v>
      </c>
      <c r="M790" t="str">
        <f ca="1">IFERROR(__xludf.DUMMYFUNCTION("""COMPUTED_VALUE"""),"tq-409")</f>
        <v>tq-409</v>
      </c>
    </row>
    <row r="791" spans="1:13" ht="12.5" x14ac:dyDescent="0.25">
      <c r="A791" t="str">
        <f ca="1">IFERROR(__xludf.DUMMYFUNCTION("""COMPUTED_VALUE"""),"Gaitini")</f>
        <v>Gaitini</v>
      </c>
      <c r="B791" t="str">
        <f ca="1">IFERROR(__xludf.DUMMYFUNCTION("""COMPUTED_VALUE"""),"Vincent")</f>
        <v>Vincent</v>
      </c>
      <c r="C791" t="str">
        <f ca="1">IFERROR(__xludf.DUMMYFUNCTION("""COMPUTED_VALUE"""),"Gaitini@livex.com")</f>
        <v>Gaitini@livex.com</v>
      </c>
      <c r="D791" t="str">
        <f ca="1">IFERROR(__xludf.DUMMYFUNCTION("""COMPUTED_VALUE"""),"Sawahlunto")</f>
        <v>Sawahlunto</v>
      </c>
      <c r="E791" s="12">
        <f ca="1">IFERROR(__xludf.DUMMYFUNCTION("""COMPUTED_VALUE"""),42546)</f>
        <v>42546</v>
      </c>
      <c r="F791" t="str">
        <f ca="1">IFERROR(__xludf.DUMMYFUNCTION("""COMPUTED_VALUE"""),"KP0850FB")</f>
        <v>KP0850FB</v>
      </c>
      <c r="G791" s="11">
        <f ca="1">IFERROR(__xludf.DUMMYFUNCTION("""COMPUTED_VALUE"""),147000000)</f>
        <v>147000000</v>
      </c>
      <c r="H791">
        <f ca="1">IFERROR(__xludf.DUMMYFUNCTION("""COMPUTED_VALUE"""),36211)</f>
        <v>36211</v>
      </c>
      <c r="I791">
        <f ca="1">IFERROR(__xludf.DUMMYFUNCTION("""COMPUTED_VALUE"""),7)</f>
        <v>7</v>
      </c>
      <c r="J791">
        <f ca="1">IFERROR(__xludf.DUMMYFUNCTION("""COMPUTED_VALUE"""),4)</f>
        <v>4</v>
      </c>
      <c r="K791" t="str">
        <f ca="1">IFERROR(__xludf.DUMMYFUNCTION("""COMPUTED_VALUE"""),"Pru Logistic")</f>
        <v>Pru Logistic</v>
      </c>
      <c r="L791" t="str">
        <f ca="1">IFERROR(__xludf.DUMMYFUNCTION("""COMPUTED_VALUE"""),"Y")</f>
        <v>Y</v>
      </c>
      <c r="M791" t="str">
        <f ca="1">IFERROR(__xludf.DUMMYFUNCTION("""COMPUTED_VALUE"""),"yc-559")</f>
        <v>yc-559</v>
      </c>
    </row>
    <row r="792" spans="1:13" ht="12.5" x14ac:dyDescent="0.25">
      <c r="A792" t="str">
        <f ca="1">IFERROR(__xludf.DUMMYFUNCTION("""COMPUTED_VALUE"""),"Junanda")</f>
        <v>Junanda</v>
      </c>
      <c r="B792" t="str">
        <f ca="1">IFERROR(__xludf.DUMMYFUNCTION("""COMPUTED_VALUE"""),"Liani")</f>
        <v>Liani</v>
      </c>
      <c r="C792" t="str">
        <f ca="1">IFERROR(__xludf.DUMMYFUNCTION("""COMPUTED_VALUE"""),"LIANI@gmailx.com")</f>
        <v>LIANI@gmailx.com</v>
      </c>
      <c r="D792" t="str">
        <f ca="1">IFERROR(__xludf.DUMMYFUNCTION("""COMPUTED_VALUE"""),"Pangkalpinang")</f>
        <v>Pangkalpinang</v>
      </c>
      <c r="E792" s="12">
        <f ca="1">IFERROR(__xludf.DUMMYFUNCTION("""COMPUTED_VALUE"""),42545)</f>
        <v>42545</v>
      </c>
      <c r="F792" t="str">
        <f ca="1">IFERROR(__xludf.DUMMYFUNCTION("""COMPUTED_VALUE"""),"KP0225BB")</f>
        <v>KP0225BB</v>
      </c>
      <c r="G792" s="11">
        <f ca="1">IFERROR(__xludf.DUMMYFUNCTION("""COMPUTED_VALUE"""),60000000)</f>
        <v>60000000</v>
      </c>
      <c r="H792">
        <f ca="1">IFERROR(__xludf.DUMMYFUNCTION("""COMPUTED_VALUE"""),35403)</f>
        <v>35403</v>
      </c>
      <c r="I792">
        <f ca="1">IFERROR(__xludf.DUMMYFUNCTION("""COMPUTED_VALUE"""),6)</f>
        <v>6</v>
      </c>
      <c r="J792">
        <f ca="1">IFERROR(__xludf.DUMMYFUNCTION("""COMPUTED_VALUE"""),4)</f>
        <v>4</v>
      </c>
      <c r="K792" t="str">
        <f ca="1">IFERROR(__xludf.DUMMYFUNCTION("""COMPUTED_VALUE"""),"JENT")</f>
        <v>JENT</v>
      </c>
      <c r="L792" t="str">
        <f ca="1">IFERROR(__xludf.DUMMYFUNCTION("""COMPUTED_VALUE"""),"Y")</f>
        <v>Y</v>
      </c>
      <c r="M792" t="str">
        <f ca="1">IFERROR(__xludf.DUMMYFUNCTION("""COMPUTED_VALUE"""),"zx-120")</f>
        <v>zx-120</v>
      </c>
    </row>
    <row r="793" spans="1:13" ht="12.5" x14ac:dyDescent="0.25">
      <c r="A793" t="str">
        <f ca="1">IFERROR(__xludf.DUMMYFUNCTION("""COMPUTED_VALUE"""),"Sulistiani")</f>
        <v>Sulistiani</v>
      </c>
      <c r="B793" t="str">
        <f ca="1">IFERROR(__xludf.DUMMYFUNCTION("""COMPUTED_VALUE"""),"Sampoerna")</f>
        <v>Sampoerna</v>
      </c>
      <c r="C793" t="str">
        <f ca="1">IFERROR(__xludf.DUMMYFUNCTION("""COMPUTED_VALUE"""),"Sulistiani@rocketmailx.com")</f>
        <v>Sulistiani@rocketmailx.com</v>
      </c>
      <c r="D793" t="str">
        <f ca="1">IFERROR(__xludf.DUMMYFUNCTION("""COMPUTED_VALUE"""),"Tegal")</f>
        <v>Tegal</v>
      </c>
      <c r="E793" s="12">
        <f ca="1">IFERROR(__xludf.DUMMYFUNCTION("""COMPUTED_VALUE"""),42541)</f>
        <v>42541</v>
      </c>
      <c r="F793" t="str">
        <f ca="1">IFERROR(__xludf.DUMMYFUNCTION("""COMPUTED_VALUE"""),"KP0925SG")</f>
        <v>KP0925SG</v>
      </c>
      <c r="G793" s="11">
        <f ca="1">IFERROR(__xludf.DUMMYFUNCTION("""COMPUTED_VALUE"""),60000000)</f>
        <v>60000000</v>
      </c>
      <c r="H793">
        <f ca="1">IFERROR(__xludf.DUMMYFUNCTION("""COMPUTED_VALUE"""),36726)</f>
        <v>36726</v>
      </c>
      <c r="I793">
        <f ca="1">IFERROR(__xludf.DUMMYFUNCTION("""COMPUTED_VALUE"""),4)</f>
        <v>4</v>
      </c>
      <c r="J793">
        <f ca="1">IFERROR(__xludf.DUMMYFUNCTION("""COMPUTED_VALUE"""),4)</f>
        <v>4</v>
      </c>
      <c r="K793" t="str">
        <f ca="1">IFERROR(__xludf.DUMMYFUNCTION("""COMPUTED_VALUE"""),"Cepat Kirim")</f>
        <v>Cepat Kirim</v>
      </c>
      <c r="L793" t="str">
        <f ca="1">IFERROR(__xludf.DUMMYFUNCTION("""COMPUTED_VALUE"""),"N")</f>
        <v>N</v>
      </c>
      <c r="M793" t="str">
        <f ca="1">IFERROR(__xludf.DUMMYFUNCTION("""COMPUTED_VALUE"""),"sf-410")</f>
        <v>sf-410</v>
      </c>
    </row>
    <row r="794" spans="1:13" ht="12.5" x14ac:dyDescent="0.25">
      <c r="A794" t="str">
        <f ca="1">IFERROR(__xludf.DUMMYFUNCTION("""COMPUTED_VALUE"""),"Djohan")</f>
        <v>Djohan</v>
      </c>
      <c r="B794" t="str">
        <f ca="1">IFERROR(__xludf.DUMMYFUNCTION("""COMPUTED_VALUE"""),"Kosasih")</f>
        <v>Kosasih</v>
      </c>
      <c r="C794" t="str">
        <f ca="1">IFERROR(__xludf.DUMMYFUNCTION("""COMPUTED_VALUE"""),"Djohan@livex.com")</f>
        <v>Djohan@livex.com</v>
      </c>
      <c r="D794" t="str">
        <f ca="1">IFERROR(__xludf.DUMMYFUNCTION("""COMPUTED_VALUE"""),"Samarinda")</f>
        <v>Samarinda</v>
      </c>
      <c r="E794" s="12">
        <f ca="1">IFERROR(__xludf.DUMMYFUNCTION("""COMPUTED_VALUE"""),42539)</f>
        <v>42539</v>
      </c>
      <c r="F794" t="str">
        <f ca="1">IFERROR(__xludf.DUMMYFUNCTION("""COMPUTED_VALUE"""),"KP0850FB")</f>
        <v>KP0850FB</v>
      </c>
      <c r="G794" s="11">
        <f ca="1">IFERROR(__xludf.DUMMYFUNCTION("""COMPUTED_VALUE"""),210000000)</f>
        <v>210000000</v>
      </c>
      <c r="H794">
        <f ca="1">IFERROR(__xludf.DUMMYFUNCTION("""COMPUTED_VALUE"""),35242)</f>
        <v>35242</v>
      </c>
      <c r="I794">
        <f ca="1">IFERROR(__xludf.DUMMYFUNCTION("""COMPUTED_VALUE"""),10)</f>
        <v>10</v>
      </c>
      <c r="J794">
        <f ca="1">IFERROR(__xludf.DUMMYFUNCTION("""COMPUTED_VALUE"""),4)</f>
        <v>4</v>
      </c>
      <c r="K794" t="str">
        <f ca="1">IFERROR(__xludf.DUMMYFUNCTION("""COMPUTED_VALUE"""),"JENT")</f>
        <v>JENT</v>
      </c>
      <c r="L794" t="str">
        <f ca="1">IFERROR(__xludf.DUMMYFUNCTION("""COMPUTED_VALUE"""),"Y")</f>
        <v>Y</v>
      </c>
      <c r="M794" t="str">
        <f ca="1">IFERROR(__xludf.DUMMYFUNCTION("""COMPUTED_VALUE"""),"um-993")</f>
        <v>um-993</v>
      </c>
    </row>
    <row r="795" spans="1:13" ht="12.5" x14ac:dyDescent="0.25">
      <c r="A795" t="str">
        <f ca="1">IFERROR(__xludf.DUMMYFUNCTION("""COMPUTED_VALUE"""),"Annie")</f>
        <v>Annie</v>
      </c>
      <c r="B795" t="str">
        <f ca="1">IFERROR(__xludf.DUMMYFUNCTION("""COMPUTED_VALUE"""),"James")</f>
        <v>James</v>
      </c>
      <c r="C795" t="str">
        <f ca="1">IFERROR(__xludf.DUMMYFUNCTION("""COMPUTED_VALUE"""),"James@livex.com")</f>
        <v>James@livex.com</v>
      </c>
      <c r="D795" t="str">
        <f ca="1">IFERROR(__xludf.DUMMYFUNCTION("""COMPUTED_VALUE"""),"Singkawang")</f>
        <v>Singkawang</v>
      </c>
      <c r="E795" s="12">
        <f ca="1">IFERROR(__xludf.DUMMYFUNCTION("""COMPUTED_VALUE"""),42539)</f>
        <v>42539</v>
      </c>
      <c r="F795" t="str">
        <f ca="1">IFERROR(__xludf.DUMMYFUNCTION("""COMPUTED_VALUE"""),"KP0625AF")</f>
        <v>KP0625AF</v>
      </c>
      <c r="G795" s="11">
        <f ca="1">IFERROR(__xludf.DUMMYFUNCTION("""COMPUTED_VALUE"""),24000000)</f>
        <v>24000000</v>
      </c>
      <c r="H795">
        <f ca="1">IFERROR(__xludf.DUMMYFUNCTION("""COMPUTED_VALUE"""),36701)</f>
        <v>36701</v>
      </c>
      <c r="I795">
        <f ca="1">IFERROR(__xludf.DUMMYFUNCTION("""COMPUTED_VALUE"""),2)</f>
        <v>2</v>
      </c>
      <c r="J795">
        <f ca="1">IFERROR(__xludf.DUMMYFUNCTION("""COMPUTED_VALUE"""),2)</f>
        <v>2</v>
      </c>
      <c r="K795" t="str">
        <f ca="1">IFERROR(__xludf.DUMMYFUNCTION("""COMPUTED_VALUE"""),"Pru Logistic")</f>
        <v>Pru Logistic</v>
      </c>
      <c r="L795" t="str">
        <f ca="1">IFERROR(__xludf.DUMMYFUNCTION("""COMPUTED_VALUE"""),"Y")</f>
        <v>Y</v>
      </c>
      <c r="M795" t="str">
        <f ca="1">IFERROR(__xludf.DUMMYFUNCTION("""COMPUTED_VALUE"""),"xb-880")</f>
        <v>xb-880</v>
      </c>
    </row>
    <row r="796" spans="1:13" ht="12.5" x14ac:dyDescent="0.25">
      <c r="A796" t="str">
        <f ca="1">IFERROR(__xludf.DUMMYFUNCTION("""COMPUTED_VALUE"""),"Husni")</f>
        <v>Husni</v>
      </c>
      <c r="B796" t="str">
        <f ca="1">IFERROR(__xludf.DUMMYFUNCTION("""COMPUTED_VALUE"""),"Kusnadi")</f>
        <v>Kusnadi</v>
      </c>
      <c r="C796" t="str">
        <f ca="1">IFERROR(__xludf.DUMMYFUNCTION("""COMPUTED_VALUE"""),"Kusnadi@ymailx.com")</f>
        <v>Kusnadi@ymailx.com</v>
      </c>
      <c r="D796" t="str">
        <f ca="1">IFERROR(__xludf.DUMMYFUNCTION("""COMPUTED_VALUE"""),"Bitung")</f>
        <v>Bitung</v>
      </c>
      <c r="E796" s="12">
        <f ca="1">IFERROR(__xludf.DUMMYFUNCTION("""COMPUTED_VALUE"""),42538)</f>
        <v>42538</v>
      </c>
      <c r="F796" t="str">
        <f ca="1">IFERROR(__xludf.DUMMYFUNCTION("""COMPUTED_VALUE"""),"KP0625AF")</f>
        <v>KP0625AF</v>
      </c>
      <c r="G796" s="11">
        <f ca="1">IFERROR(__xludf.DUMMYFUNCTION("""COMPUTED_VALUE"""),72000000)</f>
        <v>72000000</v>
      </c>
      <c r="H796">
        <f ca="1">IFERROR(__xludf.DUMMYFUNCTION("""COMPUTED_VALUE"""),35245)</f>
        <v>35245</v>
      </c>
      <c r="I796">
        <f ca="1">IFERROR(__xludf.DUMMYFUNCTION("""COMPUTED_VALUE"""),6)</f>
        <v>6</v>
      </c>
      <c r="J796">
        <f ca="1">IFERROR(__xludf.DUMMYFUNCTION("""COMPUTED_VALUE"""),4)</f>
        <v>4</v>
      </c>
      <c r="K796" t="str">
        <f ca="1">IFERROR(__xludf.DUMMYFUNCTION("""COMPUTED_VALUE"""),"JENT")</f>
        <v>JENT</v>
      </c>
      <c r="L796" t="str">
        <f ca="1">IFERROR(__xludf.DUMMYFUNCTION("""COMPUTED_VALUE"""),"Y")</f>
        <v>Y</v>
      </c>
      <c r="M796" t="str">
        <f ca="1">IFERROR(__xludf.DUMMYFUNCTION("""COMPUTED_VALUE"""),"qr-221")</f>
        <v>qr-221</v>
      </c>
    </row>
    <row r="797" spans="1:13" ht="12.5" x14ac:dyDescent="0.25">
      <c r="A797" t="str">
        <f ca="1">IFERROR(__xludf.DUMMYFUNCTION("""COMPUTED_VALUE"""),"Vidhya")</f>
        <v>Vidhya</v>
      </c>
      <c r="B797" t="str">
        <f ca="1">IFERROR(__xludf.DUMMYFUNCTION("""COMPUTED_VALUE"""),"Prakash")</f>
        <v>Prakash</v>
      </c>
      <c r="C797" t="str">
        <f ca="1">IFERROR(__xludf.DUMMYFUNCTION("""COMPUTED_VALUE"""),"Prakash@rocketmailx.com")</f>
        <v>Prakash@rocketmailx.com</v>
      </c>
      <c r="D797" t="str">
        <f ca="1">IFERROR(__xludf.DUMMYFUNCTION("""COMPUTED_VALUE"""),"Subulussalam")</f>
        <v>Subulussalam</v>
      </c>
      <c r="E797" s="12">
        <f ca="1">IFERROR(__xludf.DUMMYFUNCTION("""COMPUTED_VALUE"""),42538)</f>
        <v>42538</v>
      </c>
      <c r="F797" t="str">
        <f ca="1">IFERROR(__xludf.DUMMYFUNCTION("""COMPUTED_VALUE"""),"KP0425CB")</f>
        <v>KP0425CB</v>
      </c>
      <c r="G797" s="11">
        <f ca="1">IFERROR(__xludf.DUMMYFUNCTION("""COMPUTED_VALUE"""),245250000)</f>
        <v>245250000</v>
      </c>
      <c r="H797">
        <f ca="1">IFERROR(__xludf.DUMMYFUNCTION("""COMPUTED_VALUE"""),35427)</f>
        <v>35427</v>
      </c>
      <c r="I797">
        <f ca="1">IFERROR(__xludf.DUMMYFUNCTION("""COMPUTED_VALUE"""),9)</f>
        <v>9</v>
      </c>
      <c r="J797">
        <f ca="1">IFERROR(__xludf.DUMMYFUNCTION("""COMPUTED_VALUE"""),4)</f>
        <v>4</v>
      </c>
      <c r="K797" t="str">
        <f ca="1">IFERROR(__xludf.DUMMYFUNCTION("""COMPUTED_VALUE"""),"#N/A")</f>
        <v>#N/A</v>
      </c>
      <c r="L797" t="str">
        <f ca="1">IFERROR(__xludf.DUMMYFUNCTION("""COMPUTED_VALUE"""),"N")</f>
        <v>N</v>
      </c>
      <c r="M797" t="str">
        <f ca="1">IFERROR(__xludf.DUMMYFUNCTION("""COMPUTED_VALUE"""),"bs-101")</f>
        <v>bs-101</v>
      </c>
    </row>
    <row r="798" spans="1:13" ht="12.5" x14ac:dyDescent="0.25">
      <c r="A798" t="str">
        <f ca="1">IFERROR(__xludf.DUMMYFUNCTION("""COMPUTED_VALUE"""),"Sigit")</f>
        <v>Sigit</v>
      </c>
      <c r="B798" t="str">
        <f ca="1">IFERROR(__xludf.DUMMYFUNCTION("""COMPUTED_VALUE"""),"Patricia")</f>
        <v>Patricia</v>
      </c>
      <c r="C798" t="str">
        <f ca="1">IFERROR(__xludf.DUMMYFUNCTION("""COMPUTED_VALUE"""),"Sigit@gmailx.com")</f>
        <v>Sigit@gmailx.com</v>
      </c>
      <c r="D798" t="str">
        <f ca="1">IFERROR(__xludf.DUMMYFUNCTION("""COMPUTED_VALUE"""),"Mojokerto")</f>
        <v>Mojokerto</v>
      </c>
      <c r="E798" s="12">
        <f ca="1">IFERROR(__xludf.DUMMYFUNCTION("""COMPUTED_VALUE"""),42537)</f>
        <v>42537</v>
      </c>
      <c r="F798" t="str">
        <f ca="1">IFERROR(__xludf.DUMMYFUNCTION("""COMPUTED_VALUE"""),"KP0925SG")</f>
        <v>KP0925SG</v>
      </c>
      <c r="G798" s="11">
        <f ca="1">IFERROR(__xludf.DUMMYFUNCTION("""COMPUTED_VALUE"""),135000000)</f>
        <v>135000000</v>
      </c>
      <c r="H798">
        <f ca="1">IFERROR(__xludf.DUMMYFUNCTION("""COMPUTED_VALUE"""),36269)</f>
        <v>36269</v>
      </c>
      <c r="I798">
        <f ca="1">IFERROR(__xludf.DUMMYFUNCTION("""COMPUTED_VALUE"""),9)</f>
        <v>9</v>
      </c>
      <c r="J798" t="str">
        <f ca="1">IFERROR(__xludf.DUMMYFUNCTION("""COMPUTED_VALUE"""),"N/A")</f>
        <v>N/A</v>
      </c>
      <c r="K798" t="str">
        <f ca="1">IFERROR(__xludf.DUMMYFUNCTION("""COMPUTED_VALUE"""),"Cepat Kirim")</f>
        <v>Cepat Kirim</v>
      </c>
      <c r="L798" t="str">
        <f ca="1">IFERROR(__xludf.DUMMYFUNCTION("""COMPUTED_VALUE"""),"N")</f>
        <v>N</v>
      </c>
      <c r="M798" t="str">
        <f ca="1">IFERROR(__xludf.DUMMYFUNCTION("""COMPUTED_VALUE"""),"vz-123")</f>
        <v>vz-123</v>
      </c>
    </row>
    <row r="799" spans="1:13" ht="12.5" x14ac:dyDescent="0.25">
      <c r="A799" t="str">
        <f ca="1">IFERROR(__xludf.DUMMYFUNCTION("""COMPUTED_VALUE"""),"Erwin")</f>
        <v>Erwin</v>
      </c>
      <c r="B799" t="str">
        <f ca="1">IFERROR(__xludf.DUMMYFUNCTION("""COMPUTED_VALUE"""),"Livia")</f>
        <v>Livia</v>
      </c>
      <c r="C799" t="str">
        <f ca="1">IFERROR(__xludf.DUMMYFUNCTION("""COMPUTED_VALUE"""),"Livia@gmailx.com")</f>
        <v>Livia@gmailx.com</v>
      </c>
      <c r="D799" t="str">
        <f ca="1">IFERROR(__xludf.DUMMYFUNCTION("""COMPUTED_VALUE"""),"Kediri")</f>
        <v>Kediri</v>
      </c>
      <c r="E799" s="12">
        <f ca="1">IFERROR(__xludf.DUMMYFUNCTION("""COMPUTED_VALUE"""),42537)</f>
        <v>42537</v>
      </c>
      <c r="F799" t="str">
        <f ca="1">IFERROR(__xludf.DUMMYFUNCTION("""COMPUTED_VALUE"""),"KP0625AF")</f>
        <v>KP0625AF</v>
      </c>
      <c r="G799" s="11">
        <f ca="1">IFERROR(__xludf.DUMMYFUNCTION("""COMPUTED_VALUE"""),120000000)</f>
        <v>120000000</v>
      </c>
      <c r="H799">
        <f ca="1">IFERROR(__xludf.DUMMYFUNCTION("""COMPUTED_VALUE"""),36968)</f>
        <v>36968</v>
      </c>
      <c r="I799">
        <f ca="1">IFERROR(__xludf.DUMMYFUNCTION("""COMPUTED_VALUE"""),10)</f>
        <v>10</v>
      </c>
      <c r="J799" t="str">
        <f ca="1">IFERROR(__xludf.DUMMYFUNCTION("""COMPUTED_VALUE"""),"N/A")</f>
        <v>N/A</v>
      </c>
      <c r="K799" t="str">
        <f ca="1">IFERROR(__xludf.DUMMYFUNCTION("""COMPUTED_VALUE"""),"JENT")</f>
        <v>JENT</v>
      </c>
      <c r="L799" t="str">
        <f ca="1">IFERROR(__xludf.DUMMYFUNCTION("""COMPUTED_VALUE"""),"Y")</f>
        <v>Y</v>
      </c>
      <c r="M799" t="str">
        <f ca="1">IFERROR(__xludf.DUMMYFUNCTION("""COMPUTED_VALUE"""),"xi-123")</f>
        <v>xi-123</v>
      </c>
    </row>
    <row r="800" spans="1:13" ht="12.5" x14ac:dyDescent="0.25">
      <c r="A800" t="str">
        <f ca="1">IFERROR(__xludf.DUMMYFUNCTION("""COMPUTED_VALUE"""),"Herman,")</f>
        <v>Herman,</v>
      </c>
      <c r="B800" t="str">
        <f ca="1">IFERROR(__xludf.DUMMYFUNCTION("""COMPUTED_VALUE"""),"Kiftiah")</f>
        <v>Kiftiah</v>
      </c>
      <c r="C800" t="str">
        <f ca="1">IFERROR(__xludf.DUMMYFUNCTION("""COMPUTED_VALUE"""),"HERMAN@gmailx.com")</f>
        <v>HERMAN@gmailx.com</v>
      </c>
      <c r="D800" t="str">
        <f ca="1">IFERROR(__xludf.DUMMYFUNCTION("""COMPUTED_VALUE"""),"Jakarta Pusat")</f>
        <v>Jakarta Pusat</v>
      </c>
      <c r="E800" s="12">
        <f ca="1">IFERROR(__xludf.DUMMYFUNCTION("""COMPUTED_VALUE"""),42536)</f>
        <v>42536</v>
      </c>
      <c r="F800" t="str">
        <f ca="1">IFERROR(__xludf.DUMMYFUNCTION("""COMPUTED_VALUE"""),"KP0625AF")</f>
        <v>KP0625AF</v>
      </c>
      <c r="G800" s="11">
        <f ca="1">IFERROR(__xludf.DUMMYFUNCTION("""COMPUTED_VALUE"""),60000000)</f>
        <v>60000000</v>
      </c>
      <c r="H800">
        <f ca="1">IFERROR(__xludf.DUMMYFUNCTION("""COMPUTED_VALUE"""),36814)</f>
        <v>36814</v>
      </c>
      <c r="I800">
        <f ca="1">IFERROR(__xludf.DUMMYFUNCTION("""COMPUTED_VALUE"""),5)</f>
        <v>5</v>
      </c>
      <c r="J800">
        <f ca="1">IFERROR(__xludf.DUMMYFUNCTION("""COMPUTED_VALUE"""),3)</f>
        <v>3</v>
      </c>
      <c r="K800" t="str">
        <f ca="1">IFERROR(__xludf.DUMMYFUNCTION("""COMPUTED_VALUE"""),"Swift Delivery")</f>
        <v>Swift Delivery</v>
      </c>
      <c r="L800" t="str">
        <f ca="1">IFERROR(__xludf.DUMMYFUNCTION("""COMPUTED_VALUE"""),"Y")</f>
        <v>Y</v>
      </c>
      <c r="M800" t="str">
        <f ca="1">IFERROR(__xludf.DUMMYFUNCTION("""COMPUTED_VALUE"""),"vr-333")</f>
        <v>vr-333</v>
      </c>
    </row>
    <row r="801" spans="1:13" ht="12.5" x14ac:dyDescent="0.25">
      <c r="A801" t="str">
        <f ca="1">IFERROR(__xludf.DUMMYFUNCTION("""COMPUTED_VALUE"""),"Steven")</f>
        <v>Steven</v>
      </c>
      <c r="B801" t="str">
        <f ca="1">IFERROR(__xludf.DUMMYFUNCTION("""COMPUTED_VALUE"""),"Tanoko")</f>
        <v>Tanoko</v>
      </c>
      <c r="C801" t="str">
        <f ca="1">IFERROR(__xludf.DUMMYFUNCTION("""COMPUTED_VALUE"""),"Steven@gmailx.com")</f>
        <v>Steven@gmailx.com</v>
      </c>
      <c r="D801" t="str">
        <f ca="1">IFERROR(__xludf.DUMMYFUNCTION("""COMPUTED_VALUE"""),"Bontang")</f>
        <v>Bontang</v>
      </c>
      <c r="E801" s="12">
        <f ca="1">IFERROR(__xludf.DUMMYFUNCTION("""COMPUTED_VALUE"""),42536)</f>
        <v>42536</v>
      </c>
      <c r="F801" t="str">
        <f ca="1">IFERROR(__xludf.DUMMYFUNCTION("""COMPUTED_VALUE"""),"KP0150BH")</f>
        <v>KP0150BH</v>
      </c>
      <c r="G801" s="11">
        <f ca="1">IFERROR(__xludf.DUMMYFUNCTION("""COMPUTED_VALUE"""),189000000)</f>
        <v>189000000</v>
      </c>
      <c r="H801">
        <f ca="1">IFERROR(__xludf.DUMMYFUNCTION("""COMPUTED_VALUE"""),35293)</f>
        <v>35293</v>
      </c>
      <c r="I801">
        <f ca="1">IFERROR(__xludf.DUMMYFUNCTION("""COMPUTED_VALUE"""),7)</f>
        <v>7</v>
      </c>
      <c r="J801" t="str">
        <f ca="1">IFERROR(__xludf.DUMMYFUNCTION("""COMPUTED_VALUE"""),"N/A")</f>
        <v>N/A</v>
      </c>
      <c r="K801" t="str">
        <f ca="1">IFERROR(__xludf.DUMMYFUNCTION("""COMPUTED_VALUE"""),"JENT")</f>
        <v>JENT</v>
      </c>
      <c r="L801" t="str">
        <f ca="1">IFERROR(__xludf.DUMMYFUNCTION("""COMPUTED_VALUE"""),"N")</f>
        <v>N</v>
      </c>
      <c r="M801" t="str">
        <f ca="1">IFERROR(__xludf.DUMMYFUNCTION("""COMPUTED_VALUE"""),"rm-993")</f>
        <v>rm-993</v>
      </c>
    </row>
    <row r="802" spans="1:13" ht="12.5" x14ac:dyDescent="0.25">
      <c r="A802" t="str">
        <f ca="1">IFERROR(__xludf.DUMMYFUNCTION("""COMPUTED_VALUE"""),"Sonya")</f>
        <v>Sonya</v>
      </c>
      <c r="B802" t="str">
        <f ca="1">IFERROR(__xludf.DUMMYFUNCTION("""COMPUTED_VALUE"""),"Madang")</f>
        <v>Madang</v>
      </c>
      <c r="C802" t="str">
        <f ca="1">IFERROR(__xludf.DUMMYFUNCTION("""COMPUTED_VALUE"""),"Sonya@icloudx.com")</f>
        <v>Sonya@icloudx.com</v>
      </c>
      <c r="D802" t="str">
        <f ca="1">IFERROR(__xludf.DUMMYFUNCTION("""COMPUTED_VALUE"""),"Bontang")</f>
        <v>Bontang</v>
      </c>
      <c r="E802" s="12">
        <f ca="1">IFERROR(__xludf.DUMMYFUNCTION("""COMPUTED_VALUE"""),42535)</f>
        <v>42535</v>
      </c>
      <c r="F802" t="str">
        <f ca="1">IFERROR(__xludf.DUMMYFUNCTION("""COMPUTED_VALUE"""),"KP0150BH")</f>
        <v>KP0150BH</v>
      </c>
      <c r="G802" s="11">
        <f ca="1">IFERROR(__xludf.DUMMYFUNCTION("""COMPUTED_VALUE"""),162000000)</f>
        <v>162000000</v>
      </c>
      <c r="H802">
        <f ca="1">IFERROR(__xludf.DUMMYFUNCTION("""COMPUTED_VALUE"""),36978)</f>
        <v>36978</v>
      </c>
      <c r="I802">
        <f ca="1">IFERROR(__xludf.DUMMYFUNCTION("""COMPUTED_VALUE"""),6)</f>
        <v>6</v>
      </c>
      <c r="J802" t="str">
        <f ca="1">IFERROR(__xludf.DUMMYFUNCTION("""COMPUTED_VALUE"""),"N/A")</f>
        <v>N/A</v>
      </c>
      <c r="K802" t="str">
        <f ca="1">IFERROR(__xludf.DUMMYFUNCTION("""COMPUTED_VALUE"""),"Pru Logistic")</f>
        <v>Pru Logistic</v>
      </c>
      <c r="L802" t="str">
        <f ca="1">IFERROR(__xludf.DUMMYFUNCTION("""COMPUTED_VALUE"""),"N")</f>
        <v>N</v>
      </c>
      <c r="M802" t="str">
        <f ca="1">IFERROR(__xludf.DUMMYFUNCTION("""COMPUTED_VALUE"""),"rj-993")</f>
        <v>rj-993</v>
      </c>
    </row>
    <row r="803" spans="1:13" ht="12.5" x14ac:dyDescent="0.25">
      <c r="A803" t="str">
        <f ca="1">IFERROR(__xludf.DUMMYFUNCTION("""COMPUTED_VALUE"""),"Anindya")</f>
        <v>Anindya</v>
      </c>
      <c r="B803" t="str">
        <f ca="1">IFERROR(__xludf.DUMMYFUNCTION("""COMPUTED_VALUE"""),"Venture")</f>
        <v>Venture</v>
      </c>
      <c r="C803" t="str">
        <f ca="1">IFERROR(__xludf.DUMMYFUNCTION("""COMPUTED_VALUE"""),"Anindya@gmailx.com")</f>
        <v>Anindya@gmailx.com</v>
      </c>
      <c r="D803" t="str">
        <f ca="1">IFERROR(__xludf.DUMMYFUNCTION("""COMPUTED_VALUE"""),"Sibolga")</f>
        <v>Sibolga</v>
      </c>
      <c r="E803" s="12">
        <f ca="1">IFERROR(__xludf.DUMMYFUNCTION("""COMPUTED_VALUE"""),42535)</f>
        <v>42535</v>
      </c>
      <c r="F803" t="str">
        <f ca="1">IFERROR(__xludf.DUMMYFUNCTION("""COMPUTED_VALUE"""),"KP0050AG")</f>
        <v>KP0050AG</v>
      </c>
      <c r="G803" s="11">
        <f ca="1">IFERROR(__xludf.DUMMYFUNCTION("""COMPUTED_VALUE"""),162500000)</f>
        <v>162500000</v>
      </c>
      <c r="H803">
        <f ca="1">IFERROR(__xludf.DUMMYFUNCTION("""COMPUTED_VALUE"""),35357)</f>
        <v>35357</v>
      </c>
      <c r="I803">
        <f ca="1">IFERROR(__xludf.DUMMYFUNCTION("""COMPUTED_VALUE"""),10)</f>
        <v>10</v>
      </c>
      <c r="J803">
        <f ca="1">IFERROR(__xludf.DUMMYFUNCTION("""COMPUTED_VALUE"""),4)</f>
        <v>4</v>
      </c>
      <c r="K803" t="str">
        <f ca="1">IFERROR(__xludf.DUMMYFUNCTION("""COMPUTED_VALUE"""),"JENT")</f>
        <v>JENT</v>
      </c>
      <c r="L803" t="str">
        <f ca="1">IFERROR(__xludf.DUMMYFUNCTION("""COMPUTED_VALUE"""),"Y")</f>
        <v>Y</v>
      </c>
      <c r="M803" t="str">
        <f ca="1">IFERROR(__xludf.DUMMYFUNCTION("""COMPUTED_VALUE"""),"bu-662")</f>
        <v>bu-662</v>
      </c>
    </row>
    <row r="804" spans="1:13" ht="12.5" x14ac:dyDescent="0.25">
      <c r="A804" t="str">
        <f ca="1">IFERROR(__xludf.DUMMYFUNCTION("""COMPUTED_VALUE"""),"Justo")</f>
        <v>Justo</v>
      </c>
      <c r="B804" t="str">
        <f ca="1">IFERROR(__xludf.DUMMYFUNCTION("""COMPUTED_VALUE"""),"Alit")</f>
        <v>Alit</v>
      </c>
      <c r="C804" t="str">
        <f ca="1">IFERROR(__xludf.DUMMYFUNCTION("""COMPUTED_VALUE"""),"Alit@gmailx.com")</f>
        <v>Alit@gmailx.com</v>
      </c>
      <c r="D804" t="str">
        <f ca="1">IFERROR(__xludf.DUMMYFUNCTION("""COMPUTED_VALUE"""),"Cimahi")</f>
        <v>Cimahi</v>
      </c>
      <c r="E804" s="12">
        <f ca="1">IFERROR(__xludf.DUMMYFUNCTION("""COMPUTED_VALUE"""),42710)</f>
        <v>42710</v>
      </c>
      <c r="F804" t="str">
        <f ca="1">IFERROR(__xludf.DUMMYFUNCTION("""COMPUTED_VALUE"""),"KP0625AF")</f>
        <v>KP0625AF</v>
      </c>
      <c r="G804" s="11">
        <f ca="1">IFERROR(__xludf.DUMMYFUNCTION("""COMPUTED_VALUE"""),36000000)</f>
        <v>36000000</v>
      </c>
      <c r="H804">
        <f ca="1">IFERROR(__xludf.DUMMYFUNCTION("""COMPUTED_VALUE"""),36336)</f>
        <v>36336</v>
      </c>
      <c r="I804">
        <f ca="1">IFERROR(__xludf.DUMMYFUNCTION("""COMPUTED_VALUE"""),3)</f>
        <v>3</v>
      </c>
      <c r="J804" t="str">
        <f ca="1">IFERROR(__xludf.DUMMYFUNCTION("""COMPUTED_VALUE"""),"N/A")</f>
        <v>N/A</v>
      </c>
      <c r="K804" t="str">
        <f ca="1">IFERROR(__xludf.DUMMYFUNCTION("""COMPUTED_VALUE"""),"JENT")</f>
        <v>JENT</v>
      </c>
      <c r="L804" t="str">
        <f ca="1">IFERROR(__xludf.DUMMYFUNCTION("""COMPUTED_VALUE"""),"Y")</f>
        <v>Y</v>
      </c>
      <c r="M804" t="str">
        <f ca="1">IFERROR(__xludf.DUMMYFUNCTION("""COMPUTED_VALUE"""),"eg-409")</f>
        <v>eg-409</v>
      </c>
    </row>
    <row r="805" spans="1:13" ht="12.5" x14ac:dyDescent="0.25">
      <c r="A805" t="str">
        <f ca="1">IFERROR(__xludf.DUMMYFUNCTION("""COMPUTED_VALUE"""),"Budi")</f>
        <v>Budi</v>
      </c>
      <c r="B805" t="str">
        <f ca="1">IFERROR(__xludf.DUMMYFUNCTION("""COMPUTED_VALUE"""),"Tjandra")</f>
        <v>Tjandra</v>
      </c>
      <c r="C805" t="str">
        <f ca="1">IFERROR(__xludf.DUMMYFUNCTION("""COMPUTED_VALUE"""),"Tjandra@ymailx.com")</f>
        <v>Tjandra@ymailx.com</v>
      </c>
      <c r="D805" t="str">
        <f ca="1">IFERROR(__xludf.DUMMYFUNCTION("""COMPUTED_VALUE"""),"Bitung")</f>
        <v>Bitung</v>
      </c>
      <c r="E805" s="12">
        <f ca="1">IFERROR(__xludf.DUMMYFUNCTION("""COMPUTED_VALUE"""),42710)</f>
        <v>42710</v>
      </c>
      <c r="F805" t="str">
        <f ca="1">IFERROR(__xludf.DUMMYFUNCTION("""COMPUTED_VALUE"""),"KP0350CF")</f>
        <v>KP0350CF</v>
      </c>
      <c r="G805" s="11">
        <f ca="1">IFERROR(__xludf.DUMMYFUNCTION("""COMPUTED_VALUE"""),140000000)</f>
        <v>140000000</v>
      </c>
      <c r="H805">
        <f ca="1">IFERROR(__xludf.DUMMYFUNCTION("""COMPUTED_VALUE"""),35902)</f>
        <v>35902</v>
      </c>
      <c r="I805">
        <f ca="1">IFERROR(__xludf.DUMMYFUNCTION("""COMPUTED_VALUE"""),4)</f>
        <v>4</v>
      </c>
      <c r="J805">
        <f ca="1">IFERROR(__xludf.DUMMYFUNCTION("""COMPUTED_VALUE"""),4)</f>
        <v>4</v>
      </c>
      <c r="K805" t="str">
        <f ca="1">IFERROR(__xludf.DUMMYFUNCTION("""COMPUTED_VALUE"""),"Cepat Kirim")</f>
        <v>Cepat Kirim</v>
      </c>
      <c r="L805" t="str">
        <f ca="1">IFERROR(__xludf.DUMMYFUNCTION("""COMPUTED_VALUE"""),"Y")</f>
        <v>Y</v>
      </c>
      <c r="M805" t="str">
        <f ca="1">IFERROR(__xludf.DUMMYFUNCTION("""COMPUTED_VALUE"""),"gp-221")</f>
        <v>gp-221</v>
      </c>
    </row>
    <row r="806" spans="1:13" ht="12.5" x14ac:dyDescent="0.25">
      <c r="A806" t="str">
        <f ca="1">IFERROR(__xludf.DUMMYFUNCTION("""COMPUTED_VALUE"""),"Rony")</f>
        <v>Rony</v>
      </c>
      <c r="B806" t="str">
        <f ca="1">IFERROR(__xludf.DUMMYFUNCTION("""COMPUTED_VALUE"""),"Chiang,")</f>
        <v>Chiang,</v>
      </c>
      <c r="C806" t="str">
        <f ca="1">IFERROR(__xludf.DUMMYFUNCTION("""COMPUTED_VALUE"""),"Chiang@rocketmailx.com")</f>
        <v>Chiang@rocketmailx.com</v>
      </c>
      <c r="D806" t="str">
        <f ca="1">IFERROR(__xludf.DUMMYFUNCTION("""COMPUTED_VALUE"""),"Bekasi")</f>
        <v>Bekasi</v>
      </c>
      <c r="E806" s="12">
        <f ca="1">IFERROR(__xludf.DUMMYFUNCTION("""COMPUTED_VALUE"""),42710)</f>
        <v>42710</v>
      </c>
      <c r="F806" t="str">
        <f ca="1">IFERROR(__xludf.DUMMYFUNCTION("""COMPUTED_VALUE"""),"KP0625AF")</f>
        <v>KP0625AF</v>
      </c>
      <c r="G806" s="11">
        <f ca="1">IFERROR(__xludf.DUMMYFUNCTION("""COMPUTED_VALUE"""),72000000)</f>
        <v>72000000</v>
      </c>
      <c r="H806">
        <f ca="1">IFERROR(__xludf.DUMMYFUNCTION("""COMPUTED_VALUE"""),35656)</f>
        <v>35656</v>
      </c>
      <c r="I806">
        <f ca="1">IFERROR(__xludf.DUMMYFUNCTION("""COMPUTED_VALUE"""),6)</f>
        <v>6</v>
      </c>
      <c r="J806" t="str">
        <f ca="1">IFERROR(__xludf.DUMMYFUNCTION("""COMPUTED_VALUE"""),"N/A")</f>
        <v>N/A</v>
      </c>
      <c r="K806" t="str">
        <f ca="1">IFERROR(__xludf.DUMMYFUNCTION("""COMPUTED_VALUE"""),"JENT")</f>
        <v>JENT</v>
      </c>
      <c r="L806" t="str">
        <f ca="1">IFERROR(__xludf.DUMMYFUNCTION("""COMPUTED_VALUE"""),"N")</f>
        <v>N</v>
      </c>
      <c r="M806" t="str">
        <f ca="1">IFERROR(__xludf.DUMMYFUNCTION("""COMPUTED_VALUE"""),"bv-409")</f>
        <v>bv-409</v>
      </c>
    </row>
    <row r="807" spans="1:13" ht="12.5" x14ac:dyDescent="0.25">
      <c r="A807" t="str">
        <f ca="1">IFERROR(__xludf.DUMMYFUNCTION("""COMPUTED_VALUE"""),"Kristanto")</f>
        <v>Kristanto</v>
      </c>
      <c r="B807" t="str">
        <f ca="1">IFERROR(__xludf.DUMMYFUNCTION("""COMPUTED_VALUE"""),"Budiman")</f>
        <v>Budiman</v>
      </c>
      <c r="C807" t="str">
        <f ca="1">IFERROR(__xludf.DUMMYFUNCTION("""COMPUTED_VALUE"""),"Kristanto@ymailx.com")</f>
        <v>Kristanto@ymailx.com</v>
      </c>
      <c r="D807" t="str">
        <f ca="1">IFERROR(__xludf.DUMMYFUNCTION("""COMPUTED_VALUE"""),"Bogor")</f>
        <v>Bogor</v>
      </c>
      <c r="E807" s="12">
        <f ca="1">IFERROR(__xludf.DUMMYFUNCTION("""COMPUTED_VALUE"""),42710)</f>
        <v>42710</v>
      </c>
      <c r="F807" t="str">
        <f ca="1">IFERROR(__xludf.DUMMYFUNCTION("""COMPUTED_VALUE"""),"KP0850FB")</f>
        <v>KP0850FB</v>
      </c>
      <c r="G807" s="11">
        <f ca="1">IFERROR(__xludf.DUMMYFUNCTION("""COMPUTED_VALUE"""),210000000)</f>
        <v>210000000</v>
      </c>
      <c r="H807">
        <f ca="1">IFERROR(__xludf.DUMMYFUNCTION("""COMPUTED_VALUE"""),36177)</f>
        <v>36177</v>
      </c>
      <c r="I807">
        <f ca="1">IFERROR(__xludf.DUMMYFUNCTION("""COMPUTED_VALUE"""),10)</f>
        <v>10</v>
      </c>
      <c r="J807" t="str">
        <f ca="1">IFERROR(__xludf.DUMMYFUNCTION("""COMPUTED_VALUE"""),"N/A")</f>
        <v>N/A</v>
      </c>
      <c r="K807" t="str">
        <f ca="1">IFERROR(__xludf.DUMMYFUNCTION("""COMPUTED_VALUE"""),"Wakanda Express")</f>
        <v>Wakanda Express</v>
      </c>
      <c r="L807" t="str">
        <f ca="1">IFERROR(__xludf.DUMMYFUNCTION("""COMPUTED_VALUE"""),"Y")</f>
        <v>Y</v>
      </c>
      <c r="M807" t="str">
        <f ca="1">IFERROR(__xludf.DUMMYFUNCTION("""COMPUTED_VALUE"""),"to-409")</f>
        <v>to-409</v>
      </c>
    </row>
    <row r="808" spans="1:13" ht="12.5" x14ac:dyDescent="0.25">
      <c r="A808" t="str">
        <f ca="1">IFERROR(__xludf.DUMMYFUNCTION("""COMPUTED_VALUE"""),"Lili")</f>
        <v>Lili</v>
      </c>
      <c r="B808" t="str">
        <f ca="1">IFERROR(__xludf.DUMMYFUNCTION("""COMPUTED_VALUE"""),"Delia")</f>
        <v>Delia</v>
      </c>
      <c r="C808" t="str">
        <f ca="1">IFERROR(__xludf.DUMMYFUNCTION("""COMPUTED_VALUE"""),"LiLi@outlookx.com")</f>
        <v>LiLi@outlookx.com</v>
      </c>
      <c r="D808" t="str">
        <f ca="1">IFERROR(__xludf.DUMMYFUNCTION("""COMPUTED_VALUE"""),"Mataram")</f>
        <v>Mataram</v>
      </c>
      <c r="E808" s="12">
        <f ca="1">IFERROR(__xludf.DUMMYFUNCTION("""COMPUTED_VALUE"""),42619)</f>
        <v>42619</v>
      </c>
      <c r="F808" t="str">
        <f ca="1">IFERROR(__xludf.DUMMYFUNCTION("""COMPUTED_VALUE"""),"KP0350CF")</f>
        <v>KP0350CF</v>
      </c>
      <c r="G808" s="11">
        <f ca="1">IFERROR(__xludf.DUMMYFUNCTION("""COMPUTED_VALUE"""),280000000)</f>
        <v>280000000</v>
      </c>
      <c r="H808">
        <f ca="1">IFERROR(__xludf.DUMMYFUNCTION("""COMPUTED_VALUE"""),36809)</f>
        <v>36809</v>
      </c>
      <c r="I808">
        <f ca="1">IFERROR(__xludf.DUMMYFUNCTION("""COMPUTED_VALUE"""),8)</f>
        <v>8</v>
      </c>
      <c r="J808" t="str">
        <f ca="1">IFERROR(__xludf.DUMMYFUNCTION("""COMPUTED_VALUE"""),"N/A")</f>
        <v>N/A</v>
      </c>
      <c r="K808" t="str">
        <f ca="1">IFERROR(__xludf.DUMMYFUNCTION("""COMPUTED_VALUE"""),"Swift Delivery")</f>
        <v>Swift Delivery</v>
      </c>
      <c r="L808" t="str">
        <f ca="1">IFERROR(__xludf.DUMMYFUNCTION("""COMPUTED_VALUE"""),"Y")</f>
        <v>Y</v>
      </c>
      <c r="M808" t="str">
        <f ca="1">IFERROR(__xludf.DUMMYFUNCTION("""COMPUTED_VALUE"""),"it-183")</f>
        <v>it-183</v>
      </c>
    </row>
    <row r="809" spans="1:13" ht="12.5" x14ac:dyDescent="0.25">
      <c r="A809" t="str">
        <f ca="1">IFERROR(__xludf.DUMMYFUNCTION("""COMPUTED_VALUE"""),"Jackson")</f>
        <v>Jackson</v>
      </c>
      <c r="B809" t="str">
        <f ca="1">IFERROR(__xludf.DUMMYFUNCTION("""COMPUTED_VALUE"""),"Herman")</f>
        <v>Herman</v>
      </c>
      <c r="C809" t="str">
        <f ca="1">IFERROR(__xludf.DUMMYFUNCTION("""COMPUTED_VALUE"""),"Jackson@ymailx.com")</f>
        <v>Jackson@ymailx.com</v>
      </c>
      <c r="D809" t="str">
        <f ca="1">IFERROR(__xludf.DUMMYFUNCTION("""COMPUTED_VALUE"""),"Jayapura")</f>
        <v>Jayapura</v>
      </c>
      <c r="E809" s="12">
        <f ca="1">IFERROR(__xludf.DUMMYFUNCTION("""COMPUTED_VALUE"""),42588)</f>
        <v>42588</v>
      </c>
      <c r="F809" t="str">
        <f ca="1">IFERROR(__xludf.DUMMYFUNCTION("""COMPUTED_VALUE"""),"KP0850FB")</f>
        <v>KP0850FB</v>
      </c>
      <c r="G809" s="11">
        <f ca="1">IFERROR(__xludf.DUMMYFUNCTION("""COMPUTED_VALUE"""),63000000)</f>
        <v>63000000</v>
      </c>
      <c r="H809">
        <f ca="1">IFERROR(__xludf.DUMMYFUNCTION("""COMPUTED_VALUE"""),36324)</f>
        <v>36324</v>
      </c>
      <c r="I809">
        <f ca="1">IFERROR(__xludf.DUMMYFUNCTION("""COMPUTED_VALUE"""),3)</f>
        <v>3</v>
      </c>
      <c r="J809" t="str">
        <f ca="1">IFERROR(__xludf.DUMMYFUNCTION("""COMPUTED_VALUE"""),"N/A")</f>
        <v>N/A</v>
      </c>
      <c r="K809" t="str">
        <f ca="1">IFERROR(__xludf.DUMMYFUNCTION("""COMPUTED_VALUE"""),"Wakanda Express")</f>
        <v>Wakanda Express</v>
      </c>
      <c r="L809" t="str">
        <f ca="1">IFERROR(__xludf.DUMMYFUNCTION("""COMPUTED_VALUE"""),"Y")</f>
        <v>Y</v>
      </c>
      <c r="M809" t="str">
        <f ca="1">IFERROR(__xludf.DUMMYFUNCTION("""COMPUTED_VALUE"""),"eg-990")</f>
        <v>eg-990</v>
      </c>
    </row>
    <row r="810" spans="1:13" ht="12.5" x14ac:dyDescent="0.25">
      <c r="A810" t="str">
        <f ca="1">IFERROR(__xludf.DUMMYFUNCTION("""COMPUTED_VALUE"""),"Anna")</f>
        <v>Anna</v>
      </c>
      <c r="B810" t="str">
        <f ca="1">IFERROR(__xludf.DUMMYFUNCTION("""COMPUTED_VALUE"""),"Phair")</f>
        <v>Phair</v>
      </c>
      <c r="C810" t="str">
        <f ca="1">IFERROR(__xludf.DUMMYFUNCTION("""COMPUTED_VALUE"""),"Anna@livex.com")</f>
        <v>Anna@livex.com</v>
      </c>
      <c r="D810" t="str">
        <f ca="1">IFERROR(__xludf.DUMMYFUNCTION("""COMPUTED_VALUE"""),"Tebingtinggi")</f>
        <v>Tebingtinggi</v>
      </c>
      <c r="E810" s="12">
        <f ca="1">IFERROR(__xludf.DUMMYFUNCTION("""COMPUTED_VALUE"""),42588)</f>
        <v>42588</v>
      </c>
      <c r="F810" t="str">
        <f ca="1">IFERROR(__xludf.DUMMYFUNCTION("""COMPUTED_VALUE"""),"KP0750AJ")</f>
        <v>KP0750AJ</v>
      </c>
      <c r="G810" s="11">
        <f ca="1">IFERROR(__xludf.DUMMYFUNCTION("""COMPUTED_VALUE"""),90000000)</f>
        <v>90000000</v>
      </c>
      <c r="H810">
        <f ca="1">IFERROR(__xludf.DUMMYFUNCTION("""COMPUTED_VALUE"""),36218)</f>
        <v>36218</v>
      </c>
      <c r="I810">
        <f ca="1">IFERROR(__xludf.DUMMYFUNCTION("""COMPUTED_VALUE"""),5)</f>
        <v>5</v>
      </c>
      <c r="J810" t="str">
        <f ca="1">IFERROR(__xludf.DUMMYFUNCTION("""COMPUTED_VALUE"""),"N/A")</f>
        <v>N/A</v>
      </c>
      <c r="K810" t="str">
        <f ca="1">IFERROR(__xludf.DUMMYFUNCTION("""COMPUTED_VALUE"""),"JENT")</f>
        <v>JENT</v>
      </c>
      <c r="L810" t="str">
        <f ca="1">IFERROR(__xludf.DUMMYFUNCTION("""COMPUTED_VALUE"""),"Y")</f>
        <v>Y</v>
      </c>
      <c r="M810" t="str">
        <f ca="1">IFERROR(__xludf.DUMMYFUNCTION("""COMPUTED_VALUE"""),"ru-662")</f>
        <v>ru-662</v>
      </c>
    </row>
    <row r="811" spans="1:13" ht="12.5" x14ac:dyDescent="0.25">
      <c r="A811" t="str">
        <f ca="1">IFERROR(__xludf.DUMMYFUNCTION("""COMPUTED_VALUE"""),"Nazamudin")</f>
        <v>Nazamudin</v>
      </c>
      <c r="B811" t="str">
        <f ca="1">IFERROR(__xludf.DUMMYFUNCTION("""COMPUTED_VALUE"""),"Broto")</f>
        <v>Broto</v>
      </c>
      <c r="C811" t="str">
        <f ca="1">IFERROR(__xludf.DUMMYFUNCTION("""COMPUTED_VALUE"""),"Nazamudin@ymailx.com")</f>
        <v>Nazamudin@ymailx.com</v>
      </c>
      <c r="D811" t="str">
        <f ca="1">IFERROR(__xludf.DUMMYFUNCTION("""COMPUTED_VALUE"""),"Jambi")</f>
        <v>Jambi</v>
      </c>
      <c r="E811" s="12">
        <f ca="1">IFERROR(__xludf.DUMMYFUNCTION("""COMPUTED_VALUE"""),42588)</f>
        <v>42588</v>
      </c>
      <c r="F811" t="str">
        <f ca="1">IFERROR(__xludf.DUMMYFUNCTION("""COMPUTED_VALUE"""),"KP0925SG")</f>
        <v>KP0925SG</v>
      </c>
      <c r="G811" s="11">
        <f ca="1">IFERROR(__xludf.DUMMYFUNCTION("""COMPUTED_VALUE"""),60000000)</f>
        <v>60000000</v>
      </c>
      <c r="H811">
        <f ca="1">IFERROR(__xludf.DUMMYFUNCTION("""COMPUTED_VALUE"""),36648)</f>
        <v>36648</v>
      </c>
      <c r="I811">
        <f ca="1">IFERROR(__xludf.DUMMYFUNCTION("""COMPUTED_VALUE"""),4)</f>
        <v>4</v>
      </c>
      <c r="J811">
        <f ca="1">IFERROR(__xludf.DUMMYFUNCTION("""COMPUTED_VALUE"""),4)</f>
        <v>4</v>
      </c>
      <c r="K811" t="str">
        <f ca="1">IFERROR(__xludf.DUMMYFUNCTION("""COMPUTED_VALUE"""),"Wakanda Express")</f>
        <v>Wakanda Express</v>
      </c>
      <c r="L811" t="str">
        <f ca="1">IFERROR(__xludf.DUMMYFUNCTION("""COMPUTED_VALUE"""),"N")</f>
        <v>N</v>
      </c>
      <c r="M811" t="str">
        <f ca="1">IFERROR(__xludf.DUMMYFUNCTION("""COMPUTED_VALUE"""),"rc-512")</f>
        <v>rc-512</v>
      </c>
    </row>
    <row r="812" spans="1:13" ht="12.5" x14ac:dyDescent="0.25">
      <c r="A812" t="str">
        <f ca="1">IFERROR(__xludf.DUMMYFUNCTION("""COMPUTED_VALUE"""),"Faizan")</f>
        <v>Faizan</v>
      </c>
      <c r="B812" t="str">
        <f ca="1">IFERROR(__xludf.DUMMYFUNCTION("""COMPUTED_VALUE"""),"Widjaja")</f>
        <v>Widjaja</v>
      </c>
      <c r="C812" t="str">
        <f ca="1">IFERROR(__xludf.DUMMYFUNCTION("""COMPUTED_VALUE"""),"Faizan@outlookx.com")</f>
        <v>Faizan@outlookx.com</v>
      </c>
      <c r="D812" t="str">
        <f ca="1">IFERROR(__xludf.DUMMYFUNCTION("""COMPUTED_VALUE"""),"Palangkaraya")</f>
        <v>Palangkaraya</v>
      </c>
      <c r="E812" s="12">
        <f ca="1">IFERROR(__xludf.DUMMYFUNCTION("""COMPUTED_VALUE"""),42588)</f>
        <v>42588</v>
      </c>
      <c r="F812" t="str">
        <f ca="1">IFERROR(__xludf.DUMMYFUNCTION("""COMPUTED_VALUE"""),"KP0850FB")</f>
        <v>KP0850FB</v>
      </c>
      <c r="G812" s="11">
        <f ca="1">IFERROR(__xludf.DUMMYFUNCTION("""COMPUTED_VALUE"""),84000000)</f>
        <v>84000000</v>
      </c>
      <c r="H812">
        <f ca="1">IFERROR(__xludf.DUMMYFUNCTION("""COMPUTED_VALUE"""),36615)</f>
        <v>36615</v>
      </c>
      <c r="I812">
        <f ca="1">IFERROR(__xludf.DUMMYFUNCTION("""COMPUTED_VALUE"""),4)</f>
        <v>4</v>
      </c>
      <c r="J812">
        <f ca="1">IFERROR(__xludf.DUMMYFUNCTION("""COMPUTED_VALUE"""),4)</f>
        <v>4</v>
      </c>
      <c r="K812" t="str">
        <f ca="1">IFERROR(__xludf.DUMMYFUNCTION("""COMPUTED_VALUE"""),"JENT")</f>
        <v>JENT</v>
      </c>
      <c r="L812" t="str">
        <f ca="1">IFERROR(__xludf.DUMMYFUNCTION("""COMPUTED_VALUE"""),"Y")</f>
        <v>Y</v>
      </c>
      <c r="M812" t="str">
        <f ca="1">IFERROR(__xludf.DUMMYFUNCTION("""COMPUTED_VALUE"""),"yl-992")</f>
        <v>yl-992</v>
      </c>
    </row>
    <row r="813" spans="1:13" ht="12.5" x14ac:dyDescent="0.25">
      <c r="A813" t="str">
        <f ca="1">IFERROR(__xludf.DUMMYFUNCTION("""COMPUTED_VALUE"""),"Hashim")</f>
        <v>Hashim</v>
      </c>
      <c r="B813" t="str">
        <f ca="1">IFERROR(__xludf.DUMMYFUNCTION("""COMPUTED_VALUE"""),"Adhika")</f>
        <v>Adhika</v>
      </c>
      <c r="C813" t="str">
        <f ca="1">IFERROR(__xludf.DUMMYFUNCTION("""COMPUTED_VALUE"""),"HASHIM@gmailx.com")</f>
        <v>HASHIM@gmailx.com</v>
      </c>
      <c r="D813" t="str">
        <f ca="1">IFERROR(__xludf.DUMMYFUNCTION("""COMPUTED_VALUE"""),"Pontianak")</f>
        <v>Pontianak</v>
      </c>
      <c r="E813" s="12">
        <f ca="1">IFERROR(__xludf.DUMMYFUNCTION("""COMPUTED_VALUE"""),42527)</f>
        <v>42527</v>
      </c>
      <c r="F813" t="str">
        <f ca="1">IFERROR(__xludf.DUMMYFUNCTION("""COMPUTED_VALUE"""),"KP0850FB")</f>
        <v>KP0850FB</v>
      </c>
      <c r="G813" s="11">
        <f ca="1">IFERROR(__xludf.DUMMYFUNCTION("""COMPUTED_VALUE"""),210000000)</f>
        <v>210000000</v>
      </c>
      <c r="H813">
        <f ca="1">IFERROR(__xludf.DUMMYFUNCTION("""COMPUTED_VALUE"""),36706)</f>
        <v>36706</v>
      </c>
      <c r="I813">
        <f ca="1">IFERROR(__xludf.DUMMYFUNCTION("""COMPUTED_VALUE"""),10)</f>
        <v>10</v>
      </c>
      <c r="J813">
        <f ca="1">IFERROR(__xludf.DUMMYFUNCTION("""COMPUTED_VALUE"""),2)</f>
        <v>2</v>
      </c>
      <c r="K813" t="str">
        <f ca="1">IFERROR(__xludf.DUMMYFUNCTION("""COMPUTED_VALUE"""),"JENT")</f>
        <v>JENT</v>
      </c>
      <c r="L813" t="str">
        <f ca="1">IFERROR(__xludf.DUMMYFUNCTION("""COMPUTED_VALUE"""),"Y")</f>
        <v>Y</v>
      </c>
      <c r="M813" t="str">
        <f ca="1">IFERROR(__xludf.DUMMYFUNCTION("""COMPUTED_VALUE"""),"sg-880")</f>
        <v>sg-880</v>
      </c>
    </row>
    <row r="814" spans="1:13" ht="12.5" x14ac:dyDescent="0.25">
      <c r="A814" t="str">
        <f ca="1">IFERROR(__xludf.DUMMYFUNCTION("""COMPUTED_VALUE"""),"Sukmawati")</f>
        <v>Sukmawati</v>
      </c>
      <c r="B814" t="str">
        <f ca="1">IFERROR(__xludf.DUMMYFUNCTION("""COMPUTED_VALUE"""),"Rahardja")</f>
        <v>Rahardja</v>
      </c>
      <c r="C814" t="str">
        <f ca="1">IFERROR(__xludf.DUMMYFUNCTION("""COMPUTED_VALUE"""),"Sukmawati@icloudx.com")</f>
        <v>Sukmawati@icloudx.com</v>
      </c>
      <c r="D814" t="str">
        <f ca="1">IFERROR(__xludf.DUMMYFUNCTION("""COMPUTED_VALUE"""),"Jakarta Barat")</f>
        <v>Jakarta Barat</v>
      </c>
      <c r="E814" s="12">
        <f ca="1">IFERROR(__xludf.DUMMYFUNCTION("""COMPUTED_VALUE"""),42496)</f>
        <v>42496</v>
      </c>
      <c r="F814" t="str">
        <f ca="1">IFERROR(__xludf.DUMMYFUNCTION("""COMPUTED_VALUE"""),"KP0850FB")</f>
        <v>KP0850FB</v>
      </c>
      <c r="G814" s="11">
        <f ca="1">IFERROR(__xludf.DUMMYFUNCTION("""COMPUTED_VALUE"""),126000000)</f>
        <v>126000000</v>
      </c>
      <c r="H814">
        <f ca="1">IFERROR(__xludf.DUMMYFUNCTION("""COMPUTED_VALUE"""),36981)</f>
        <v>36981</v>
      </c>
      <c r="I814">
        <f ca="1">IFERROR(__xludf.DUMMYFUNCTION("""COMPUTED_VALUE"""),6)</f>
        <v>6</v>
      </c>
      <c r="J814">
        <f ca="1">IFERROR(__xludf.DUMMYFUNCTION("""COMPUTED_VALUE"""),4)</f>
        <v>4</v>
      </c>
      <c r="K814" t="str">
        <f ca="1">IFERROR(__xludf.DUMMYFUNCTION("""COMPUTED_VALUE"""),"Swift Delivery")</f>
        <v>Swift Delivery</v>
      </c>
      <c r="L814" t="str">
        <f ca="1">IFERROR(__xludf.DUMMYFUNCTION("""COMPUTED_VALUE"""),"N")</f>
        <v>N</v>
      </c>
      <c r="M814" t="str">
        <f ca="1">IFERROR(__xludf.DUMMYFUNCTION("""COMPUTED_VALUE"""),"yv-333")</f>
        <v>yv-333</v>
      </c>
    </row>
    <row r="815" spans="1:13" ht="12.5" x14ac:dyDescent="0.25">
      <c r="A815" t="str">
        <f ca="1">IFERROR(__xludf.DUMMYFUNCTION("""COMPUTED_VALUE"""),"K.")</f>
        <v>K.</v>
      </c>
      <c r="B815" t="str">
        <f ca="1">IFERROR(__xludf.DUMMYFUNCTION("""COMPUTED_VALUE"""),"Husin")</f>
        <v>Husin</v>
      </c>
      <c r="C815" t="str">
        <f ca="1">IFERROR(__xludf.DUMMYFUNCTION("""COMPUTED_VALUE"""),"K.@ymailx.com")</f>
        <v>K.@ymailx.com</v>
      </c>
      <c r="D815" t="str">
        <f ca="1">IFERROR(__xludf.DUMMYFUNCTION("""COMPUTED_VALUE"""),"Cilegon")</f>
        <v>Cilegon</v>
      </c>
      <c r="E815" s="12">
        <f ca="1">IFERROR(__xludf.DUMMYFUNCTION("""COMPUTED_VALUE"""),42466)</f>
        <v>42466</v>
      </c>
      <c r="F815" t="str">
        <f ca="1">IFERROR(__xludf.DUMMYFUNCTION("""COMPUTED_VALUE"""),"KP0925SG")</f>
        <v>KP0925SG</v>
      </c>
      <c r="G815" s="11">
        <f ca="1">IFERROR(__xludf.DUMMYFUNCTION("""COMPUTED_VALUE"""),90000000)</f>
        <v>90000000</v>
      </c>
      <c r="H815">
        <f ca="1">IFERROR(__xludf.DUMMYFUNCTION("""COMPUTED_VALUE"""),36526)</f>
        <v>36526</v>
      </c>
      <c r="I815">
        <f ca="1">IFERROR(__xludf.DUMMYFUNCTION("""COMPUTED_VALUE"""),6)</f>
        <v>6</v>
      </c>
      <c r="J815">
        <f ca="1">IFERROR(__xludf.DUMMYFUNCTION("""COMPUTED_VALUE"""),4)</f>
        <v>4</v>
      </c>
      <c r="K815" t="str">
        <f ca="1">IFERROR(__xludf.DUMMYFUNCTION("""COMPUTED_VALUE"""),"JENT")</f>
        <v>JENT</v>
      </c>
      <c r="L815" t="str">
        <f ca="1">IFERROR(__xludf.DUMMYFUNCTION("""COMPUTED_VALUE"""),"Y")</f>
        <v>Y</v>
      </c>
      <c r="M815" t="str">
        <f ca="1">IFERROR(__xludf.DUMMYFUNCTION("""COMPUTED_VALUE"""),"iy-500")</f>
        <v>iy-500</v>
      </c>
    </row>
    <row r="816" spans="1:13" ht="12.5" x14ac:dyDescent="0.25">
      <c r="A816" t="str">
        <f ca="1">IFERROR(__xludf.DUMMYFUNCTION("""COMPUTED_VALUE"""),"Maxymilian")</f>
        <v>Maxymilian</v>
      </c>
      <c r="B816" t="str">
        <f ca="1">IFERROR(__xludf.DUMMYFUNCTION("""COMPUTED_VALUE"""),"Woosnam")</f>
        <v>Woosnam</v>
      </c>
      <c r="C816" t="str">
        <f ca="1">IFERROR(__xludf.DUMMYFUNCTION("""COMPUTED_VALUE"""),"Maxymilian@mex.com")</f>
        <v>Maxymilian@mex.com</v>
      </c>
      <c r="D816" t="str">
        <f ca="1">IFERROR(__xludf.DUMMYFUNCTION("""COMPUTED_VALUE"""),"Bau-Bau")</f>
        <v>Bau-Bau</v>
      </c>
      <c r="E816" s="12">
        <f ca="1">IFERROR(__xludf.DUMMYFUNCTION("""COMPUTED_VALUE"""),42435)</f>
        <v>42435</v>
      </c>
      <c r="F816" t="str">
        <f ca="1">IFERROR(__xludf.DUMMYFUNCTION("""COMPUTED_VALUE"""),"KP0750AJ")</f>
        <v>KP0750AJ</v>
      </c>
      <c r="G816" s="11">
        <f ca="1">IFERROR(__xludf.DUMMYFUNCTION("""COMPUTED_VALUE"""),36000000)</f>
        <v>36000000</v>
      </c>
      <c r="H816">
        <f ca="1">IFERROR(__xludf.DUMMYFUNCTION("""COMPUTED_VALUE"""),36828)</f>
        <v>36828</v>
      </c>
      <c r="I816">
        <f ca="1">IFERROR(__xludf.DUMMYFUNCTION("""COMPUTED_VALUE"""),2)</f>
        <v>2</v>
      </c>
      <c r="J816">
        <f ca="1">IFERROR(__xludf.DUMMYFUNCTION("""COMPUTED_VALUE"""),4)</f>
        <v>4</v>
      </c>
      <c r="K816" t="str">
        <f ca="1">IFERROR(__xludf.DUMMYFUNCTION("""COMPUTED_VALUE"""),"Pru Logistic")</f>
        <v>Pru Logistic</v>
      </c>
      <c r="L816" t="str">
        <f ca="1">IFERROR(__xludf.DUMMYFUNCTION("""COMPUTED_VALUE"""),"Y")</f>
        <v>Y</v>
      </c>
      <c r="M816" t="str">
        <f ca="1">IFERROR(__xludf.DUMMYFUNCTION("""COMPUTED_VALUE"""),"pk-250")</f>
        <v>pk-250</v>
      </c>
    </row>
    <row r="817" spans="1:13" ht="12.5" x14ac:dyDescent="0.25">
      <c r="A817" t="str">
        <f ca="1">IFERROR(__xludf.DUMMYFUNCTION("""COMPUTED_VALUE"""),"Mirah")</f>
        <v>Mirah</v>
      </c>
      <c r="B817" t="str">
        <f ca="1">IFERROR(__xludf.DUMMYFUNCTION("""COMPUTED_VALUE"""),"Susanto")</f>
        <v>Susanto</v>
      </c>
      <c r="C817" t="str">
        <f ca="1">IFERROR(__xludf.DUMMYFUNCTION("""COMPUTED_VALUE"""),"Mirah@gmailx.com")</f>
        <v>Mirah@gmailx.com</v>
      </c>
      <c r="D817" t="str">
        <f ca="1">IFERROR(__xludf.DUMMYFUNCTION("""COMPUTED_VALUE"""),"Bekasi")</f>
        <v>Bekasi</v>
      </c>
      <c r="E817" s="12">
        <f ca="1">IFERROR(__xludf.DUMMYFUNCTION("""COMPUTED_VALUE"""),42406)</f>
        <v>42406</v>
      </c>
      <c r="F817" t="str">
        <f ca="1">IFERROR(__xludf.DUMMYFUNCTION("""COMPUTED_VALUE"""),"KP0625AF")</f>
        <v>KP0625AF</v>
      </c>
      <c r="G817" s="11">
        <f ca="1">IFERROR(__xludf.DUMMYFUNCTION("""COMPUTED_VALUE"""),96000000)</f>
        <v>96000000</v>
      </c>
      <c r="H817">
        <f ca="1">IFERROR(__xludf.DUMMYFUNCTION("""COMPUTED_VALUE"""),36590)</f>
        <v>36590</v>
      </c>
      <c r="I817">
        <f ca="1">IFERROR(__xludf.DUMMYFUNCTION("""COMPUTED_VALUE"""),8)</f>
        <v>8</v>
      </c>
      <c r="J817">
        <f ca="1">IFERROR(__xludf.DUMMYFUNCTION("""COMPUTED_VALUE"""),2)</f>
        <v>2</v>
      </c>
      <c r="K817" t="str">
        <f ca="1">IFERROR(__xludf.DUMMYFUNCTION("""COMPUTED_VALUE"""),"Cepat Kirim")</f>
        <v>Cepat Kirim</v>
      </c>
      <c r="L817" t="str">
        <f ca="1">IFERROR(__xludf.DUMMYFUNCTION("""COMPUTED_VALUE"""),"Y")</f>
        <v>Y</v>
      </c>
      <c r="M817" t="str">
        <f ca="1">IFERROR(__xludf.DUMMYFUNCTION("""COMPUTED_VALUE"""),"de-409")</f>
        <v>de-409</v>
      </c>
    </row>
    <row r="818" spans="1:13" ht="12.5" x14ac:dyDescent="0.25">
      <c r="A818" t="str">
        <f ca="1">IFERROR(__xludf.DUMMYFUNCTION("""COMPUTED_VALUE"""),"Medina")</f>
        <v>Medina</v>
      </c>
      <c r="B818" t="str">
        <f ca="1">IFERROR(__xludf.DUMMYFUNCTION("""COMPUTED_VALUE"""),"Prasetyo")</f>
        <v>Prasetyo</v>
      </c>
      <c r="C818" t="str">
        <f ca="1">IFERROR(__xludf.DUMMYFUNCTION("""COMPUTED_VALUE"""),"MEDINA@ymailx.com")</f>
        <v>MEDINA@ymailx.com</v>
      </c>
      <c r="D818" t="str">
        <f ca="1">IFERROR(__xludf.DUMMYFUNCTION("""COMPUTED_VALUE"""),"Tegal")</f>
        <v>Tegal</v>
      </c>
      <c r="E818" s="12">
        <f ca="1">IFERROR(__xludf.DUMMYFUNCTION("""COMPUTED_VALUE"""),42518)</f>
        <v>42518</v>
      </c>
      <c r="F818" t="str">
        <f ca="1">IFERROR(__xludf.DUMMYFUNCTION("""COMPUTED_VALUE"""),"KP0850FB")</f>
        <v>KP0850FB</v>
      </c>
      <c r="G818" s="11">
        <f ca="1">IFERROR(__xludf.DUMMYFUNCTION("""COMPUTED_VALUE"""),126000000)</f>
        <v>126000000</v>
      </c>
      <c r="H818">
        <f ca="1">IFERROR(__xludf.DUMMYFUNCTION("""COMPUTED_VALUE"""),35017)</f>
        <v>35017</v>
      </c>
      <c r="I818">
        <f ca="1">IFERROR(__xludf.DUMMYFUNCTION("""COMPUTED_VALUE"""),6)</f>
        <v>6</v>
      </c>
      <c r="J818" t="str">
        <f ca="1">IFERROR(__xludf.DUMMYFUNCTION("""COMPUTED_VALUE"""),"N/A")</f>
        <v>N/A</v>
      </c>
      <c r="K818" t="str">
        <f ca="1">IFERROR(__xludf.DUMMYFUNCTION("""COMPUTED_VALUE"""),"Wakanda Express")</f>
        <v>Wakanda Express</v>
      </c>
      <c r="L818" t="str">
        <f ca="1">IFERROR(__xludf.DUMMYFUNCTION("""COMPUTED_VALUE"""),"Y")</f>
        <v>Y</v>
      </c>
      <c r="M818" t="str">
        <f ca="1">IFERROR(__xludf.DUMMYFUNCTION("""COMPUTED_VALUE"""),"hk-410")</f>
        <v>hk-410</v>
      </c>
    </row>
    <row r="819" spans="1:13" ht="12.5" x14ac:dyDescent="0.25">
      <c r="A819" t="str">
        <f ca="1">IFERROR(__xludf.DUMMYFUNCTION("""COMPUTED_VALUE"""),"Agam")</f>
        <v>Agam</v>
      </c>
      <c r="B819" t="str">
        <f ca="1">IFERROR(__xludf.DUMMYFUNCTION("""COMPUTED_VALUE"""),"Iskandar")</f>
        <v>Iskandar</v>
      </c>
      <c r="C819" t="str">
        <f ca="1">IFERROR(__xludf.DUMMYFUNCTION("""COMPUTED_VALUE"""),"Agam@gmailx.com")</f>
        <v>Agam@gmailx.com</v>
      </c>
      <c r="D819" t="str">
        <f ca="1">IFERROR(__xludf.DUMMYFUNCTION("""COMPUTED_VALUE"""),"Purwokerto")</f>
        <v>Purwokerto</v>
      </c>
      <c r="E819" s="12">
        <f ca="1">IFERROR(__xludf.DUMMYFUNCTION("""COMPUTED_VALUE"""),42517)</f>
        <v>42517</v>
      </c>
      <c r="F819" t="str">
        <f ca="1">IFERROR(__xludf.DUMMYFUNCTION("""COMPUTED_VALUE"""),"KP0750AJ")</f>
        <v>KP0750AJ</v>
      </c>
      <c r="G819" s="11">
        <f ca="1">IFERROR(__xludf.DUMMYFUNCTION("""COMPUTED_VALUE"""),90000000)</f>
        <v>90000000</v>
      </c>
      <c r="H819">
        <f ca="1">IFERROR(__xludf.DUMMYFUNCTION("""COMPUTED_VALUE"""),36021)</f>
        <v>36021</v>
      </c>
      <c r="I819">
        <f ca="1">IFERROR(__xludf.DUMMYFUNCTION("""COMPUTED_VALUE"""),5)</f>
        <v>5</v>
      </c>
      <c r="J819">
        <f ca="1">IFERROR(__xludf.DUMMYFUNCTION("""COMPUTED_VALUE"""),1)</f>
        <v>1</v>
      </c>
      <c r="K819" t="str">
        <f ca="1">IFERROR(__xludf.DUMMYFUNCTION("""COMPUTED_VALUE"""),"Wakanda Express")</f>
        <v>Wakanda Express</v>
      </c>
      <c r="L819" t="str">
        <f ca="1">IFERROR(__xludf.DUMMYFUNCTION("""COMPUTED_VALUE"""),"Y")</f>
        <v>Y</v>
      </c>
      <c r="M819" t="str">
        <f ca="1">IFERROR(__xludf.DUMMYFUNCTION("""COMPUTED_VALUE"""),"pf-410")</f>
        <v>pf-410</v>
      </c>
    </row>
    <row r="820" spans="1:13" ht="12.5" x14ac:dyDescent="0.25">
      <c r="A820" t="str">
        <f ca="1">IFERROR(__xludf.DUMMYFUNCTION("""COMPUTED_VALUE"""),"Prayugi")</f>
        <v>Prayugi</v>
      </c>
      <c r="B820" t="str">
        <f ca="1">IFERROR(__xludf.DUMMYFUNCTION("""COMPUTED_VALUE"""),"Putri")</f>
        <v>Putri</v>
      </c>
      <c r="C820" t="str">
        <f ca="1">IFERROR(__xludf.DUMMYFUNCTION("""COMPUTED_VALUE"""),"Putri@rocketmailx.com")</f>
        <v>Putri@rocketmailx.com</v>
      </c>
      <c r="D820" t="str">
        <f ca="1">IFERROR(__xludf.DUMMYFUNCTION("""COMPUTED_VALUE"""),"Sawahlunto")</f>
        <v>Sawahlunto</v>
      </c>
      <c r="E820" s="12">
        <f ca="1">IFERROR(__xludf.DUMMYFUNCTION("""COMPUTED_VALUE"""),42513)</f>
        <v>42513</v>
      </c>
      <c r="F820" t="str">
        <f ca="1">IFERROR(__xludf.DUMMYFUNCTION("""COMPUTED_VALUE"""),"KP0150BH")</f>
        <v>KP0150BH</v>
      </c>
      <c r="G820" s="11">
        <f ca="1">IFERROR(__xludf.DUMMYFUNCTION("""COMPUTED_VALUE"""),216000000)</f>
        <v>216000000</v>
      </c>
      <c r="H820">
        <f ca="1">IFERROR(__xludf.DUMMYFUNCTION("""COMPUTED_VALUE"""),36967)</f>
        <v>36967</v>
      </c>
      <c r="I820">
        <f ca="1">IFERROR(__xludf.DUMMYFUNCTION("""COMPUTED_VALUE"""),8)</f>
        <v>8</v>
      </c>
      <c r="J820">
        <f ca="1">IFERROR(__xludf.DUMMYFUNCTION("""COMPUTED_VALUE"""),3)</f>
        <v>3</v>
      </c>
      <c r="K820" t="str">
        <f ca="1">IFERROR(__xludf.DUMMYFUNCTION("""COMPUTED_VALUE"""),"Swift Delivery")</f>
        <v>Swift Delivery</v>
      </c>
      <c r="L820" t="str">
        <f ca="1">IFERROR(__xludf.DUMMYFUNCTION("""COMPUTED_VALUE"""),"N")</f>
        <v>N</v>
      </c>
      <c r="M820" t="str">
        <f ca="1">IFERROR(__xludf.DUMMYFUNCTION("""COMPUTED_VALUE"""),"vp-559")</f>
        <v>vp-559</v>
      </c>
    </row>
    <row r="821" spans="1:13" ht="12.5" x14ac:dyDescent="0.25">
      <c r="A821" t="str">
        <f ca="1">IFERROR(__xludf.DUMMYFUNCTION("""COMPUTED_VALUE"""),"Djie")</f>
        <v>Djie</v>
      </c>
      <c r="B821" t="str">
        <f ca="1">IFERROR(__xludf.DUMMYFUNCTION("""COMPUTED_VALUE"""),"Totong")</f>
        <v>Totong</v>
      </c>
      <c r="C821" t="str">
        <f ca="1">IFERROR(__xludf.DUMMYFUNCTION("""COMPUTED_VALUE"""),"Totong@outlookx.com")</f>
        <v>Totong@outlookx.com</v>
      </c>
      <c r="D821" t="str">
        <f ca="1">IFERROR(__xludf.DUMMYFUNCTION("""COMPUTED_VALUE"""),"Sorong")</f>
        <v>Sorong</v>
      </c>
      <c r="E821" s="12">
        <f ca="1">IFERROR(__xludf.DUMMYFUNCTION("""COMPUTED_VALUE"""),42513)</f>
        <v>42513</v>
      </c>
      <c r="F821" t="str">
        <f ca="1">IFERROR(__xludf.DUMMYFUNCTION("""COMPUTED_VALUE"""),"KP0750AJ")</f>
        <v>KP0750AJ</v>
      </c>
      <c r="G821" s="11">
        <f ca="1">IFERROR(__xludf.DUMMYFUNCTION("""COMPUTED_VALUE"""),54000000)</f>
        <v>54000000</v>
      </c>
      <c r="H821">
        <f ca="1">IFERROR(__xludf.DUMMYFUNCTION("""COMPUTED_VALUE"""),35408)</f>
        <v>35408</v>
      </c>
      <c r="I821">
        <f ca="1">IFERROR(__xludf.DUMMYFUNCTION("""COMPUTED_VALUE"""),3)</f>
        <v>3</v>
      </c>
      <c r="J821">
        <f ca="1">IFERROR(__xludf.DUMMYFUNCTION("""COMPUTED_VALUE"""),4)</f>
        <v>4</v>
      </c>
      <c r="K821" t="str">
        <f ca="1">IFERROR(__xludf.DUMMYFUNCTION("""COMPUTED_VALUE"""),"JENT")</f>
        <v>JENT</v>
      </c>
      <c r="L821" t="str">
        <f ca="1">IFERROR(__xludf.DUMMYFUNCTION("""COMPUTED_VALUE"""),"Y")</f>
        <v>Y</v>
      </c>
      <c r="M821" t="str">
        <f ca="1">IFERROR(__xludf.DUMMYFUNCTION("""COMPUTED_VALUE"""),"tq-999")</f>
        <v>tq-999</v>
      </c>
    </row>
    <row r="822" spans="1:13" ht="12.5" x14ac:dyDescent="0.25">
      <c r="A822" t="str">
        <f ca="1">IFERROR(__xludf.DUMMYFUNCTION("""COMPUTED_VALUE"""),"Psp")</f>
        <v>Psp</v>
      </c>
      <c r="B822" t="str">
        <f ca="1">IFERROR(__xludf.DUMMYFUNCTION("""COMPUTED_VALUE"""),"Handajani")</f>
        <v>Handajani</v>
      </c>
      <c r="C822" t="str">
        <f ca="1">IFERROR(__xludf.DUMMYFUNCTION("""COMPUTED_VALUE"""),"PSP@mex.com")</f>
        <v>PSP@mex.com</v>
      </c>
      <c r="D822" t="str">
        <f ca="1">IFERROR(__xludf.DUMMYFUNCTION("""COMPUTED_VALUE"""),"Tangerang Selatan")</f>
        <v>Tangerang Selatan</v>
      </c>
      <c r="E822" s="12">
        <f ca="1">IFERROR(__xludf.DUMMYFUNCTION("""COMPUTED_VALUE"""),42511)</f>
        <v>42511</v>
      </c>
      <c r="F822" t="str">
        <f ca="1">IFERROR(__xludf.DUMMYFUNCTION("""COMPUTED_VALUE"""),"KP0850FB")</f>
        <v>KP0850FB</v>
      </c>
      <c r="G822" s="11">
        <f ca="1">IFERROR(__xludf.DUMMYFUNCTION("""COMPUTED_VALUE"""),126000000)</f>
        <v>126000000</v>
      </c>
      <c r="H822">
        <f ca="1">IFERROR(__xludf.DUMMYFUNCTION("""COMPUTED_VALUE"""),36825)</f>
        <v>36825</v>
      </c>
      <c r="I822">
        <f ca="1">IFERROR(__xludf.DUMMYFUNCTION("""COMPUTED_VALUE"""),6)</f>
        <v>6</v>
      </c>
      <c r="J822" t="str">
        <f ca="1">IFERROR(__xludf.DUMMYFUNCTION("""COMPUTED_VALUE"""),"N/A")</f>
        <v>N/A</v>
      </c>
      <c r="K822" t="str">
        <f ca="1">IFERROR(__xludf.DUMMYFUNCTION("""COMPUTED_VALUE"""),"Wakanda Express")</f>
        <v>Wakanda Express</v>
      </c>
      <c r="L822" t="str">
        <f ca="1">IFERROR(__xludf.DUMMYFUNCTION("""COMPUTED_VALUE"""),"N")</f>
        <v>N</v>
      </c>
      <c r="M822" t="str">
        <f ca="1">IFERROR(__xludf.DUMMYFUNCTION("""COMPUTED_VALUE"""),"cx-500")</f>
        <v>cx-500</v>
      </c>
    </row>
    <row r="823" spans="1:13" ht="12.5" x14ac:dyDescent="0.25">
      <c r="A823" t="str">
        <f ca="1">IFERROR(__xludf.DUMMYFUNCTION("""COMPUTED_VALUE"""),"Rini")</f>
        <v>Rini</v>
      </c>
      <c r="B823" t="str">
        <f ca="1">IFERROR(__xludf.DUMMYFUNCTION("""COMPUTED_VALUE"""),"Djajasaputra")</f>
        <v>Djajasaputra</v>
      </c>
      <c r="C823" t="str">
        <f ca="1">IFERROR(__xludf.DUMMYFUNCTION("""COMPUTED_VALUE"""),"Djajasaputra@gmailx.com")</f>
        <v>Djajasaputra@gmailx.com</v>
      </c>
      <c r="D823" t="str">
        <f ca="1">IFERROR(__xludf.DUMMYFUNCTION("""COMPUTED_VALUE"""),"Ambon")</f>
        <v>Ambon</v>
      </c>
      <c r="E823" s="12">
        <f ca="1">IFERROR(__xludf.DUMMYFUNCTION("""COMPUTED_VALUE"""),42509)</f>
        <v>42509</v>
      </c>
      <c r="F823" t="str">
        <f ca="1">IFERROR(__xludf.DUMMYFUNCTION("""COMPUTED_VALUE"""),"KP0625AF")</f>
        <v>KP0625AF</v>
      </c>
      <c r="G823" s="11">
        <f ca="1">IFERROR(__xludf.DUMMYFUNCTION("""COMPUTED_VALUE"""),120000000)</f>
        <v>120000000</v>
      </c>
      <c r="H823">
        <f ca="1">IFERROR(__xludf.DUMMYFUNCTION("""COMPUTED_VALUE"""),35526)</f>
        <v>35526</v>
      </c>
      <c r="I823">
        <f ca="1">IFERROR(__xludf.DUMMYFUNCTION("""COMPUTED_VALUE"""),10)</f>
        <v>10</v>
      </c>
      <c r="J823">
        <f ca="1">IFERROR(__xludf.DUMMYFUNCTION("""COMPUTED_VALUE"""),4)</f>
        <v>4</v>
      </c>
      <c r="K823" t="str">
        <f ca="1">IFERROR(__xludf.DUMMYFUNCTION("""COMPUTED_VALUE"""),"Swift Delivery")</f>
        <v>Swift Delivery</v>
      </c>
      <c r="L823" t="str">
        <f ca="1">IFERROR(__xludf.DUMMYFUNCTION("""COMPUTED_VALUE"""),"N")</f>
        <v>N</v>
      </c>
      <c r="M823" t="str">
        <f ca="1">IFERROR(__xludf.DUMMYFUNCTION("""COMPUTED_VALUE"""),"hx-171")</f>
        <v>hx-171</v>
      </c>
    </row>
    <row r="824" spans="1:13" ht="12.5" x14ac:dyDescent="0.25">
      <c r="A824" t="str">
        <f ca="1">IFERROR(__xludf.DUMMYFUNCTION("""COMPUTED_VALUE"""),"Henry")</f>
        <v>Henry</v>
      </c>
      <c r="B824" t="str">
        <f ca="1">IFERROR(__xludf.DUMMYFUNCTION("""COMPUTED_VALUE"""),"Adiwinata")</f>
        <v>Adiwinata</v>
      </c>
      <c r="C824" t="str">
        <f ca="1">IFERROR(__xludf.DUMMYFUNCTION("""COMPUTED_VALUE"""),"Adiwinata@gmailx.com")</f>
        <v>Adiwinata@gmailx.com</v>
      </c>
      <c r="D824" t="str">
        <f ca="1">IFERROR(__xludf.DUMMYFUNCTION("""COMPUTED_VALUE"""),"Solok")</f>
        <v>Solok</v>
      </c>
      <c r="E824" s="12">
        <f ca="1">IFERROR(__xludf.DUMMYFUNCTION("""COMPUTED_VALUE"""),42509)</f>
        <v>42509</v>
      </c>
      <c r="F824" t="str">
        <f ca="1">IFERROR(__xludf.DUMMYFUNCTION("""COMPUTED_VALUE"""),"KP0925SG")</f>
        <v>KP0925SG</v>
      </c>
      <c r="G824" s="11">
        <f ca="1">IFERROR(__xludf.DUMMYFUNCTION("""COMPUTED_VALUE"""),45000000)</f>
        <v>45000000</v>
      </c>
      <c r="H824">
        <f ca="1">IFERROR(__xludf.DUMMYFUNCTION("""COMPUTED_VALUE"""),36330)</f>
        <v>36330</v>
      </c>
      <c r="I824">
        <f ca="1">IFERROR(__xludf.DUMMYFUNCTION("""COMPUTED_VALUE"""),3)</f>
        <v>3</v>
      </c>
      <c r="J824">
        <f ca="1">IFERROR(__xludf.DUMMYFUNCTION("""COMPUTED_VALUE"""),4)</f>
        <v>4</v>
      </c>
      <c r="K824" t="str">
        <f ca="1">IFERROR(__xludf.DUMMYFUNCTION("""COMPUTED_VALUE"""),"JENT")</f>
        <v>JENT</v>
      </c>
      <c r="L824" t="str">
        <f ca="1">IFERROR(__xludf.DUMMYFUNCTION("""COMPUTED_VALUE"""),"Y")</f>
        <v>Y</v>
      </c>
      <c r="M824" t="str">
        <f ca="1">IFERROR(__xludf.DUMMYFUNCTION("""COMPUTED_VALUE"""),"pj-559")</f>
        <v>pj-559</v>
      </c>
    </row>
    <row r="825" spans="1:13" ht="12.5" x14ac:dyDescent="0.25">
      <c r="A825" t="str">
        <f ca="1">IFERROR(__xludf.DUMMYFUNCTION("""COMPUTED_VALUE"""),"Sharecorp")</f>
        <v>Sharecorp</v>
      </c>
      <c r="B825" t="str">
        <f ca="1">IFERROR(__xludf.DUMMYFUNCTION("""COMPUTED_VALUE"""),"Kalim")</f>
        <v>Kalim</v>
      </c>
      <c r="C825" t="str">
        <f ca="1">IFERROR(__xludf.DUMMYFUNCTION("""COMPUTED_VALUE"""),"Sharecorp@ymailx.com")</f>
        <v>Sharecorp@ymailx.com</v>
      </c>
      <c r="D825" t="str">
        <f ca="1">IFERROR(__xludf.DUMMYFUNCTION("""COMPUTED_VALUE"""),"Padangpanjang")</f>
        <v>Padangpanjang</v>
      </c>
      <c r="E825" s="12">
        <f ca="1">IFERROR(__xludf.DUMMYFUNCTION("""COMPUTED_VALUE"""),42505)</f>
        <v>42505</v>
      </c>
      <c r="F825" t="str">
        <f ca="1">IFERROR(__xludf.DUMMYFUNCTION("""COMPUTED_VALUE"""),"KP0425CB")</f>
        <v>KP0425CB</v>
      </c>
      <c r="G825" s="11">
        <f ca="1">IFERROR(__xludf.DUMMYFUNCTION("""COMPUTED_VALUE"""),245250000)</f>
        <v>245250000</v>
      </c>
      <c r="H825">
        <f ca="1">IFERROR(__xludf.DUMMYFUNCTION("""COMPUTED_VALUE"""),36939)</f>
        <v>36939</v>
      </c>
      <c r="I825">
        <f ca="1">IFERROR(__xludf.DUMMYFUNCTION("""COMPUTED_VALUE"""),9)</f>
        <v>9</v>
      </c>
      <c r="J825">
        <f ca="1">IFERROR(__xludf.DUMMYFUNCTION("""COMPUTED_VALUE"""),4)</f>
        <v>4</v>
      </c>
      <c r="K825" t="str">
        <f ca="1">IFERROR(__xludf.DUMMYFUNCTION("""COMPUTED_VALUE"""),"Cepat Kirim")</f>
        <v>Cepat Kirim</v>
      </c>
      <c r="L825" t="str">
        <f ca="1">IFERROR(__xludf.DUMMYFUNCTION("""COMPUTED_VALUE"""),"N")</f>
        <v>N</v>
      </c>
      <c r="M825" t="str">
        <f ca="1">IFERROR(__xludf.DUMMYFUNCTION("""COMPUTED_VALUE"""),"ub-559")</f>
        <v>ub-559</v>
      </c>
    </row>
    <row r="826" spans="1:13" ht="12.5" x14ac:dyDescent="0.25">
      <c r="A826" t="str">
        <f ca="1">IFERROR(__xludf.DUMMYFUNCTION("""COMPUTED_VALUE"""),"Sinatra")</f>
        <v>Sinatra</v>
      </c>
      <c r="B826" t="str">
        <f ca="1">IFERROR(__xludf.DUMMYFUNCTION("""COMPUTED_VALUE"""),"Widjaja")</f>
        <v>Widjaja</v>
      </c>
      <c r="C826" t="str">
        <f ca="1">IFERROR(__xludf.DUMMYFUNCTION("""COMPUTED_VALUE"""),"Sinatra@mex.com")</f>
        <v>Sinatra@mex.com</v>
      </c>
      <c r="D826" t="str">
        <f ca="1">IFERROR(__xludf.DUMMYFUNCTION("""COMPUTED_VALUE"""),"Balikpapan")</f>
        <v>Balikpapan</v>
      </c>
      <c r="E826" s="12">
        <f ca="1">IFERROR(__xludf.DUMMYFUNCTION("""COMPUTED_VALUE"""),42504)</f>
        <v>42504</v>
      </c>
      <c r="F826" t="str">
        <f ca="1">IFERROR(__xludf.DUMMYFUNCTION("""COMPUTED_VALUE"""),"KP0925SG")</f>
        <v>KP0925SG</v>
      </c>
      <c r="G826" s="11">
        <f ca="1">IFERROR(__xludf.DUMMYFUNCTION("""COMPUTED_VALUE"""),120000000)</f>
        <v>120000000</v>
      </c>
      <c r="H826">
        <f ca="1">IFERROR(__xludf.DUMMYFUNCTION("""COMPUTED_VALUE"""),36739)</f>
        <v>36739</v>
      </c>
      <c r="I826">
        <f ca="1">IFERROR(__xludf.DUMMYFUNCTION("""COMPUTED_VALUE"""),8)</f>
        <v>8</v>
      </c>
      <c r="J826" t="str">
        <f ca="1">IFERROR(__xludf.DUMMYFUNCTION("""COMPUTED_VALUE"""),"N/A")</f>
        <v>N/A</v>
      </c>
      <c r="K826" t="str">
        <f ca="1">IFERROR(__xludf.DUMMYFUNCTION("""COMPUTED_VALUE"""),"Swift Delivery")</f>
        <v>Swift Delivery</v>
      </c>
      <c r="L826" t="str">
        <f ca="1">IFERROR(__xludf.DUMMYFUNCTION("""COMPUTED_VALUE"""),"N")</f>
        <v>N</v>
      </c>
      <c r="M826" t="str">
        <f ca="1">IFERROR(__xludf.DUMMYFUNCTION("""COMPUTED_VALUE"""),"et-993")</f>
        <v>et-993</v>
      </c>
    </row>
    <row r="827" spans="1:13" ht="12.5" x14ac:dyDescent="0.25">
      <c r="A827" t="str">
        <f ca="1">IFERROR(__xludf.DUMMYFUNCTION("""COMPUTED_VALUE"""),"Slamet")</f>
        <v>Slamet</v>
      </c>
      <c r="B827" t="str">
        <f ca="1">IFERROR(__xludf.DUMMYFUNCTION("""COMPUTED_VALUE"""),"Maringka")</f>
        <v>Maringka</v>
      </c>
      <c r="C827" t="str">
        <f ca="1">IFERROR(__xludf.DUMMYFUNCTION("""COMPUTED_VALUE"""),"Maringka@icloudx.com")</f>
        <v>Maringka@icloudx.com</v>
      </c>
      <c r="D827" t="str">
        <f ca="1">IFERROR(__xludf.DUMMYFUNCTION("""COMPUTED_VALUE"""),"Malang")</f>
        <v>Malang</v>
      </c>
      <c r="E827" s="12">
        <f ca="1">IFERROR(__xludf.DUMMYFUNCTION("""COMPUTED_VALUE"""),42503)</f>
        <v>42503</v>
      </c>
      <c r="F827" t="str">
        <f ca="1">IFERROR(__xludf.DUMMYFUNCTION("""COMPUTED_VALUE"""),"KP0150BH")</f>
        <v>KP0150BH</v>
      </c>
      <c r="G827" s="11">
        <f ca="1">IFERROR(__xludf.DUMMYFUNCTION("""COMPUTED_VALUE"""),81000000)</f>
        <v>81000000</v>
      </c>
      <c r="H827">
        <f ca="1">IFERROR(__xludf.DUMMYFUNCTION("""COMPUTED_VALUE"""),36463)</f>
        <v>36463</v>
      </c>
      <c r="I827">
        <f ca="1">IFERROR(__xludf.DUMMYFUNCTION("""COMPUTED_VALUE"""),3)</f>
        <v>3</v>
      </c>
      <c r="J827" t="str">
        <f ca="1">IFERROR(__xludf.DUMMYFUNCTION("""COMPUTED_VALUE"""),"N/A")</f>
        <v>N/A</v>
      </c>
      <c r="K827" t="str">
        <f ca="1">IFERROR(__xludf.DUMMYFUNCTION("""COMPUTED_VALUE"""),"Cepat Kirim")</f>
        <v>Cepat Kirim</v>
      </c>
      <c r="L827" t="str">
        <f ca="1">IFERROR(__xludf.DUMMYFUNCTION("""COMPUTED_VALUE"""),"N")</f>
        <v>N</v>
      </c>
      <c r="M827" t="str">
        <f ca="1">IFERROR(__xludf.DUMMYFUNCTION("""COMPUTED_VALUE"""),"tv-123")</f>
        <v>tv-123</v>
      </c>
    </row>
    <row r="828" spans="1:13" ht="12.5" x14ac:dyDescent="0.25">
      <c r="A828" t="str">
        <f ca="1">IFERROR(__xludf.DUMMYFUNCTION("""COMPUTED_VALUE"""),"Jopie")</f>
        <v>Jopie</v>
      </c>
      <c r="B828" t="str">
        <f ca="1">IFERROR(__xludf.DUMMYFUNCTION("""COMPUTED_VALUE"""),"Moelyadi")</f>
        <v>Moelyadi</v>
      </c>
      <c r="C828" t="str">
        <f ca="1">IFERROR(__xludf.DUMMYFUNCTION("""COMPUTED_VALUE"""),"Jopie@ymailx.com")</f>
        <v>Jopie@ymailx.com</v>
      </c>
      <c r="D828" t="str">
        <f ca="1">IFERROR(__xludf.DUMMYFUNCTION("""COMPUTED_VALUE"""),"Batam")</f>
        <v>Batam</v>
      </c>
      <c r="E828" s="12">
        <f ca="1">IFERROR(__xludf.DUMMYFUNCTION("""COMPUTED_VALUE"""),42679)</f>
        <v>42679</v>
      </c>
      <c r="F828" t="str">
        <f ca="1">IFERROR(__xludf.DUMMYFUNCTION("""COMPUTED_VALUE"""),"KP0850FB")</f>
        <v>KP0850FB</v>
      </c>
      <c r="G828" s="11">
        <f ca="1">IFERROR(__xludf.DUMMYFUNCTION("""COMPUTED_VALUE"""),42000000)</f>
        <v>42000000</v>
      </c>
      <c r="H828">
        <f ca="1">IFERROR(__xludf.DUMMYFUNCTION("""COMPUTED_VALUE"""),36506)</f>
        <v>36506</v>
      </c>
      <c r="I828">
        <f ca="1">IFERROR(__xludf.DUMMYFUNCTION("""COMPUTED_VALUE"""),2)</f>
        <v>2</v>
      </c>
      <c r="J828" t="str">
        <f ca="1">IFERROR(__xludf.DUMMYFUNCTION("""COMPUTED_VALUE"""),"N/A")</f>
        <v>N/A</v>
      </c>
      <c r="K828" t="str">
        <f ca="1">IFERROR(__xludf.DUMMYFUNCTION("""COMPUTED_VALUE"""),"JENT")</f>
        <v>JENT</v>
      </c>
      <c r="L828" t="str">
        <f ca="1">IFERROR(__xludf.DUMMYFUNCTION("""COMPUTED_VALUE"""),"Y")</f>
        <v>Y</v>
      </c>
      <c r="M828" t="str">
        <f ca="1">IFERROR(__xludf.DUMMYFUNCTION("""COMPUTED_VALUE"""),"og-809")</f>
        <v>og-809</v>
      </c>
    </row>
    <row r="829" spans="1:13" ht="12.5" x14ac:dyDescent="0.25">
      <c r="A829" t="str">
        <f ca="1">IFERROR(__xludf.DUMMYFUNCTION("""COMPUTED_VALUE"""),"Jo")</f>
        <v>Jo</v>
      </c>
      <c r="B829" t="str">
        <f ca="1">IFERROR(__xludf.DUMMYFUNCTION("""COMPUTED_VALUE"""),"Oka")</f>
        <v>Oka</v>
      </c>
      <c r="C829" t="str">
        <f ca="1">IFERROR(__xludf.DUMMYFUNCTION("""COMPUTED_VALUE"""),"Oka@gmailx.com")</f>
        <v>Oka@gmailx.com</v>
      </c>
      <c r="D829" t="str">
        <f ca="1">IFERROR(__xludf.DUMMYFUNCTION("""COMPUTED_VALUE"""),"Padang Sidempuan")</f>
        <v>Padang Sidempuan</v>
      </c>
      <c r="E829" s="12">
        <f ca="1">IFERROR(__xludf.DUMMYFUNCTION("""COMPUTED_VALUE"""),42648)</f>
        <v>42648</v>
      </c>
      <c r="F829" t="str">
        <f ca="1">IFERROR(__xludf.DUMMYFUNCTION("""COMPUTED_VALUE"""),"KP0150BH")</f>
        <v>KP0150BH</v>
      </c>
      <c r="G829" s="11">
        <f ca="1">IFERROR(__xludf.DUMMYFUNCTION("""COMPUTED_VALUE"""),189000000)</f>
        <v>189000000</v>
      </c>
      <c r="H829">
        <f ca="1">IFERROR(__xludf.DUMMYFUNCTION("""COMPUTED_VALUE"""),36401)</f>
        <v>36401</v>
      </c>
      <c r="I829">
        <f ca="1">IFERROR(__xludf.DUMMYFUNCTION("""COMPUTED_VALUE"""),7)</f>
        <v>7</v>
      </c>
      <c r="J829">
        <f ca="1">IFERROR(__xludf.DUMMYFUNCTION("""COMPUTED_VALUE"""),4)</f>
        <v>4</v>
      </c>
      <c r="K829" t="str">
        <f ca="1">IFERROR(__xludf.DUMMYFUNCTION("""COMPUTED_VALUE"""),"Wakanda Express")</f>
        <v>Wakanda Express</v>
      </c>
      <c r="L829" t="str">
        <f ca="1">IFERROR(__xludf.DUMMYFUNCTION("""COMPUTED_VALUE"""),"Y")</f>
        <v>Y</v>
      </c>
      <c r="M829" t="str">
        <f ca="1">IFERROR(__xludf.DUMMYFUNCTION("""COMPUTED_VALUE"""),"iq-662")</f>
        <v>iq-662</v>
      </c>
    </row>
    <row r="830" spans="1:13" ht="12.5" x14ac:dyDescent="0.25">
      <c r="A830" t="str">
        <f ca="1">IFERROR(__xludf.DUMMYFUNCTION("""COMPUTED_VALUE"""),"Agus")</f>
        <v>Agus</v>
      </c>
      <c r="B830" t="str">
        <f ca="1">IFERROR(__xludf.DUMMYFUNCTION("""COMPUTED_VALUE"""),"Sugianto")</f>
        <v>Sugianto</v>
      </c>
      <c r="C830" t="str">
        <f ca="1">IFERROR(__xludf.DUMMYFUNCTION("""COMPUTED_VALUE"""),"Sugianto@ymailx.com")</f>
        <v>Sugianto@ymailx.com</v>
      </c>
      <c r="D830" t="str">
        <f ca="1">IFERROR(__xludf.DUMMYFUNCTION("""COMPUTED_VALUE"""),"Depok")</f>
        <v>Depok</v>
      </c>
      <c r="E830" s="12">
        <f ca="1">IFERROR(__xludf.DUMMYFUNCTION("""COMPUTED_VALUE"""),42648)</f>
        <v>42648</v>
      </c>
      <c r="F830" t="str">
        <f ca="1">IFERROR(__xludf.DUMMYFUNCTION("""COMPUTED_VALUE"""),"KP0750AJ")</f>
        <v>KP0750AJ</v>
      </c>
      <c r="G830" s="11">
        <f ca="1">IFERROR(__xludf.DUMMYFUNCTION("""COMPUTED_VALUE"""),126000000)</f>
        <v>126000000</v>
      </c>
      <c r="H830">
        <f ca="1">IFERROR(__xludf.DUMMYFUNCTION("""COMPUTED_VALUE"""),36441)</f>
        <v>36441</v>
      </c>
      <c r="I830">
        <f ca="1">IFERROR(__xludf.DUMMYFUNCTION("""COMPUTED_VALUE"""),7)</f>
        <v>7</v>
      </c>
      <c r="J830" t="str">
        <f ca="1">IFERROR(__xludf.DUMMYFUNCTION("""COMPUTED_VALUE"""),"N/A")</f>
        <v>N/A</v>
      </c>
      <c r="K830" t="str">
        <f ca="1">IFERROR(__xludf.DUMMYFUNCTION("""COMPUTED_VALUE"""),"Wakanda Express")</f>
        <v>Wakanda Express</v>
      </c>
      <c r="L830" t="str">
        <f ca="1">IFERROR(__xludf.DUMMYFUNCTION("""COMPUTED_VALUE"""),"Y")</f>
        <v>Y</v>
      </c>
      <c r="M830" t="str">
        <f ca="1">IFERROR(__xludf.DUMMYFUNCTION("""COMPUTED_VALUE"""),"yl-409")</f>
        <v>yl-409</v>
      </c>
    </row>
    <row r="831" spans="1:13" ht="12.5" x14ac:dyDescent="0.25">
      <c r="A831" t="str">
        <f ca="1">IFERROR(__xludf.DUMMYFUNCTION("""COMPUTED_VALUE"""),"Nio")</f>
        <v>Nio</v>
      </c>
      <c r="B831" t="str">
        <f ca="1">IFERROR(__xludf.DUMMYFUNCTION("""COMPUTED_VALUE"""),"Widodo")</f>
        <v>Widodo</v>
      </c>
      <c r="C831" t="str">
        <f ca="1">IFERROR(__xludf.DUMMYFUNCTION("""COMPUTED_VALUE"""),"Widodo@rocketmailx.com")</f>
        <v>Widodo@rocketmailx.com</v>
      </c>
      <c r="D831" t="str">
        <f ca="1">IFERROR(__xludf.DUMMYFUNCTION("""COMPUTED_VALUE"""),"Gorontalo")</f>
        <v>Gorontalo</v>
      </c>
      <c r="E831" s="12">
        <f ca="1">IFERROR(__xludf.DUMMYFUNCTION("""COMPUTED_VALUE"""),42618)</f>
        <v>42618</v>
      </c>
      <c r="F831" t="str">
        <f ca="1">IFERROR(__xludf.DUMMYFUNCTION("""COMPUTED_VALUE"""),"KP0925SG")</f>
        <v>KP0925SG</v>
      </c>
      <c r="G831" s="11">
        <f ca="1">IFERROR(__xludf.DUMMYFUNCTION("""COMPUTED_VALUE"""),120000000)</f>
        <v>120000000</v>
      </c>
      <c r="H831">
        <f ca="1">IFERROR(__xludf.DUMMYFUNCTION("""COMPUTED_VALUE"""),35075)</f>
        <v>35075</v>
      </c>
      <c r="I831">
        <f ca="1">IFERROR(__xludf.DUMMYFUNCTION("""COMPUTED_VALUE"""),8)</f>
        <v>8</v>
      </c>
      <c r="J831" t="str">
        <f ca="1">IFERROR(__xludf.DUMMYFUNCTION("""COMPUTED_VALUE"""),"N/A")</f>
        <v>N/A</v>
      </c>
      <c r="K831" t="str">
        <f ca="1">IFERROR(__xludf.DUMMYFUNCTION("""COMPUTED_VALUE"""),"JENT")</f>
        <v>JENT</v>
      </c>
      <c r="L831" t="str">
        <f ca="1">IFERROR(__xludf.DUMMYFUNCTION("""COMPUTED_VALUE"""),"N")</f>
        <v>N</v>
      </c>
      <c r="M831" t="str">
        <f ca="1">IFERROR(__xludf.DUMMYFUNCTION("""COMPUTED_VALUE"""),"vr-983")</f>
        <v>vr-983</v>
      </c>
    </row>
    <row r="832" spans="1:13" ht="12.5" x14ac:dyDescent="0.25">
      <c r="A832" t="str">
        <f ca="1">IFERROR(__xludf.DUMMYFUNCTION("""COMPUTED_VALUE"""),"Piet")</f>
        <v>Piet</v>
      </c>
      <c r="B832" t="str">
        <f ca="1">IFERROR(__xludf.DUMMYFUNCTION("""COMPUTED_VALUE"""),"Ronald")</f>
        <v>Ronald</v>
      </c>
      <c r="C832" t="str">
        <f ca="1">IFERROR(__xludf.DUMMYFUNCTION("""COMPUTED_VALUE"""),"Piet@ymailx.com")</f>
        <v>Piet@ymailx.com</v>
      </c>
      <c r="D832" t="str">
        <f ca="1">IFERROR(__xludf.DUMMYFUNCTION("""COMPUTED_VALUE"""),"Lhokseumawe")</f>
        <v>Lhokseumawe</v>
      </c>
      <c r="E832" s="12">
        <f ca="1">IFERROR(__xludf.DUMMYFUNCTION("""COMPUTED_VALUE"""),42587)</f>
        <v>42587</v>
      </c>
      <c r="F832" t="str">
        <f ca="1">IFERROR(__xludf.DUMMYFUNCTION("""COMPUTED_VALUE"""),"KP0150BH")</f>
        <v>KP0150BH</v>
      </c>
      <c r="G832" s="11">
        <f ca="1">IFERROR(__xludf.DUMMYFUNCTION("""COMPUTED_VALUE"""),189000000)</f>
        <v>189000000</v>
      </c>
      <c r="H832">
        <f ca="1">IFERROR(__xludf.DUMMYFUNCTION("""COMPUTED_VALUE"""),36168)</f>
        <v>36168</v>
      </c>
      <c r="I832">
        <f ca="1">IFERROR(__xludf.DUMMYFUNCTION("""COMPUTED_VALUE"""),7)</f>
        <v>7</v>
      </c>
      <c r="J832">
        <f ca="1">IFERROR(__xludf.DUMMYFUNCTION("""COMPUTED_VALUE"""),4)</f>
        <v>4</v>
      </c>
      <c r="K832" t="str">
        <f ca="1">IFERROR(__xludf.DUMMYFUNCTION("""COMPUTED_VALUE"""),"JENT")</f>
        <v>JENT</v>
      </c>
      <c r="L832" t="str">
        <f ca="1">IFERROR(__xludf.DUMMYFUNCTION("""COMPUTED_VALUE"""),"N")</f>
        <v>N</v>
      </c>
      <c r="M832" t="str">
        <f ca="1">IFERROR(__xludf.DUMMYFUNCTION("""COMPUTED_VALUE"""),"zb-101")</f>
        <v>zb-101</v>
      </c>
    </row>
    <row r="833" spans="1:13" ht="12.5" x14ac:dyDescent="0.25">
      <c r="A833" t="str">
        <f ca="1">IFERROR(__xludf.DUMMYFUNCTION("""COMPUTED_VALUE"""),"Anton")</f>
        <v>Anton</v>
      </c>
      <c r="B833" t="str">
        <f ca="1">IFERROR(__xludf.DUMMYFUNCTION("""COMPUTED_VALUE"""),"M.")</f>
        <v>M.</v>
      </c>
      <c r="C833" t="str">
        <f ca="1">IFERROR(__xludf.DUMMYFUNCTION("""COMPUTED_VALUE"""),"Anton@livex.com")</f>
        <v>Anton@livex.com</v>
      </c>
      <c r="D833" t="str">
        <f ca="1">IFERROR(__xludf.DUMMYFUNCTION("""COMPUTED_VALUE"""),"Meulaboh")</f>
        <v>Meulaboh</v>
      </c>
      <c r="E833" s="12">
        <f ca="1">IFERROR(__xludf.DUMMYFUNCTION("""COMPUTED_VALUE"""),42556)</f>
        <v>42556</v>
      </c>
      <c r="F833" t="str">
        <f ca="1">IFERROR(__xludf.DUMMYFUNCTION("""COMPUTED_VALUE"""),"KP0850FB")</f>
        <v>KP0850FB</v>
      </c>
      <c r="G833" s="11">
        <f ca="1">IFERROR(__xludf.DUMMYFUNCTION("""COMPUTED_VALUE"""),105000000)</f>
        <v>105000000</v>
      </c>
      <c r="H833">
        <f ca="1">IFERROR(__xludf.DUMMYFUNCTION("""COMPUTED_VALUE"""),35651)</f>
        <v>35651</v>
      </c>
      <c r="I833">
        <f ca="1">IFERROR(__xludf.DUMMYFUNCTION("""COMPUTED_VALUE"""),5)</f>
        <v>5</v>
      </c>
      <c r="J833">
        <f ca="1">IFERROR(__xludf.DUMMYFUNCTION("""COMPUTED_VALUE"""),4)</f>
        <v>4</v>
      </c>
      <c r="K833" t="str">
        <f ca="1">IFERROR(__xludf.DUMMYFUNCTION("""COMPUTED_VALUE"""),"JENT")</f>
        <v>JENT</v>
      </c>
      <c r="L833" t="str">
        <f ca="1">IFERROR(__xludf.DUMMYFUNCTION("""COMPUTED_VALUE"""),"Y")</f>
        <v>Y</v>
      </c>
      <c r="M833" t="str">
        <f ca="1">IFERROR(__xludf.DUMMYFUNCTION("""COMPUTED_VALUE"""),"dn-101")</f>
        <v>dn-101</v>
      </c>
    </row>
    <row r="834" spans="1:13" ht="12.5" x14ac:dyDescent="0.25">
      <c r="A834" t="str">
        <f ca="1">IFERROR(__xludf.DUMMYFUNCTION("""COMPUTED_VALUE"""),"Halifah")</f>
        <v>Halifah</v>
      </c>
      <c r="B834" t="str">
        <f ca="1">IFERROR(__xludf.DUMMYFUNCTION("""COMPUTED_VALUE"""),"Lianty")</f>
        <v>Lianty</v>
      </c>
      <c r="C834" t="str">
        <f ca="1">IFERROR(__xludf.DUMMYFUNCTION("""COMPUTED_VALUE"""),"Halifah@ymailx.com")</f>
        <v>Halifah@ymailx.com</v>
      </c>
      <c r="D834" t="str">
        <f ca="1">IFERROR(__xludf.DUMMYFUNCTION("""COMPUTED_VALUE"""),"Bau-Bau")</f>
        <v>Bau-Bau</v>
      </c>
      <c r="E834" s="12">
        <f ca="1">IFERROR(__xludf.DUMMYFUNCTION("""COMPUTED_VALUE"""),42556)</f>
        <v>42556</v>
      </c>
      <c r="F834" t="str">
        <f ca="1">IFERROR(__xludf.DUMMYFUNCTION("""COMPUTED_VALUE"""),"KP0750AJ")</f>
        <v>KP0750AJ</v>
      </c>
      <c r="G834" s="11">
        <f ca="1">IFERROR(__xludf.DUMMYFUNCTION("""COMPUTED_VALUE"""),126000000)</f>
        <v>126000000</v>
      </c>
      <c r="H834">
        <f ca="1">IFERROR(__xludf.DUMMYFUNCTION("""COMPUTED_VALUE"""),36306)</f>
        <v>36306</v>
      </c>
      <c r="I834">
        <f ca="1">IFERROR(__xludf.DUMMYFUNCTION("""COMPUTED_VALUE"""),7)</f>
        <v>7</v>
      </c>
      <c r="J834" t="str">
        <f ca="1">IFERROR(__xludf.DUMMYFUNCTION("""COMPUTED_VALUE"""),"N/A")</f>
        <v>N/A</v>
      </c>
      <c r="K834" t="str">
        <f ca="1">IFERROR(__xludf.DUMMYFUNCTION("""COMPUTED_VALUE"""),"JENT")</f>
        <v>JENT</v>
      </c>
      <c r="L834" t="str">
        <f ca="1">IFERROR(__xludf.DUMMYFUNCTION("""COMPUTED_VALUE"""),"Y")</f>
        <v>Y</v>
      </c>
      <c r="M834" t="str">
        <f ca="1">IFERROR(__xludf.DUMMYFUNCTION("""COMPUTED_VALUE"""),"hv-250")</f>
        <v>hv-250</v>
      </c>
    </row>
    <row r="835" spans="1:13" ht="12.5" x14ac:dyDescent="0.25">
      <c r="A835" t="str">
        <f ca="1">IFERROR(__xludf.DUMMYFUNCTION("""COMPUTED_VALUE"""),"James")</f>
        <v>James</v>
      </c>
      <c r="B835" t="str">
        <f ca="1">IFERROR(__xludf.DUMMYFUNCTION("""COMPUTED_VALUE"""),"Chuck")</f>
        <v>Chuck</v>
      </c>
      <c r="C835" t="str">
        <f ca="1">IFERROR(__xludf.DUMMYFUNCTION("""COMPUTED_VALUE"""),"Chuck@ymailx.com")</f>
        <v>Chuck@ymailx.com</v>
      </c>
      <c r="D835" t="str">
        <f ca="1">IFERROR(__xludf.DUMMYFUNCTION("""COMPUTED_VALUE"""),"Makassar")</f>
        <v>Makassar</v>
      </c>
      <c r="E835" s="12">
        <f ca="1">IFERROR(__xludf.DUMMYFUNCTION("""COMPUTED_VALUE"""),42495)</f>
        <v>42495</v>
      </c>
      <c r="F835" t="str">
        <f ca="1">IFERROR(__xludf.DUMMYFUNCTION("""COMPUTED_VALUE"""),"KP0850FB")</f>
        <v>KP0850FB</v>
      </c>
      <c r="G835" s="11">
        <f ca="1">IFERROR(__xludf.DUMMYFUNCTION("""COMPUTED_VALUE"""),84000000)</f>
        <v>84000000</v>
      </c>
      <c r="H835">
        <f ca="1">IFERROR(__xludf.DUMMYFUNCTION("""COMPUTED_VALUE"""),35393)</f>
        <v>35393</v>
      </c>
      <c r="I835">
        <f ca="1">IFERROR(__xludf.DUMMYFUNCTION("""COMPUTED_VALUE"""),4)</f>
        <v>4</v>
      </c>
      <c r="J835" t="str">
        <f ca="1">IFERROR(__xludf.DUMMYFUNCTION("""COMPUTED_VALUE"""),"N/A")</f>
        <v>N/A</v>
      </c>
      <c r="K835" t="str">
        <f ca="1">IFERROR(__xludf.DUMMYFUNCTION("""COMPUTED_VALUE"""),"JENT")</f>
        <v>JENT</v>
      </c>
      <c r="L835" t="str">
        <f ca="1">IFERROR(__xludf.DUMMYFUNCTION("""COMPUTED_VALUE"""),"Y")</f>
        <v>Y</v>
      </c>
      <c r="M835" t="str">
        <f ca="1">IFERROR(__xludf.DUMMYFUNCTION("""COMPUTED_VALUE"""),"yh-290")</f>
        <v>yh-290</v>
      </c>
    </row>
    <row r="836" spans="1:13" ht="12.5" x14ac:dyDescent="0.25">
      <c r="A836" t="str">
        <f ca="1">IFERROR(__xludf.DUMMYFUNCTION("""COMPUTED_VALUE"""),"Catherine")</f>
        <v>Catherine</v>
      </c>
      <c r="B836" t="str">
        <f ca="1">IFERROR(__xludf.DUMMYFUNCTION("""COMPUTED_VALUE"""),"Rophian")</f>
        <v>Rophian</v>
      </c>
      <c r="C836" t="str">
        <f ca="1">IFERROR(__xludf.DUMMYFUNCTION("""COMPUTED_VALUE"""),"Rophian@icloudx.com")</f>
        <v>Rophian@icloudx.com</v>
      </c>
      <c r="D836" t="str">
        <f ca="1">IFERROR(__xludf.DUMMYFUNCTION("""COMPUTED_VALUE"""),"Jakarta Timur")</f>
        <v>Jakarta Timur</v>
      </c>
      <c r="E836" s="12">
        <f ca="1">IFERROR(__xludf.DUMMYFUNCTION("""COMPUTED_VALUE"""),42465)</f>
        <v>42465</v>
      </c>
      <c r="F836" t="str">
        <f ca="1">IFERROR(__xludf.DUMMYFUNCTION("""COMPUTED_VALUE"""),"KP0925SG")</f>
        <v>KP0925SG</v>
      </c>
      <c r="G836" s="11">
        <f ca="1">IFERROR(__xludf.DUMMYFUNCTION("""COMPUTED_VALUE"""),90000000)</f>
        <v>90000000</v>
      </c>
      <c r="H836">
        <f ca="1">IFERROR(__xludf.DUMMYFUNCTION("""COMPUTED_VALUE"""),36834)</f>
        <v>36834</v>
      </c>
      <c r="I836">
        <f ca="1">IFERROR(__xludf.DUMMYFUNCTION("""COMPUTED_VALUE"""),6)</f>
        <v>6</v>
      </c>
      <c r="J836" t="str">
        <f ca="1">IFERROR(__xludf.DUMMYFUNCTION("""COMPUTED_VALUE"""),"N/A")</f>
        <v>N/A</v>
      </c>
      <c r="K836" t="str">
        <f ca="1">IFERROR(__xludf.DUMMYFUNCTION("""COMPUTED_VALUE"""),"JENT")</f>
        <v>JENT</v>
      </c>
      <c r="L836" t="str">
        <f ca="1">IFERROR(__xludf.DUMMYFUNCTION("""COMPUTED_VALUE"""),"Y")</f>
        <v>Y</v>
      </c>
      <c r="M836" t="str">
        <f ca="1">IFERROR(__xludf.DUMMYFUNCTION("""COMPUTED_VALUE"""),"ul-333")</f>
        <v>ul-333</v>
      </c>
    </row>
    <row r="837" spans="1:13" ht="12.5" x14ac:dyDescent="0.25">
      <c r="A837" t="str">
        <f ca="1">IFERROR(__xludf.DUMMYFUNCTION("""COMPUTED_VALUE"""),"Hans")</f>
        <v>Hans</v>
      </c>
      <c r="B837" t="str">
        <f ca="1">IFERROR(__xludf.DUMMYFUNCTION("""COMPUTED_VALUE"""),"Salman")</f>
        <v>Salman</v>
      </c>
      <c r="C837" t="str">
        <f ca="1">IFERROR(__xludf.DUMMYFUNCTION("""COMPUTED_VALUE"""),"Salman@gmailx.com")</f>
        <v>Salman@gmailx.com</v>
      </c>
      <c r="D837" t="str">
        <f ca="1">IFERROR(__xludf.DUMMYFUNCTION("""COMPUTED_VALUE"""),"Palu")</f>
        <v>Palu</v>
      </c>
      <c r="E837" s="12">
        <f ca="1">IFERROR(__xludf.DUMMYFUNCTION("""COMPUTED_VALUE"""),42434)</f>
        <v>42434</v>
      </c>
      <c r="F837" t="str">
        <f ca="1">IFERROR(__xludf.DUMMYFUNCTION("""COMPUTED_VALUE"""),"KP0850FB")</f>
        <v>KP0850FB</v>
      </c>
      <c r="G837" s="11">
        <f ca="1">IFERROR(__xludf.DUMMYFUNCTION("""COMPUTED_VALUE"""),63000000)</f>
        <v>63000000</v>
      </c>
      <c r="H837">
        <f ca="1">IFERROR(__xludf.DUMMYFUNCTION("""COMPUTED_VALUE"""),36367)</f>
        <v>36367</v>
      </c>
      <c r="I837">
        <f ca="1">IFERROR(__xludf.DUMMYFUNCTION("""COMPUTED_VALUE"""),3)</f>
        <v>3</v>
      </c>
      <c r="J837" t="str">
        <f ca="1">IFERROR(__xludf.DUMMYFUNCTION("""COMPUTED_VALUE"""),"N/A")</f>
        <v>N/A</v>
      </c>
      <c r="K837" t="str">
        <f ca="1">IFERROR(__xludf.DUMMYFUNCTION("""COMPUTED_VALUE"""),"JENT")</f>
        <v>JENT</v>
      </c>
      <c r="L837" t="str">
        <f ca="1">IFERROR(__xludf.DUMMYFUNCTION("""COMPUTED_VALUE"""),"Y")</f>
        <v>Y</v>
      </c>
      <c r="M837" t="str">
        <f ca="1">IFERROR(__xludf.DUMMYFUNCTION("""COMPUTED_VALUE"""),"ie-280")</f>
        <v>ie-280</v>
      </c>
    </row>
    <row r="838" spans="1:13" ht="12.5" x14ac:dyDescent="0.25">
      <c r="A838" t="str">
        <f ca="1">IFERROR(__xludf.DUMMYFUNCTION("""COMPUTED_VALUE"""),"Lina")</f>
        <v>Lina</v>
      </c>
      <c r="B838" t="str">
        <f ca="1">IFERROR(__xludf.DUMMYFUNCTION("""COMPUTED_VALUE"""),"Yick")</f>
        <v>Yick</v>
      </c>
      <c r="C838" t="str">
        <f ca="1">IFERROR(__xludf.DUMMYFUNCTION("""COMPUTED_VALUE"""),"Lina@gmailx.com")</f>
        <v>Lina@gmailx.com</v>
      </c>
      <c r="D838" t="str">
        <f ca="1">IFERROR(__xludf.DUMMYFUNCTION("""COMPUTED_VALUE"""),"Tasikmalaya")</f>
        <v>Tasikmalaya</v>
      </c>
      <c r="E838" s="12">
        <f ca="1">IFERROR(__xludf.DUMMYFUNCTION("""COMPUTED_VALUE"""),42434)</f>
        <v>42434</v>
      </c>
      <c r="F838" t="str">
        <f ca="1">IFERROR(__xludf.DUMMYFUNCTION("""COMPUTED_VALUE"""),"KP0850FB")</f>
        <v>KP0850FB</v>
      </c>
      <c r="G838" s="11">
        <f ca="1">IFERROR(__xludf.DUMMYFUNCTION("""COMPUTED_VALUE"""),105000000)</f>
        <v>105000000</v>
      </c>
      <c r="H838">
        <f ca="1">IFERROR(__xludf.DUMMYFUNCTION("""COMPUTED_VALUE"""),35753)</f>
        <v>35753</v>
      </c>
      <c r="I838">
        <f ca="1">IFERROR(__xludf.DUMMYFUNCTION("""COMPUTED_VALUE"""),5)</f>
        <v>5</v>
      </c>
      <c r="J838" t="str">
        <f ca="1">IFERROR(__xludf.DUMMYFUNCTION("""COMPUTED_VALUE"""),"N/A")</f>
        <v>N/A</v>
      </c>
      <c r="K838" t="str">
        <f ca="1">IFERROR(__xludf.DUMMYFUNCTION("""COMPUTED_VALUE"""),"Pru Logistic")</f>
        <v>Pru Logistic</v>
      </c>
      <c r="L838" t="str">
        <f ca="1">IFERROR(__xludf.DUMMYFUNCTION("""COMPUTED_VALUE"""),"Y")</f>
        <v>Y</v>
      </c>
      <c r="M838" t="str">
        <f ca="1">IFERROR(__xludf.DUMMYFUNCTION("""COMPUTED_VALUE"""),"pb-409")</f>
        <v>pb-409</v>
      </c>
    </row>
    <row r="839" spans="1:13" ht="12.5" x14ac:dyDescent="0.25">
      <c r="A839" t="str">
        <f ca="1">IFERROR(__xludf.DUMMYFUNCTION("""COMPUTED_VALUE"""),"Edwin")</f>
        <v>Edwin</v>
      </c>
      <c r="B839" t="str">
        <f ca="1">IFERROR(__xludf.DUMMYFUNCTION("""COMPUTED_VALUE"""),"Alicia")</f>
        <v>Alicia</v>
      </c>
      <c r="C839" t="str">
        <f ca="1">IFERROR(__xludf.DUMMYFUNCTION("""COMPUTED_VALUE"""),"Edwin@livex.com")</f>
        <v>Edwin@livex.com</v>
      </c>
      <c r="D839" t="str">
        <f ca="1">IFERROR(__xludf.DUMMYFUNCTION("""COMPUTED_VALUE"""),"Lubuklinggau")</f>
        <v>Lubuklinggau</v>
      </c>
      <c r="E839" s="12">
        <f ca="1">IFERROR(__xludf.DUMMYFUNCTION("""COMPUTED_VALUE"""),42434)</f>
        <v>42434</v>
      </c>
      <c r="F839" t="str">
        <f ca="1">IFERROR(__xludf.DUMMYFUNCTION("""COMPUTED_VALUE"""),"KP0150BH")</f>
        <v>KP0150BH</v>
      </c>
      <c r="G839" s="11">
        <f ca="1">IFERROR(__xludf.DUMMYFUNCTION("""COMPUTED_VALUE"""),135000000)</f>
        <v>135000000</v>
      </c>
      <c r="H839">
        <f ca="1">IFERROR(__xludf.DUMMYFUNCTION("""COMPUTED_VALUE"""),36380)</f>
        <v>36380</v>
      </c>
      <c r="I839">
        <f ca="1">IFERROR(__xludf.DUMMYFUNCTION("""COMPUTED_VALUE"""),5)</f>
        <v>5</v>
      </c>
      <c r="J839">
        <f ca="1">IFERROR(__xludf.DUMMYFUNCTION("""COMPUTED_VALUE"""),1)</f>
        <v>1</v>
      </c>
      <c r="K839" t="str">
        <f ca="1">IFERROR(__xludf.DUMMYFUNCTION("""COMPUTED_VALUE"""),"Cepat Kirim")</f>
        <v>Cepat Kirim</v>
      </c>
      <c r="L839" t="str">
        <f ca="1">IFERROR(__xludf.DUMMYFUNCTION("""COMPUTED_VALUE"""),"Y")</f>
        <v>Y</v>
      </c>
      <c r="M839" t="str">
        <f ca="1">IFERROR(__xludf.DUMMYFUNCTION("""COMPUTED_VALUE"""),"cl-661")</f>
        <v>cl-661</v>
      </c>
    </row>
    <row r="840" spans="1:13" ht="12.5" x14ac:dyDescent="0.25">
      <c r="A840" t="str">
        <f ca="1">IFERROR(__xludf.DUMMYFUNCTION("""COMPUTED_VALUE"""),"Edhie")</f>
        <v>Edhie</v>
      </c>
      <c r="B840" t="str">
        <f ca="1">IFERROR(__xludf.DUMMYFUNCTION("""COMPUTED_VALUE"""),"Tirtadjaja")</f>
        <v>Tirtadjaja</v>
      </c>
      <c r="C840" t="str">
        <f ca="1">IFERROR(__xludf.DUMMYFUNCTION("""COMPUTED_VALUE"""),"Edhie@gmailx.com")</f>
        <v>Edhie@gmailx.com</v>
      </c>
      <c r="D840" t="str">
        <f ca="1">IFERROR(__xludf.DUMMYFUNCTION("""COMPUTED_VALUE"""),"Cimahi")</f>
        <v>Cimahi</v>
      </c>
      <c r="E840" s="12">
        <f ca="1">IFERROR(__xludf.DUMMYFUNCTION("""COMPUTED_VALUE"""),42405)</f>
        <v>42405</v>
      </c>
      <c r="F840" t="str">
        <f ca="1">IFERROR(__xludf.DUMMYFUNCTION("""COMPUTED_VALUE"""),"KP0850FB")</f>
        <v>KP0850FB</v>
      </c>
      <c r="G840" s="11">
        <f ca="1">IFERROR(__xludf.DUMMYFUNCTION("""COMPUTED_VALUE"""),84000000)</f>
        <v>84000000</v>
      </c>
      <c r="H840">
        <f ca="1">IFERROR(__xludf.DUMMYFUNCTION("""COMPUTED_VALUE"""),35470)</f>
        <v>35470</v>
      </c>
      <c r="I840">
        <f ca="1">IFERROR(__xludf.DUMMYFUNCTION("""COMPUTED_VALUE"""),4)</f>
        <v>4</v>
      </c>
      <c r="J840">
        <f ca="1">IFERROR(__xludf.DUMMYFUNCTION("""COMPUTED_VALUE"""),2)</f>
        <v>2</v>
      </c>
      <c r="K840" t="str">
        <f ca="1">IFERROR(__xludf.DUMMYFUNCTION("""COMPUTED_VALUE"""),"Wakanda Express")</f>
        <v>Wakanda Express</v>
      </c>
      <c r="L840" t="str">
        <f ca="1">IFERROR(__xludf.DUMMYFUNCTION("""COMPUTED_VALUE"""),"Y")</f>
        <v>Y</v>
      </c>
      <c r="M840" t="str">
        <f ca="1">IFERROR(__xludf.DUMMYFUNCTION("""COMPUTED_VALUE"""),"bc-409")</f>
        <v>bc-409</v>
      </c>
    </row>
    <row r="841" spans="1:13" ht="12.5" x14ac:dyDescent="0.25">
      <c r="A841" t="str">
        <f ca="1">IFERROR(__xludf.DUMMYFUNCTION("""COMPUTED_VALUE"""),"Lydia")</f>
        <v>Lydia</v>
      </c>
      <c r="B841" t="str">
        <f ca="1">IFERROR(__xludf.DUMMYFUNCTION("""COMPUTED_VALUE"""),"Gasyanto")</f>
        <v>Gasyanto</v>
      </c>
      <c r="C841" t="str">
        <f ca="1">IFERROR(__xludf.DUMMYFUNCTION("""COMPUTED_VALUE"""),"Gasyanto@gmailx.com")</f>
        <v>Gasyanto@gmailx.com</v>
      </c>
      <c r="D841" t="str">
        <f ca="1">IFERROR(__xludf.DUMMYFUNCTION("""COMPUTED_VALUE"""),"Balikpapan")</f>
        <v>Balikpapan</v>
      </c>
      <c r="E841" s="12">
        <f ca="1">IFERROR(__xludf.DUMMYFUNCTION("""COMPUTED_VALUE"""),42374)</f>
        <v>42374</v>
      </c>
      <c r="F841" t="str">
        <f ca="1">IFERROR(__xludf.DUMMYFUNCTION("""COMPUTED_VALUE"""),"KP0925SG")</f>
        <v>KP0925SG</v>
      </c>
      <c r="G841" s="11">
        <f ca="1">IFERROR(__xludf.DUMMYFUNCTION("""COMPUTED_VALUE"""),150000000)</f>
        <v>150000000</v>
      </c>
      <c r="H841">
        <f ca="1">IFERROR(__xludf.DUMMYFUNCTION("""COMPUTED_VALUE"""),36212)</f>
        <v>36212</v>
      </c>
      <c r="I841">
        <f ca="1">IFERROR(__xludf.DUMMYFUNCTION("""COMPUTED_VALUE"""),10)</f>
        <v>10</v>
      </c>
      <c r="J841" t="str">
        <f ca="1">IFERROR(__xludf.DUMMYFUNCTION("""COMPUTED_VALUE"""),"N/A")</f>
        <v>N/A</v>
      </c>
      <c r="K841" t="str">
        <f ca="1">IFERROR(__xludf.DUMMYFUNCTION("""COMPUTED_VALUE"""),"Swift Delivery")</f>
        <v>Swift Delivery</v>
      </c>
      <c r="L841" t="str">
        <f ca="1">IFERROR(__xludf.DUMMYFUNCTION("""COMPUTED_VALUE"""),"Y")</f>
        <v>Y</v>
      </c>
      <c r="M841" t="str">
        <f ca="1">IFERROR(__xludf.DUMMYFUNCTION("""COMPUTED_VALUE"""),"zx-993")</f>
        <v>zx-993</v>
      </c>
    </row>
    <row r="842" spans="1:13" ht="12.5" x14ac:dyDescent="0.25">
      <c r="A842" t="str">
        <f ca="1">IFERROR(__xludf.DUMMYFUNCTION("""COMPUTED_VALUE"""),"Soetjahjono")</f>
        <v>Soetjahjono</v>
      </c>
      <c r="B842" t="str">
        <f ca="1">IFERROR(__xludf.DUMMYFUNCTION("""COMPUTED_VALUE"""),"Wiryanto")</f>
        <v>Wiryanto</v>
      </c>
      <c r="C842" t="str">
        <f ca="1">IFERROR(__xludf.DUMMYFUNCTION("""COMPUTED_VALUE"""),"Wiryanto@ymailx.com")</f>
        <v>Wiryanto@ymailx.com</v>
      </c>
      <c r="D842" t="str">
        <f ca="1">IFERROR(__xludf.DUMMYFUNCTION("""COMPUTED_VALUE"""),"Parepare")</f>
        <v>Parepare</v>
      </c>
      <c r="E842" s="12">
        <f ca="1">IFERROR(__xludf.DUMMYFUNCTION("""COMPUTED_VALUE"""),42488)</f>
        <v>42488</v>
      </c>
      <c r="F842" t="str">
        <f ca="1">IFERROR(__xludf.DUMMYFUNCTION("""COMPUTED_VALUE"""),"KP0225BB")</f>
        <v>KP0225BB</v>
      </c>
      <c r="G842" s="11">
        <f ca="1">IFERROR(__xludf.DUMMYFUNCTION("""COMPUTED_VALUE"""),50000000)</f>
        <v>50000000</v>
      </c>
      <c r="H842">
        <f ca="1">IFERROR(__xludf.DUMMYFUNCTION("""COMPUTED_VALUE"""),35156)</f>
        <v>35156</v>
      </c>
      <c r="I842">
        <f ca="1">IFERROR(__xludf.DUMMYFUNCTION("""COMPUTED_VALUE"""),5)</f>
        <v>5</v>
      </c>
      <c r="J842" t="str">
        <f ca="1">IFERROR(__xludf.DUMMYFUNCTION("""COMPUTED_VALUE"""),"N/A")</f>
        <v>N/A</v>
      </c>
      <c r="K842" t="str">
        <f ca="1">IFERROR(__xludf.DUMMYFUNCTION("""COMPUTED_VALUE"""),"JENT")</f>
        <v>JENT</v>
      </c>
      <c r="L842" t="str">
        <f ca="1">IFERROR(__xludf.DUMMYFUNCTION("""COMPUTED_VALUE"""),"N")</f>
        <v>N</v>
      </c>
      <c r="M842" t="str">
        <f ca="1">IFERROR(__xludf.DUMMYFUNCTION("""COMPUTED_VALUE"""),"pm-290")</f>
        <v>pm-290</v>
      </c>
    </row>
    <row r="843" spans="1:13" ht="12.5" x14ac:dyDescent="0.25">
      <c r="A843" t="str">
        <f ca="1">IFERROR(__xludf.DUMMYFUNCTION("""COMPUTED_VALUE"""),"Matthew")</f>
        <v>Matthew</v>
      </c>
      <c r="B843" t="str">
        <f ca="1">IFERROR(__xludf.DUMMYFUNCTION("""COMPUTED_VALUE"""),"Akbar")</f>
        <v>Akbar</v>
      </c>
      <c r="C843" t="str">
        <f ca="1">IFERROR(__xludf.DUMMYFUNCTION("""COMPUTED_VALUE"""),"Matthew@icloudx.com")</f>
        <v>Matthew@icloudx.com</v>
      </c>
      <c r="D843" t="str">
        <f ca="1">IFERROR(__xludf.DUMMYFUNCTION("""COMPUTED_VALUE"""),"Sungai Penuh")</f>
        <v>Sungai Penuh</v>
      </c>
      <c r="E843" s="12">
        <f ca="1">IFERROR(__xludf.DUMMYFUNCTION("""COMPUTED_VALUE"""),42486)</f>
        <v>42486</v>
      </c>
      <c r="F843" t="str">
        <f ca="1">IFERROR(__xludf.DUMMYFUNCTION("""COMPUTED_VALUE"""),"KP0050AG")</f>
        <v>KP0050AG</v>
      </c>
      <c r="G843" s="11">
        <f ca="1">IFERROR(__xludf.DUMMYFUNCTION("""COMPUTED_VALUE"""),97500000)</f>
        <v>97500000</v>
      </c>
      <c r="H843">
        <f ca="1">IFERROR(__xludf.DUMMYFUNCTION("""COMPUTED_VALUE"""),36551)</f>
        <v>36551</v>
      </c>
      <c r="I843">
        <f ca="1">IFERROR(__xludf.DUMMYFUNCTION("""COMPUTED_VALUE"""),6)</f>
        <v>6</v>
      </c>
      <c r="J843">
        <f ca="1">IFERROR(__xludf.DUMMYFUNCTION("""COMPUTED_VALUE"""),4)</f>
        <v>4</v>
      </c>
      <c r="K843" t="str">
        <f ca="1">IFERROR(__xludf.DUMMYFUNCTION("""COMPUTED_VALUE"""),"Wakanda Express")</f>
        <v>Wakanda Express</v>
      </c>
      <c r="L843" t="str">
        <f ca="1">IFERROR(__xludf.DUMMYFUNCTION("""COMPUTED_VALUE"""),"Y")</f>
        <v>Y</v>
      </c>
      <c r="M843" t="str">
        <f ca="1">IFERROR(__xludf.DUMMYFUNCTION("""COMPUTED_VALUE"""),"pl-512")</f>
        <v>pl-512</v>
      </c>
    </row>
    <row r="844" spans="1:13" ht="12.5" x14ac:dyDescent="0.25">
      <c r="A844" t="str">
        <f ca="1">IFERROR(__xludf.DUMMYFUNCTION("""COMPUTED_VALUE"""),"Ang")</f>
        <v>Ang</v>
      </c>
      <c r="B844" t="str">
        <f ca="1">IFERROR(__xludf.DUMMYFUNCTION("""COMPUTED_VALUE"""),"Suo")</f>
        <v>Suo</v>
      </c>
      <c r="C844" t="str">
        <f ca="1">IFERROR(__xludf.DUMMYFUNCTION("""COMPUTED_VALUE"""),"Ang@livex.com")</f>
        <v>Ang@livex.com</v>
      </c>
      <c r="D844" t="str">
        <f ca="1">IFERROR(__xludf.DUMMYFUNCTION("""COMPUTED_VALUE"""),"Jambi")</f>
        <v>Jambi</v>
      </c>
      <c r="E844" s="12">
        <f ca="1">IFERROR(__xludf.DUMMYFUNCTION("""COMPUTED_VALUE"""),42486)</f>
        <v>42486</v>
      </c>
      <c r="F844" t="str">
        <f ca="1">IFERROR(__xludf.DUMMYFUNCTION("""COMPUTED_VALUE"""),"KP0625AF")</f>
        <v>KP0625AF</v>
      </c>
      <c r="G844" s="11">
        <f ca="1">IFERROR(__xludf.DUMMYFUNCTION("""COMPUTED_VALUE"""),84000000)</f>
        <v>84000000</v>
      </c>
      <c r="H844">
        <f ca="1">IFERROR(__xludf.DUMMYFUNCTION("""COMPUTED_VALUE"""),35663)</f>
        <v>35663</v>
      </c>
      <c r="I844">
        <f ca="1">IFERROR(__xludf.DUMMYFUNCTION("""COMPUTED_VALUE"""),7)</f>
        <v>7</v>
      </c>
      <c r="J844">
        <f ca="1">IFERROR(__xludf.DUMMYFUNCTION("""COMPUTED_VALUE"""),4)</f>
        <v>4</v>
      </c>
      <c r="K844" t="str">
        <f ca="1">IFERROR(__xludf.DUMMYFUNCTION("""COMPUTED_VALUE"""),"Cepat Kirim")</f>
        <v>Cepat Kirim</v>
      </c>
      <c r="L844" t="str">
        <f ca="1">IFERROR(__xludf.DUMMYFUNCTION("""COMPUTED_VALUE"""),"Y")</f>
        <v>Y</v>
      </c>
      <c r="M844" t="str">
        <f ca="1">IFERROR(__xludf.DUMMYFUNCTION("""COMPUTED_VALUE"""),"oc-512")</f>
        <v>oc-512</v>
      </c>
    </row>
    <row r="845" spans="1:13" ht="12.5" x14ac:dyDescent="0.25">
      <c r="A845" t="str">
        <f ca="1">IFERROR(__xludf.DUMMYFUNCTION("""COMPUTED_VALUE"""),"Indrawati")</f>
        <v>Indrawati</v>
      </c>
      <c r="B845" t="str">
        <f ca="1">IFERROR(__xludf.DUMMYFUNCTION("""COMPUTED_VALUE"""),"R.")</f>
        <v>R.</v>
      </c>
      <c r="C845" t="str">
        <f ca="1">IFERROR(__xludf.DUMMYFUNCTION("""COMPUTED_VALUE"""),"Indrawati@ymailx.com")</f>
        <v>Indrawati@ymailx.com</v>
      </c>
      <c r="D845" t="str">
        <f ca="1">IFERROR(__xludf.DUMMYFUNCTION("""COMPUTED_VALUE"""),"Jakarta Utara")</f>
        <v>Jakarta Utara</v>
      </c>
      <c r="E845" s="12">
        <f ca="1">IFERROR(__xludf.DUMMYFUNCTION("""COMPUTED_VALUE"""),42486)</f>
        <v>42486</v>
      </c>
      <c r="F845" t="str">
        <f ca="1">IFERROR(__xludf.DUMMYFUNCTION("""COMPUTED_VALUE"""),"KP0625AF")</f>
        <v>KP0625AF</v>
      </c>
      <c r="G845" s="11">
        <f ca="1">IFERROR(__xludf.DUMMYFUNCTION("""COMPUTED_VALUE"""),96000000)</f>
        <v>96000000</v>
      </c>
      <c r="H845">
        <f ca="1">IFERROR(__xludf.DUMMYFUNCTION("""COMPUTED_VALUE"""),36666)</f>
        <v>36666</v>
      </c>
      <c r="I845">
        <f ca="1">IFERROR(__xludf.DUMMYFUNCTION("""COMPUTED_VALUE"""),8)</f>
        <v>8</v>
      </c>
      <c r="J845" t="str">
        <f ca="1">IFERROR(__xludf.DUMMYFUNCTION("""COMPUTED_VALUE"""),"N/A")</f>
        <v>N/A</v>
      </c>
      <c r="K845" t="str">
        <f ca="1">IFERROR(__xludf.DUMMYFUNCTION("""COMPUTED_VALUE"""),"Cepat Kirim")</f>
        <v>Cepat Kirim</v>
      </c>
      <c r="L845" t="str">
        <f ca="1">IFERROR(__xludf.DUMMYFUNCTION("""COMPUTED_VALUE"""),"Y")</f>
        <v>Y</v>
      </c>
      <c r="M845" t="str">
        <f ca="1">IFERROR(__xludf.DUMMYFUNCTION("""COMPUTED_VALUE"""),"rq-333")</f>
        <v>rq-333</v>
      </c>
    </row>
    <row r="846" spans="1:13" ht="12.5" x14ac:dyDescent="0.25">
      <c r="A846" t="str">
        <f ca="1">IFERROR(__xludf.DUMMYFUNCTION("""COMPUTED_VALUE"""),"Setia")</f>
        <v>Setia</v>
      </c>
      <c r="B846" t="str">
        <f ca="1">IFERROR(__xludf.DUMMYFUNCTION("""COMPUTED_VALUE"""),"Harijanto")</f>
        <v>Harijanto</v>
      </c>
      <c r="C846" t="str">
        <f ca="1">IFERROR(__xludf.DUMMYFUNCTION("""COMPUTED_VALUE"""),"Harijanto@rocketmailx.com")</f>
        <v>Harijanto@rocketmailx.com</v>
      </c>
      <c r="D846" t="str">
        <f ca="1">IFERROR(__xludf.DUMMYFUNCTION("""COMPUTED_VALUE"""),"Madiun")</f>
        <v>Madiun</v>
      </c>
      <c r="E846" s="12">
        <f ca="1">IFERROR(__xludf.DUMMYFUNCTION("""COMPUTED_VALUE"""),42485)</f>
        <v>42485</v>
      </c>
      <c r="F846" t="str">
        <f ca="1">IFERROR(__xludf.DUMMYFUNCTION("""COMPUTED_VALUE"""),"KP0150BH")</f>
        <v>KP0150BH</v>
      </c>
      <c r="G846" s="11">
        <f ca="1">IFERROR(__xludf.DUMMYFUNCTION("""COMPUTED_VALUE"""),108000000)</f>
        <v>108000000</v>
      </c>
      <c r="H846">
        <f ca="1">IFERROR(__xludf.DUMMYFUNCTION("""COMPUTED_VALUE"""),36612)</f>
        <v>36612</v>
      </c>
      <c r="I846">
        <f ca="1">IFERROR(__xludf.DUMMYFUNCTION("""COMPUTED_VALUE"""),4)</f>
        <v>4</v>
      </c>
      <c r="J846" t="str">
        <f ca="1">IFERROR(__xludf.DUMMYFUNCTION("""COMPUTED_VALUE"""),"N/A")</f>
        <v>N/A</v>
      </c>
      <c r="K846" t="str">
        <f ca="1">IFERROR(__xludf.DUMMYFUNCTION("""COMPUTED_VALUE"""),"Cepat Kirim")</f>
        <v>Cepat Kirim</v>
      </c>
      <c r="L846" t="str">
        <f ca="1">IFERROR(__xludf.DUMMYFUNCTION("""COMPUTED_VALUE"""),"N")</f>
        <v>N</v>
      </c>
      <c r="M846" t="str">
        <f ca="1">IFERROR(__xludf.DUMMYFUNCTION("""COMPUTED_VALUE"""),"nv-123")</f>
        <v>nv-123</v>
      </c>
    </row>
    <row r="847" spans="1:13" ht="12.5" x14ac:dyDescent="0.25">
      <c r="A847" t="str">
        <f ca="1">IFERROR(__xludf.DUMMYFUNCTION("""COMPUTED_VALUE"""),"Hendro")</f>
        <v>Hendro</v>
      </c>
      <c r="B847" t="str">
        <f ca="1">IFERROR(__xludf.DUMMYFUNCTION("""COMPUTED_VALUE"""),"Hasjim")</f>
        <v>Hasjim</v>
      </c>
      <c r="C847" t="str">
        <f ca="1">IFERROR(__xludf.DUMMYFUNCTION("""COMPUTED_VALUE"""),"Hendro@gmailx.com")</f>
        <v>Hendro@gmailx.com</v>
      </c>
      <c r="D847" t="str">
        <f ca="1">IFERROR(__xludf.DUMMYFUNCTION("""COMPUTED_VALUE"""),"Bandung")</f>
        <v>Bandung</v>
      </c>
      <c r="E847" s="12">
        <f ca="1">IFERROR(__xludf.DUMMYFUNCTION("""COMPUTED_VALUE"""),42484)</f>
        <v>42484</v>
      </c>
      <c r="F847" t="str">
        <f ca="1">IFERROR(__xludf.DUMMYFUNCTION("""COMPUTED_VALUE"""),"KP0150BH")</f>
        <v>KP0150BH</v>
      </c>
      <c r="G847" s="11">
        <f ca="1">IFERROR(__xludf.DUMMYFUNCTION("""COMPUTED_VALUE"""),81000000)</f>
        <v>81000000</v>
      </c>
      <c r="H847">
        <f ca="1">IFERROR(__xludf.DUMMYFUNCTION("""COMPUTED_VALUE"""),35251)</f>
        <v>35251</v>
      </c>
      <c r="I847">
        <f ca="1">IFERROR(__xludf.DUMMYFUNCTION("""COMPUTED_VALUE"""),3)</f>
        <v>3</v>
      </c>
      <c r="J847" t="str">
        <f ca="1">IFERROR(__xludf.DUMMYFUNCTION("""COMPUTED_VALUE"""),"N/A")</f>
        <v>N/A</v>
      </c>
      <c r="K847" t="str">
        <f ca="1">IFERROR(__xludf.DUMMYFUNCTION("""COMPUTED_VALUE"""),"Wakanda Express")</f>
        <v>Wakanda Express</v>
      </c>
      <c r="L847" t="str">
        <f ca="1">IFERROR(__xludf.DUMMYFUNCTION("""COMPUTED_VALUE"""),"Y")</f>
        <v>Y</v>
      </c>
      <c r="M847" t="str">
        <f ca="1">IFERROR(__xludf.DUMMYFUNCTION("""COMPUTED_VALUE"""),"nc-409")</f>
        <v>nc-409</v>
      </c>
    </row>
    <row r="848" spans="1:13" ht="12.5" x14ac:dyDescent="0.25">
      <c r="A848" t="str">
        <f ca="1">IFERROR(__xludf.DUMMYFUNCTION("""COMPUTED_VALUE"""),"Lambertus")</f>
        <v>Lambertus</v>
      </c>
      <c r="B848" t="str">
        <f ca="1">IFERROR(__xludf.DUMMYFUNCTION("""COMPUTED_VALUE"""),"Singh")</f>
        <v>Singh</v>
      </c>
      <c r="C848" t="str">
        <f ca="1">IFERROR(__xludf.DUMMYFUNCTION("""COMPUTED_VALUE"""),"Singh@livex.com")</f>
        <v>Singh@livex.com</v>
      </c>
      <c r="D848" t="str">
        <f ca="1">IFERROR(__xludf.DUMMYFUNCTION("""COMPUTED_VALUE"""),"Tarakan")</f>
        <v>Tarakan</v>
      </c>
      <c r="E848" s="12">
        <f ca="1">IFERROR(__xludf.DUMMYFUNCTION("""COMPUTED_VALUE"""),42484)</f>
        <v>42484</v>
      </c>
      <c r="F848" t="str">
        <f ca="1">IFERROR(__xludf.DUMMYFUNCTION("""COMPUTED_VALUE"""),"KP0425CB")</f>
        <v>KP0425CB</v>
      </c>
      <c r="G848" s="11">
        <f ca="1">IFERROR(__xludf.DUMMYFUNCTION("""COMPUTED_VALUE"""),190750000)</f>
        <v>190750000</v>
      </c>
      <c r="H848">
        <f ca="1">IFERROR(__xludf.DUMMYFUNCTION("""COMPUTED_VALUE"""),36766)</f>
        <v>36766</v>
      </c>
      <c r="I848">
        <f ca="1">IFERROR(__xludf.DUMMYFUNCTION("""COMPUTED_VALUE"""),7)</f>
        <v>7</v>
      </c>
      <c r="J848">
        <f ca="1">IFERROR(__xludf.DUMMYFUNCTION("""COMPUTED_VALUE"""),4)</f>
        <v>4</v>
      </c>
      <c r="K848" t="str">
        <f ca="1">IFERROR(__xludf.DUMMYFUNCTION("""COMPUTED_VALUE"""),"JENT")</f>
        <v>JENT</v>
      </c>
      <c r="L848" t="str">
        <f ca="1">IFERROR(__xludf.DUMMYFUNCTION("""COMPUTED_VALUE"""),"Y")</f>
        <v>Y</v>
      </c>
      <c r="M848" t="str">
        <f ca="1">IFERROR(__xludf.DUMMYFUNCTION("""COMPUTED_VALUE"""),"dx-994")</f>
        <v>dx-994</v>
      </c>
    </row>
    <row r="849" spans="1:13" ht="12.5" x14ac:dyDescent="0.25">
      <c r="A849" t="str">
        <f ca="1">IFERROR(__xludf.DUMMYFUNCTION("""COMPUTED_VALUE"""),"Execorp")</f>
        <v>Execorp</v>
      </c>
      <c r="B849" t="str">
        <f ca="1">IFERROR(__xludf.DUMMYFUNCTION("""COMPUTED_VALUE"""),"Henry")</f>
        <v>Henry</v>
      </c>
      <c r="C849" t="str">
        <f ca="1">IFERROR(__xludf.DUMMYFUNCTION("""COMPUTED_VALUE"""),"Execorp@ymailx.com")</f>
        <v>Execorp@ymailx.com</v>
      </c>
      <c r="D849" t="str">
        <f ca="1">IFERROR(__xludf.DUMMYFUNCTION("""COMPUTED_VALUE"""),"Batam")</f>
        <v>Batam</v>
      </c>
      <c r="E849" s="12">
        <f ca="1">IFERROR(__xludf.DUMMYFUNCTION("""COMPUTED_VALUE"""),42483)</f>
        <v>42483</v>
      </c>
      <c r="F849" t="str">
        <f ca="1">IFERROR(__xludf.DUMMYFUNCTION("""COMPUTED_VALUE"""),"KP0750AJ")</f>
        <v>KP0750AJ</v>
      </c>
      <c r="G849" s="11">
        <f ca="1">IFERROR(__xludf.DUMMYFUNCTION("""COMPUTED_VALUE"""),72000000)</f>
        <v>72000000</v>
      </c>
      <c r="H849">
        <f ca="1">IFERROR(__xludf.DUMMYFUNCTION("""COMPUTED_VALUE"""),35271)</f>
        <v>35271</v>
      </c>
      <c r="I849">
        <f ca="1">IFERROR(__xludf.DUMMYFUNCTION("""COMPUTED_VALUE"""),4)</f>
        <v>4</v>
      </c>
      <c r="J849" t="str">
        <f ca="1">IFERROR(__xludf.DUMMYFUNCTION("""COMPUTED_VALUE"""),"N/A")</f>
        <v>N/A</v>
      </c>
      <c r="K849" t="str">
        <f ca="1">IFERROR(__xludf.DUMMYFUNCTION("""COMPUTED_VALUE"""),"Wakanda Express")</f>
        <v>Wakanda Express</v>
      </c>
      <c r="L849" t="str">
        <f ca="1">IFERROR(__xludf.DUMMYFUNCTION("""COMPUTED_VALUE"""),"Y")</f>
        <v>Y</v>
      </c>
      <c r="M849" t="str">
        <f ca="1">IFERROR(__xludf.DUMMYFUNCTION("""COMPUTED_VALUE"""),"lj-809")</f>
        <v>lj-809</v>
      </c>
    </row>
    <row r="850" spans="1:13" ht="12.5" x14ac:dyDescent="0.25">
      <c r="A850" t="str">
        <f ca="1">IFERROR(__xludf.DUMMYFUNCTION("""COMPUTED_VALUE"""),"John")</f>
        <v>John</v>
      </c>
      <c r="B850" t="str">
        <f ca="1">IFERROR(__xludf.DUMMYFUNCTION("""COMPUTED_VALUE"""),"Frans")</f>
        <v>Frans</v>
      </c>
      <c r="C850" t="str">
        <f ca="1">IFERROR(__xludf.DUMMYFUNCTION("""COMPUTED_VALUE"""),"Frans@ymailx.com")</f>
        <v>Frans@ymailx.com</v>
      </c>
      <c r="D850" t="str">
        <f ca="1">IFERROR(__xludf.DUMMYFUNCTION("""COMPUTED_VALUE"""),"Sawahlunto")</f>
        <v>Sawahlunto</v>
      </c>
      <c r="E850" s="12">
        <f ca="1">IFERROR(__xludf.DUMMYFUNCTION("""COMPUTED_VALUE"""),42482)</f>
        <v>42482</v>
      </c>
      <c r="F850" t="str">
        <f ca="1">IFERROR(__xludf.DUMMYFUNCTION("""COMPUTED_VALUE"""),"KP0850FB")</f>
        <v>KP0850FB</v>
      </c>
      <c r="G850" s="11">
        <f ca="1">IFERROR(__xludf.DUMMYFUNCTION("""COMPUTED_VALUE"""),84000000)</f>
        <v>84000000</v>
      </c>
      <c r="H850">
        <f ca="1">IFERROR(__xludf.DUMMYFUNCTION("""COMPUTED_VALUE"""),36817)</f>
        <v>36817</v>
      </c>
      <c r="I850">
        <f ca="1">IFERROR(__xludf.DUMMYFUNCTION("""COMPUTED_VALUE"""),4)</f>
        <v>4</v>
      </c>
      <c r="J850">
        <f ca="1">IFERROR(__xludf.DUMMYFUNCTION("""COMPUTED_VALUE"""),3)</f>
        <v>3</v>
      </c>
      <c r="K850" t="str">
        <f ca="1">IFERROR(__xludf.DUMMYFUNCTION("""COMPUTED_VALUE"""),"Swift Delivery")</f>
        <v>Swift Delivery</v>
      </c>
      <c r="L850" t="str">
        <f ca="1">IFERROR(__xludf.DUMMYFUNCTION("""COMPUTED_VALUE"""),"Y")</f>
        <v>Y</v>
      </c>
      <c r="M850" t="str">
        <f ca="1">IFERROR(__xludf.DUMMYFUNCTION("""COMPUTED_VALUE"""),"lf-559")</f>
        <v>lf-559</v>
      </c>
    </row>
    <row r="851" spans="1:13" ht="12.5" x14ac:dyDescent="0.25">
      <c r="A851" t="str">
        <f ca="1">IFERROR(__xludf.DUMMYFUNCTION("""COMPUTED_VALUE"""),"Bambang")</f>
        <v>Bambang</v>
      </c>
      <c r="B851" t="str">
        <f ca="1">IFERROR(__xludf.DUMMYFUNCTION("""COMPUTED_VALUE"""),"Dwilasmini")</f>
        <v>Dwilasmini</v>
      </c>
      <c r="C851" t="str">
        <f ca="1">IFERROR(__xludf.DUMMYFUNCTION("""COMPUTED_VALUE"""),"Dwilasmini@ymailx.com")</f>
        <v>Dwilasmini@ymailx.com</v>
      </c>
      <c r="D851" t="str">
        <f ca="1">IFERROR(__xludf.DUMMYFUNCTION("""COMPUTED_VALUE"""),"Pekanbaru")</f>
        <v>Pekanbaru</v>
      </c>
      <c r="E851" s="12">
        <f ca="1">IFERROR(__xludf.DUMMYFUNCTION("""COMPUTED_VALUE"""),42480)</f>
        <v>42480</v>
      </c>
      <c r="F851" t="str">
        <f ca="1">IFERROR(__xludf.DUMMYFUNCTION("""COMPUTED_VALUE"""),"KP0150BH")</f>
        <v>KP0150BH</v>
      </c>
      <c r="G851" s="11">
        <f ca="1">IFERROR(__xludf.DUMMYFUNCTION("""COMPUTED_VALUE"""),216000000)</f>
        <v>216000000</v>
      </c>
      <c r="H851">
        <f ca="1">IFERROR(__xludf.DUMMYFUNCTION("""COMPUTED_VALUE"""),36041)</f>
        <v>36041</v>
      </c>
      <c r="I851">
        <f ca="1">IFERROR(__xludf.DUMMYFUNCTION("""COMPUTED_VALUE"""),8)</f>
        <v>8</v>
      </c>
      <c r="J851" t="str">
        <f ca="1">IFERROR(__xludf.DUMMYFUNCTION("""COMPUTED_VALUE"""),"N/A")</f>
        <v>N/A</v>
      </c>
      <c r="K851" t="str">
        <f ca="1">IFERROR(__xludf.DUMMYFUNCTION("""COMPUTED_VALUE"""),"JENT")</f>
        <v>JENT</v>
      </c>
      <c r="L851" t="str">
        <f ca="1">IFERROR(__xludf.DUMMYFUNCTION("""COMPUTED_VALUE"""),"Y")</f>
        <v>Y</v>
      </c>
      <c r="M851" t="str">
        <f ca="1">IFERROR(__xludf.DUMMYFUNCTION("""COMPUTED_VALUE"""),"tg-222")</f>
        <v>tg-222</v>
      </c>
    </row>
    <row r="852" spans="1:13" ht="12.5" x14ac:dyDescent="0.25">
      <c r="A852" t="str">
        <f ca="1">IFERROR(__xludf.DUMMYFUNCTION("""COMPUTED_VALUE"""),"Philip")</f>
        <v>Philip</v>
      </c>
      <c r="B852" t="str">
        <f ca="1">IFERROR(__xludf.DUMMYFUNCTION("""COMPUTED_VALUE"""),"Binti")</f>
        <v>Binti</v>
      </c>
      <c r="C852" t="str">
        <f ca="1">IFERROR(__xludf.DUMMYFUNCTION("""COMPUTED_VALUE"""),"Philip@mex.com")</f>
        <v>Philip@mex.com</v>
      </c>
      <c r="D852" t="str">
        <f ca="1">IFERROR(__xludf.DUMMYFUNCTION("""COMPUTED_VALUE"""),"Balikpapan")</f>
        <v>Balikpapan</v>
      </c>
      <c r="E852" s="12">
        <f ca="1">IFERROR(__xludf.DUMMYFUNCTION("""COMPUTED_VALUE"""),42479)</f>
        <v>42479</v>
      </c>
      <c r="F852" t="str">
        <f ca="1">IFERROR(__xludf.DUMMYFUNCTION("""COMPUTED_VALUE"""),"KP0750AJ")</f>
        <v>KP0750AJ</v>
      </c>
      <c r="G852" s="11">
        <f ca="1">IFERROR(__xludf.DUMMYFUNCTION("""COMPUTED_VALUE"""),144000000)</f>
        <v>144000000</v>
      </c>
      <c r="H852">
        <f ca="1">IFERROR(__xludf.DUMMYFUNCTION("""COMPUTED_VALUE"""),35048)</f>
        <v>35048</v>
      </c>
      <c r="I852">
        <f ca="1">IFERROR(__xludf.DUMMYFUNCTION("""COMPUTED_VALUE"""),8)</f>
        <v>8</v>
      </c>
      <c r="J852" t="str">
        <f ca="1">IFERROR(__xludf.DUMMYFUNCTION("""COMPUTED_VALUE"""),"N/A")</f>
        <v>N/A</v>
      </c>
      <c r="K852" t="str">
        <f ca="1">IFERROR(__xludf.DUMMYFUNCTION("""COMPUTED_VALUE"""),"JENT")</f>
        <v>JENT</v>
      </c>
      <c r="L852" t="str">
        <f ca="1">IFERROR(__xludf.DUMMYFUNCTION("""COMPUTED_VALUE"""),"N")</f>
        <v>N</v>
      </c>
      <c r="M852" t="str">
        <f ca="1">IFERROR(__xludf.DUMMYFUNCTION("""COMPUTED_VALUE"""),"oa-993")</f>
        <v>oa-993</v>
      </c>
    </row>
    <row r="853" spans="1:13" ht="12.5" x14ac:dyDescent="0.25">
      <c r="A853" t="str">
        <f ca="1">IFERROR(__xludf.DUMMYFUNCTION("""COMPUTED_VALUE"""),"Hendra")</f>
        <v>Hendra</v>
      </c>
      <c r="B853" t="str">
        <f ca="1">IFERROR(__xludf.DUMMYFUNCTION("""COMPUTED_VALUE"""),"Welianto")</f>
        <v>Welianto</v>
      </c>
      <c r="C853" t="str">
        <f ca="1">IFERROR(__xludf.DUMMYFUNCTION("""COMPUTED_VALUE"""),"Hendra@ymailx.com")</f>
        <v>Hendra@ymailx.com</v>
      </c>
      <c r="D853" t="str">
        <f ca="1">IFERROR(__xludf.DUMMYFUNCTION("""COMPUTED_VALUE"""),"Binjai")</f>
        <v>Binjai</v>
      </c>
      <c r="E853" s="12">
        <f ca="1">IFERROR(__xludf.DUMMYFUNCTION("""COMPUTED_VALUE"""),42477)</f>
        <v>42477</v>
      </c>
      <c r="F853" t="str">
        <f ca="1">IFERROR(__xludf.DUMMYFUNCTION("""COMPUTED_VALUE"""),"KP0750AJ")</f>
        <v>KP0750AJ</v>
      </c>
      <c r="G853" s="11">
        <f ca="1">IFERROR(__xludf.DUMMYFUNCTION("""COMPUTED_VALUE"""),108000000)</f>
        <v>108000000</v>
      </c>
      <c r="H853">
        <f ca="1">IFERROR(__xludf.DUMMYFUNCTION("""COMPUTED_VALUE"""),36410)</f>
        <v>36410</v>
      </c>
      <c r="I853">
        <f ca="1">IFERROR(__xludf.DUMMYFUNCTION("""COMPUTED_VALUE"""),6)</f>
        <v>6</v>
      </c>
      <c r="J853">
        <f ca="1">IFERROR(__xludf.DUMMYFUNCTION("""COMPUTED_VALUE"""),4)</f>
        <v>4</v>
      </c>
      <c r="K853" t="str">
        <f ca="1">IFERROR(__xludf.DUMMYFUNCTION("""COMPUTED_VALUE"""),"Wakanda Express")</f>
        <v>Wakanda Express</v>
      </c>
      <c r="L853" t="str">
        <f ca="1">IFERROR(__xludf.DUMMYFUNCTION("""COMPUTED_VALUE"""),"Y")</f>
        <v>Y</v>
      </c>
      <c r="M853" t="str">
        <f ca="1">IFERROR(__xludf.DUMMYFUNCTION("""COMPUTED_VALUE"""),"uw-662")</f>
        <v>uw-662</v>
      </c>
    </row>
    <row r="854" spans="1:13" ht="12.5" x14ac:dyDescent="0.25">
      <c r="A854" t="str">
        <f ca="1">IFERROR(__xludf.DUMMYFUNCTION("""COMPUTED_VALUE"""),"Houston")</f>
        <v>Houston</v>
      </c>
      <c r="B854" t="str">
        <f ca="1">IFERROR(__xludf.DUMMYFUNCTION("""COMPUTED_VALUE"""),"Adnan")</f>
        <v>Adnan</v>
      </c>
      <c r="C854" t="str">
        <f ca="1">IFERROR(__xludf.DUMMYFUNCTION("""COMPUTED_VALUE"""),"Adnan@ymailx.com")</f>
        <v>Adnan@ymailx.com</v>
      </c>
      <c r="D854" t="str">
        <f ca="1">IFERROR(__xludf.DUMMYFUNCTION("""COMPUTED_VALUE"""),"Jakarta Pusat")</f>
        <v>Jakarta Pusat</v>
      </c>
      <c r="E854" s="12">
        <f ca="1">IFERROR(__xludf.DUMMYFUNCTION("""COMPUTED_VALUE"""),42476)</f>
        <v>42476</v>
      </c>
      <c r="F854" t="str">
        <f ca="1">IFERROR(__xludf.DUMMYFUNCTION("""COMPUTED_VALUE"""),"KP0050AG")</f>
        <v>KP0050AG</v>
      </c>
      <c r="G854" s="11">
        <f ca="1">IFERROR(__xludf.DUMMYFUNCTION("""COMPUTED_VALUE"""),130000000)</f>
        <v>130000000</v>
      </c>
      <c r="H854">
        <f ca="1">IFERROR(__xludf.DUMMYFUNCTION("""COMPUTED_VALUE"""),36011)</f>
        <v>36011</v>
      </c>
      <c r="I854">
        <f ca="1">IFERROR(__xludf.DUMMYFUNCTION("""COMPUTED_VALUE"""),8)</f>
        <v>8</v>
      </c>
      <c r="J854" t="str">
        <f ca="1">IFERROR(__xludf.DUMMYFUNCTION("""COMPUTED_VALUE"""),"N/A")</f>
        <v>N/A</v>
      </c>
      <c r="K854" t="str">
        <f ca="1">IFERROR(__xludf.DUMMYFUNCTION("""COMPUTED_VALUE"""),"Swift Delivery")</f>
        <v>Swift Delivery</v>
      </c>
      <c r="L854" t="str">
        <f ca="1">IFERROR(__xludf.DUMMYFUNCTION("""COMPUTED_VALUE"""),"Y")</f>
        <v>Y</v>
      </c>
      <c r="M854" t="str">
        <f ca="1">IFERROR(__xludf.DUMMYFUNCTION("""COMPUTED_VALUE"""),"vr-333")</f>
        <v>vr-333</v>
      </c>
    </row>
    <row r="855" spans="1:13" ht="12.5" x14ac:dyDescent="0.25">
      <c r="A855" t="str">
        <f ca="1">IFERROR(__xludf.DUMMYFUNCTION("""COMPUTED_VALUE"""),"Hilda")</f>
        <v>Hilda</v>
      </c>
      <c r="B855" t="str">
        <f ca="1">IFERROR(__xludf.DUMMYFUNCTION("""COMPUTED_VALUE"""),"Irawan")</f>
        <v>Irawan</v>
      </c>
      <c r="C855" t="str">
        <f ca="1">IFERROR(__xludf.DUMMYFUNCTION("""COMPUTED_VALUE"""),"Hilda@ymailx.com")</f>
        <v>Hilda@ymailx.com</v>
      </c>
      <c r="D855" t="str">
        <f ca="1">IFERROR(__xludf.DUMMYFUNCTION("""COMPUTED_VALUE"""),"Batam")</f>
        <v>Batam</v>
      </c>
      <c r="E855" s="12">
        <f ca="1">IFERROR(__xludf.DUMMYFUNCTION("""COMPUTED_VALUE"""),42475)</f>
        <v>42475</v>
      </c>
      <c r="F855" t="str">
        <f ca="1">IFERROR(__xludf.DUMMYFUNCTION("""COMPUTED_VALUE"""),"KP0750AJ")</f>
        <v>KP0750AJ</v>
      </c>
      <c r="G855" s="11">
        <f ca="1">IFERROR(__xludf.DUMMYFUNCTION("""COMPUTED_VALUE"""),144000000)</f>
        <v>144000000</v>
      </c>
      <c r="H855">
        <f ca="1">IFERROR(__xludf.DUMMYFUNCTION("""COMPUTED_VALUE"""),36207)</f>
        <v>36207</v>
      </c>
      <c r="I855">
        <f ca="1">IFERROR(__xludf.DUMMYFUNCTION("""COMPUTED_VALUE"""),8)</f>
        <v>8</v>
      </c>
      <c r="J855" t="str">
        <f ca="1">IFERROR(__xludf.DUMMYFUNCTION("""COMPUTED_VALUE"""),"N/A")</f>
        <v>N/A</v>
      </c>
      <c r="K855" t="str">
        <f ca="1">IFERROR(__xludf.DUMMYFUNCTION("""COMPUTED_VALUE"""),"Swift Delivery")</f>
        <v>Swift Delivery</v>
      </c>
      <c r="L855" t="str">
        <f ca="1">IFERROR(__xludf.DUMMYFUNCTION("""COMPUTED_VALUE"""),"Y")</f>
        <v>Y</v>
      </c>
      <c r="M855" t="str">
        <f ca="1">IFERROR(__xludf.DUMMYFUNCTION("""COMPUTED_VALUE"""),"of-809")</f>
        <v>of-809</v>
      </c>
    </row>
    <row r="856" spans="1:13" ht="12.5" x14ac:dyDescent="0.25">
      <c r="A856" t="str">
        <f ca="1">IFERROR(__xludf.DUMMYFUNCTION("""COMPUTED_VALUE"""),"Linda")</f>
        <v>Linda</v>
      </c>
      <c r="B856" t="str">
        <f ca="1">IFERROR(__xludf.DUMMYFUNCTION("""COMPUTED_VALUE"""),"Moelyadi")</f>
        <v>Moelyadi</v>
      </c>
      <c r="C856" t="str">
        <f ca="1">IFERROR(__xludf.DUMMYFUNCTION("""COMPUTED_VALUE"""),"Moelyadi@livex.com")</f>
        <v>Moelyadi@livex.com</v>
      </c>
      <c r="D856" t="str">
        <f ca="1">IFERROR(__xludf.DUMMYFUNCTION("""COMPUTED_VALUE"""),"Jayapura")</f>
        <v>Jayapura</v>
      </c>
      <c r="E856" s="12">
        <f ca="1">IFERROR(__xludf.DUMMYFUNCTION("""COMPUTED_VALUE"""),42473)</f>
        <v>42473</v>
      </c>
      <c r="F856" t="str">
        <f ca="1">IFERROR(__xludf.DUMMYFUNCTION("""COMPUTED_VALUE"""),"KP0925SG")</f>
        <v>KP0925SG</v>
      </c>
      <c r="G856" s="11">
        <f ca="1">IFERROR(__xludf.DUMMYFUNCTION("""COMPUTED_VALUE"""),60000000)</f>
        <v>60000000</v>
      </c>
      <c r="H856">
        <f ca="1">IFERROR(__xludf.DUMMYFUNCTION("""COMPUTED_VALUE"""),36131)</f>
        <v>36131</v>
      </c>
      <c r="I856">
        <f ca="1">IFERROR(__xludf.DUMMYFUNCTION("""COMPUTED_VALUE"""),4)</f>
        <v>4</v>
      </c>
      <c r="J856" t="str">
        <f ca="1">IFERROR(__xludf.DUMMYFUNCTION("""COMPUTED_VALUE"""),"N/A")</f>
        <v>N/A</v>
      </c>
      <c r="K856" t="str">
        <f ca="1">IFERROR(__xludf.DUMMYFUNCTION("""COMPUTED_VALUE"""),"Swift Delivery")</f>
        <v>Swift Delivery</v>
      </c>
      <c r="L856" t="str">
        <f ca="1">IFERROR(__xludf.DUMMYFUNCTION("""COMPUTED_VALUE"""),"Y")</f>
        <v>Y</v>
      </c>
      <c r="M856" t="str">
        <f ca="1">IFERROR(__xludf.DUMMYFUNCTION("""COMPUTED_VALUE"""),"ct-990")</f>
        <v>ct-990</v>
      </c>
    </row>
    <row r="857" spans="1:13" ht="12.5" x14ac:dyDescent="0.25">
      <c r="A857" t="str">
        <f ca="1">IFERROR(__xludf.DUMMYFUNCTION("""COMPUTED_VALUE"""),"Gita")</f>
        <v>Gita</v>
      </c>
      <c r="B857" t="str">
        <f ca="1">IFERROR(__xludf.DUMMYFUNCTION("""COMPUTED_VALUE"""),"V.")</f>
        <v>V.</v>
      </c>
      <c r="C857" t="str">
        <f ca="1">IFERROR(__xludf.DUMMYFUNCTION("""COMPUTED_VALUE"""),"Gita@ymailx.com")</f>
        <v>Gita@ymailx.com</v>
      </c>
      <c r="D857" t="str">
        <f ca="1">IFERROR(__xludf.DUMMYFUNCTION("""COMPUTED_VALUE"""),"Madiun")</f>
        <v>Madiun</v>
      </c>
      <c r="E857" s="12">
        <f ca="1">IFERROR(__xludf.DUMMYFUNCTION("""COMPUTED_VALUE"""),42473)</f>
        <v>42473</v>
      </c>
      <c r="F857" t="str">
        <f ca="1">IFERROR(__xludf.DUMMYFUNCTION("""COMPUTED_VALUE"""),"KP0425CB")</f>
        <v>KP0425CB</v>
      </c>
      <c r="G857" s="11">
        <f ca="1">IFERROR(__xludf.DUMMYFUNCTION("""COMPUTED_VALUE"""),272500000)</f>
        <v>272500000</v>
      </c>
      <c r="H857">
        <f ca="1">IFERROR(__xludf.DUMMYFUNCTION("""COMPUTED_VALUE"""),36791)</f>
        <v>36791</v>
      </c>
      <c r="I857">
        <f ca="1">IFERROR(__xludf.DUMMYFUNCTION("""COMPUTED_VALUE"""),10)</f>
        <v>10</v>
      </c>
      <c r="J857" t="str">
        <f ca="1">IFERROR(__xludf.DUMMYFUNCTION("""COMPUTED_VALUE"""),"N/A")</f>
        <v>N/A</v>
      </c>
      <c r="K857" t="str">
        <f ca="1">IFERROR(__xludf.DUMMYFUNCTION("""COMPUTED_VALUE"""),"JENT")</f>
        <v>JENT</v>
      </c>
      <c r="L857" t="str">
        <f ca="1">IFERROR(__xludf.DUMMYFUNCTION("""COMPUTED_VALUE"""),"Y")</f>
        <v>Y</v>
      </c>
      <c r="M857" t="str">
        <f ca="1">IFERROR(__xludf.DUMMYFUNCTION("""COMPUTED_VALUE"""),"ie-123")</f>
        <v>ie-123</v>
      </c>
    </row>
    <row r="858" spans="1:13" ht="12.5" x14ac:dyDescent="0.25">
      <c r="A858" t="str">
        <f ca="1">IFERROR(__xludf.DUMMYFUNCTION("""COMPUTED_VALUE"""),"Daniel")</f>
        <v>Daniel</v>
      </c>
      <c r="B858" t="str">
        <f ca="1">IFERROR(__xludf.DUMMYFUNCTION("""COMPUTED_VALUE"""),"Wibowo")</f>
        <v>Wibowo</v>
      </c>
      <c r="C858" t="str">
        <f ca="1">IFERROR(__xludf.DUMMYFUNCTION("""COMPUTED_VALUE"""),"Daniel@livex.com")</f>
        <v>Daniel@livex.com</v>
      </c>
      <c r="D858" t="str">
        <f ca="1">IFERROR(__xludf.DUMMYFUNCTION("""COMPUTED_VALUE"""),"Manado")</f>
        <v>Manado</v>
      </c>
      <c r="E858" s="12">
        <f ca="1">IFERROR(__xludf.DUMMYFUNCTION("""COMPUTED_VALUE"""),42708)</f>
        <v>42708</v>
      </c>
      <c r="F858" t="str">
        <f ca="1">IFERROR(__xludf.DUMMYFUNCTION("""COMPUTED_VALUE"""),"KP0850FB")</f>
        <v>KP0850FB</v>
      </c>
      <c r="G858" s="11">
        <f ca="1">IFERROR(__xludf.DUMMYFUNCTION("""COMPUTED_VALUE"""),126000000)</f>
        <v>126000000</v>
      </c>
      <c r="H858">
        <f ca="1">IFERROR(__xludf.DUMMYFUNCTION("""COMPUTED_VALUE"""),35051)</f>
        <v>35051</v>
      </c>
      <c r="I858">
        <f ca="1">IFERROR(__xludf.DUMMYFUNCTION("""COMPUTED_VALUE"""),6)</f>
        <v>6</v>
      </c>
      <c r="J858">
        <f ca="1">IFERROR(__xludf.DUMMYFUNCTION("""COMPUTED_VALUE"""),1)</f>
        <v>1</v>
      </c>
      <c r="K858" t="str">
        <f ca="1">IFERROR(__xludf.DUMMYFUNCTION("""COMPUTED_VALUE"""),"Wakanda Express")</f>
        <v>Wakanda Express</v>
      </c>
      <c r="L858" t="str">
        <f ca="1">IFERROR(__xludf.DUMMYFUNCTION("""COMPUTED_VALUE"""),"Y")</f>
        <v>Y</v>
      </c>
      <c r="M858" t="str">
        <f ca="1">IFERROR(__xludf.DUMMYFUNCTION("""COMPUTED_VALUE"""),"fp-221")</f>
        <v>fp-221</v>
      </c>
    </row>
    <row r="859" spans="1:13" ht="12.5" x14ac:dyDescent="0.25">
      <c r="A859" t="str">
        <f ca="1">IFERROR(__xludf.DUMMYFUNCTION("""COMPUTED_VALUE"""),"Darwin")</f>
        <v>Darwin</v>
      </c>
      <c r="B859" t="str">
        <f ca="1">IFERROR(__xludf.DUMMYFUNCTION("""COMPUTED_VALUE"""),"Abner")</f>
        <v>Abner</v>
      </c>
      <c r="C859" t="str">
        <f ca="1">IFERROR(__xludf.DUMMYFUNCTION("""COMPUTED_VALUE"""),"Darwin@livex.com")</f>
        <v>Darwin@livex.com</v>
      </c>
      <c r="D859" t="str">
        <f ca="1">IFERROR(__xludf.DUMMYFUNCTION("""COMPUTED_VALUE"""),"Padang Sidempuan")</f>
        <v>Padang Sidempuan</v>
      </c>
      <c r="E859" s="12">
        <f ca="1">IFERROR(__xludf.DUMMYFUNCTION("""COMPUTED_VALUE"""),42678)</f>
        <v>42678</v>
      </c>
      <c r="F859" t="str">
        <f ca="1">IFERROR(__xludf.DUMMYFUNCTION("""COMPUTED_VALUE"""),"KP0625AF")</f>
        <v>KP0625AF</v>
      </c>
      <c r="G859" s="11">
        <f ca="1">IFERROR(__xludf.DUMMYFUNCTION("""COMPUTED_VALUE"""),96000000)</f>
        <v>96000000</v>
      </c>
      <c r="H859">
        <f ca="1">IFERROR(__xludf.DUMMYFUNCTION("""COMPUTED_VALUE"""),35963)</f>
        <v>35963</v>
      </c>
      <c r="I859">
        <f ca="1">IFERROR(__xludf.DUMMYFUNCTION("""COMPUTED_VALUE"""),8)</f>
        <v>8</v>
      </c>
      <c r="J859" t="str">
        <f ca="1">IFERROR(__xludf.DUMMYFUNCTION("""COMPUTED_VALUE"""),"N/A")</f>
        <v>N/A</v>
      </c>
      <c r="K859" t="str">
        <f ca="1">IFERROR(__xludf.DUMMYFUNCTION("""COMPUTED_VALUE"""),"JENT")</f>
        <v>JENT</v>
      </c>
      <c r="L859" t="str">
        <f ca="1">IFERROR(__xludf.DUMMYFUNCTION("""COMPUTED_VALUE"""),"Y")</f>
        <v>Y</v>
      </c>
      <c r="M859" t="str">
        <f ca="1">IFERROR(__xludf.DUMMYFUNCTION("""COMPUTED_VALUE"""),"gn-662")</f>
        <v>gn-662</v>
      </c>
    </row>
    <row r="860" spans="1:13" ht="12.5" x14ac:dyDescent="0.25">
      <c r="A860" t="str">
        <f ca="1">IFERROR(__xludf.DUMMYFUNCTION("""COMPUTED_VALUE"""),"Vivien")</f>
        <v>Vivien</v>
      </c>
      <c r="B860" t="str">
        <f ca="1">IFERROR(__xludf.DUMMYFUNCTION("""COMPUTED_VALUE"""),"Goh")</f>
        <v>Goh</v>
      </c>
      <c r="C860" t="str">
        <f ca="1">IFERROR(__xludf.DUMMYFUNCTION("""COMPUTED_VALUE"""),"Goh@outlookx.com")</f>
        <v>Goh@outlookx.com</v>
      </c>
      <c r="D860" t="str">
        <f ca="1">IFERROR(__xludf.DUMMYFUNCTION("""COMPUTED_VALUE"""),"Tasikmalaya")</f>
        <v>Tasikmalaya</v>
      </c>
      <c r="E860" s="12">
        <f ca="1">IFERROR(__xludf.DUMMYFUNCTION("""COMPUTED_VALUE"""),42678)</f>
        <v>42678</v>
      </c>
      <c r="F860" t="str">
        <f ca="1">IFERROR(__xludf.DUMMYFUNCTION("""COMPUTED_VALUE"""),"KP0625AF")</f>
        <v>KP0625AF</v>
      </c>
      <c r="G860" s="11">
        <f ca="1">IFERROR(__xludf.DUMMYFUNCTION("""COMPUTED_VALUE"""),36000000)</f>
        <v>36000000</v>
      </c>
      <c r="H860">
        <f ca="1">IFERROR(__xludf.DUMMYFUNCTION("""COMPUTED_VALUE"""),35100)</f>
        <v>35100</v>
      </c>
      <c r="I860">
        <f ca="1">IFERROR(__xludf.DUMMYFUNCTION("""COMPUTED_VALUE"""),3)</f>
        <v>3</v>
      </c>
      <c r="J860">
        <f ca="1">IFERROR(__xludf.DUMMYFUNCTION("""COMPUTED_VALUE"""),4)</f>
        <v>4</v>
      </c>
      <c r="K860" t="str">
        <f ca="1">IFERROR(__xludf.DUMMYFUNCTION("""COMPUTED_VALUE"""),"#N/A")</f>
        <v>#N/A</v>
      </c>
      <c r="L860" t="str">
        <f ca="1">IFERROR(__xludf.DUMMYFUNCTION("""COMPUTED_VALUE"""),"N")</f>
        <v>N</v>
      </c>
      <c r="M860" t="str">
        <f ca="1">IFERROR(__xludf.DUMMYFUNCTION("""COMPUTED_VALUE"""),"ow-409")</f>
        <v>ow-409</v>
      </c>
    </row>
    <row r="861" spans="1:13" ht="12.5" x14ac:dyDescent="0.25">
      <c r="A861" t="str">
        <f ca="1">IFERROR(__xludf.DUMMYFUNCTION("""COMPUTED_VALUE"""),"Muljadi")</f>
        <v>Muljadi</v>
      </c>
      <c r="B861" t="str">
        <f ca="1">IFERROR(__xludf.DUMMYFUNCTION("""COMPUTED_VALUE"""),"Aloan")</f>
        <v>Aloan</v>
      </c>
      <c r="C861" t="str">
        <f ca="1">IFERROR(__xludf.DUMMYFUNCTION("""COMPUTED_VALUE"""),"Muljadi@mex.com")</f>
        <v>Muljadi@mex.com</v>
      </c>
      <c r="D861" t="str">
        <f ca="1">IFERROR(__xludf.DUMMYFUNCTION("""COMPUTED_VALUE"""),"Pangkalpinang")</f>
        <v>Pangkalpinang</v>
      </c>
      <c r="E861" s="12">
        <f ca="1">IFERROR(__xludf.DUMMYFUNCTION("""COMPUTED_VALUE"""),42647)</f>
        <v>42647</v>
      </c>
      <c r="F861" t="str">
        <f ca="1">IFERROR(__xludf.DUMMYFUNCTION("""COMPUTED_VALUE"""),"KP0225BB")</f>
        <v>KP0225BB</v>
      </c>
      <c r="G861" s="11">
        <f ca="1">IFERROR(__xludf.DUMMYFUNCTION("""COMPUTED_VALUE"""),80000000)</f>
        <v>80000000</v>
      </c>
      <c r="H861">
        <f ca="1">IFERROR(__xludf.DUMMYFUNCTION("""COMPUTED_VALUE"""),35380)</f>
        <v>35380</v>
      </c>
      <c r="I861">
        <f ca="1">IFERROR(__xludf.DUMMYFUNCTION("""COMPUTED_VALUE"""),8)</f>
        <v>8</v>
      </c>
      <c r="J861">
        <f ca="1">IFERROR(__xludf.DUMMYFUNCTION("""COMPUTED_VALUE"""),4)</f>
        <v>4</v>
      </c>
      <c r="K861" t="str">
        <f ca="1">IFERROR(__xludf.DUMMYFUNCTION("""COMPUTED_VALUE"""),"JENT")</f>
        <v>JENT</v>
      </c>
      <c r="L861" t="str">
        <f ca="1">IFERROR(__xludf.DUMMYFUNCTION("""COMPUTED_VALUE"""),"Y")</f>
        <v>Y</v>
      </c>
      <c r="M861" t="str">
        <f ca="1">IFERROR(__xludf.DUMMYFUNCTION("""COMPUTED_VALUE"""),"bh-120")</f>
        <v>bh-120</v>
      </c>
    </row>
    <row r="862" spans="1:13" ht="12.5" x14ac:dyDescent="0.25">
      <c r="A862" t="str">
        <f ca="1">IFERROR(__xludf.DUMMYFUNCTION("""COMPUTED_VALUE"""),"Joppy")</f>
        <v>Joppy</v>
      </c>
      <c r="B862" t="str">
        <f ca="1">IFERROR(__xludf.DUMMYFUNCTION("""COMPUTED_VALUE"""),"Syafari")</f>
        <v>Syafari</v>
      </c>
      <c r="C862" t="str">
        <f ca="1">IFERROR(__xludf.DUMMYFUNCTION("""COMPUTED_VALUE"""),"Joppy@ymailx.com")</f>
        <v>Joppy@ymailx.com</v>
      </c>
      <c r="D862" t="str">
        <f ca="1">IFERROR(__xludf.DUMMYFUNCTION("""COMPUTED_VALUE"""),"Tasikmalaya")</f>
        <v>Tasikmalaya</v>
      </c>
      <c r="E862" s="12">
        <f ca="1">IFERROR(__xludf.DUMMYFUNCTION("""COMPUTED_VALUE"""),42617)</f>
        <v>42617</v>
      </c>
      <c r="F862" t="str">
        <f ca="1">IFERROR(__xludf.DUMMYFUNCTION("""COMPUTED_VALUE"""),"KP0050AG")</f>
        <v>KP0050AG</v>
      </c>
      <c r="G862" s="11">
        <f ca="1">IFERROR(__xludf.DUMMYFUNCTION("""COMPUTED_VALUE"""),130000000)</f>
        <v>130000000</v>
      </c>
      <c r="H862">
        <f ca="1">IFERROR(__xludf.DUMMYFUNCTION("""COMPUTED_VALUE"""),35815)</f>
        <v>35815</v>
      </c>
      <c r="I862">
        <f ca="1">IFERROR(__xludf.DUMMYFUNCTION("""COMPUTED_VALUE"""),8)</f>
        <v>8</v>
      </c>
      <c r="J862" t="str">
        <f ca="1">IFERROR(__xludf.DUMMYFUNCTION("""COMPUTED_VALUE"""),"N/A")</f>
        <v>N/A</v>
      </c>
      <c r="K862" t="str">
        <f ca="1">IFERROR(__xludf.DUMMYFUNCTION("""COMPUTED_VALUE"""),"Swift Delivery")</f>
        <v>Swift Delivery</v>
      </c>
      <c r="L862" t="str">
        <f ca="1">IFERROR(__xludf.DUMMYFUNCTION("""COMPUTED_VALUE"""),"Y")</f>
        <v>Y</v>
      </c>
      <c r="M862" t="str">
        <f ca="1">IFERROR(__xludf.DUMMYFUNCTION("""COMPUTED_VALUE"""),"ow-409")</f>
        <v>ow-409</v>
      </c>
    </row>
    <row r="863" spans="1:13" ht="12.5" x14ac:dyDescent="0.25">
      <c r="A863" t="str">
        <f ca="1">IFERROR(__xludf.DUMMYFUNCTION("""COMPUTED_VALUE"""),"Lim")</f>
        <v>Lim</v>
      </c>
      <c r="B863" t="str">
        <f ca="1">IFERROR(__xludf.DUMMYFUNCTION("""COMPUTED_VALUE"""),"Santoso")</f>
        <v>Santoso</v>
      </c>
      <c r="C863" t="str">
        <f ca="1">IFERROR(__xludf.DUMMYFUNCTION("""COMPUTED_VALUE"""),"Lim@mex.com")</f>
        <v>Lim@mex.com</v>
      </c>
      <c r="D863" t="str">
        <f ca="1">IFERROR(__xludf.DUMMYFUNCTION("""COMPUTED_VALUE"""),"Batam")</f>
        <v>Batam</v>
      </c>
      <c r="E863" s="12">
        <f ca="1">IFERROR(__xludf.DUMMYFUNCTION("""COMPUTED_VALUE"""),42617)</f>
        <v>42617</v>
      </c>
      <c r="F863" t="str">
        <f ca="1">IFERROR(__xludf.DUMMYFUNCTION("""COMPUTED_VALUE"""),"KP0850FB")</f>
        <v>KP0850FB</v>
      </c>
      <c r="G863" s="11">
        <f ca="1">IFERROR(__xludf.DUMMYFUNCTION("""COMPUTED_VALUE"""),210000000)</f>
        <v>210000000</v>
      </c>
      <c r="H863">
        <f ca="1">IFERROR(__xludf.DUMMYFUNCTION("""COMPUTED_VALUE"""),36119)</f>
        <v>36119</v>
      </c>
      <c r="I863">
        <f ca="1">IFERROR(__xludf.DUMMYFUNCTION("""COMPUTED_VALUE"""),10)</f>
        <v>10</v>
      </c>
      <c r="J863" t="str">
        <f ca="1">IFERROR(__xludf.DUMMYFUNCTION("""COMPUTED_VALUE"""),"N/A")</f>
        <v>N/A</v>
      </c>
      <c r="K863" t="str">
        <f ca="1">IFERROR(__xludf.DUMMYFUNCTION("""COMPUTED_VALUE"""),"JENT")</f>
        <v>JENT</v>
      </c>
      <c r="L863" t="str">
        <f ca="1">IFERROR(__xludf.DUMMYFUNCTION("""COMPUTED_VALUE"""),"Y")</f>
        <v>Y</v>
      </c>
      <c r="M863" t="str">
        <f ca="1">IFERROR(__xludf.DUMMYFUNCTION("""COMPUTED_VALUE"""),"el-809")</f>
        <v>el-809</v>
      </c>
    </row>
    <row r="864" spans="1:13" ht="12.5" x14ac:dyDescent="0.25">
      <c r="A864" t="str">
        <f ca="1">IFERROR(__xludf.DUMMYFUNCTION("""COMPUTED_VALUE"""),"Edgardo")</f>
        <v>Edgardo</v>
      </c>
      <c r="B864" t="str">
        <f ca="1">IFERROR(__xludf.DUMMYFUNCTION("""COMPUTED_VALUE"""),"Tedjasaputra")</f>
        <v>Tedjasaputra</v>
      </c>
      <c r="C864" t="str">
        <f ca="1">IFERROR(__xludf.DUMMYFUNCTION("""COMPUTED_VALUE"""),"Edgardo@gmailx.com")</f>
        <v>Edgardo@gmailx.com</v>
      </c>
      <c r="D864" t="str">
        <f ca="1">IFERROR(__xludf.DUMMYFUNCTION("""COMPUTED_VALUE"""),"Tual")</f>
        <v>Tual</v>
      </c>
      <c r="E864" s="12">
        <f ca="1">IFERROR(__xludf.DUMMYFUNCTION("""COMPUTED_VALUE"""),42555)</f>
        <v>42555</v>
      </c>
      <c r="F864" t="str">
        <f ca="1">IFERROR(__xludf.DUMMYFUNCTION("""COMPUTED_VALUE"""),"KP0925SG")</f>
        <v>KP0925SG</v>
      </c>
      <c r="G864" s="11">
        <f ca="1">IFERROR(__xludf.DUMMYFUNCTION("""COMPUTED_VALUE"""),135000000)</f>
        <v>135000000</v>
      </c>
      <c r="H864">
        <f ca="1">IFERROR(__xludf.DUMMYFUNCTION("""COMPUTED_VALUE"""),36275)</f>
        <v>36275</v>
      </c>
      <c r="I864">
        <f ca="1">IFERROR(__xludf.DUMMYFUNCTION("""COMPUTED_VALUE"""),9)</f>
        <v>9</v>
      </c>
      <c r="J864">
        <f ca="1">IFERROR(__xludf.DUMMYFUNCTION("""COMPUTED_VALUE"""),4)</f>
        <v>4</v>
      </c>
      <c r="K864" t="str">
        <f ca="1">IFERROR(__xludf.DUMMYFUNCTION("""COMPUTED_VALUE"""),"Pru Logistic")</f>
        <v>Pru Logistic</v>
      </c>
      <c r="L864" t="str">
        <f ca="1">IFERROR(__xludf.DUMMYFUNCTION("""COMPUTED_VALUE"""),"Y")</f>
        <v>Y</v>
      </c>
      <c r="M864" t="str">
        <f ca="1">IFERROR(__xludf.DUMMYFUNCTION("""COMPUTED_VALUE"""),"li-171")</f>
        <v>li-171</v>
      </c>
    </row>
    <row r="865" spans="1:13" ht="12.5" x14ac:dyDescent="0.25">
      <c r="A865" t="str">
        <f ca="1">IFERROR(__xludf.DUMMYFUNCTION("""COMPUTED_VALUE"""),"Primanaga")</f>
        <v>Primanaga</v>
      </c>
      <c r="B865" t="str">
        <f ca="1">IFERROR(__xludf.DUMMYFUNCTION("""COMPUTED_VALUE"""),"Rahardja")</f>
        <v>Rahardja</v>
      </c>
      <c r="C865" t="str">
        <f ca="1">IFERROR(__xludf.DUMMYFUNCTION("""COMPUTED_VALUE"""),"Rahardja@icloudx.com")</f>
        <v>Rahardja@icloudx.com</v>
      </c>
      <c r="D865" t="str">
        <f ca="1">IFERROR(__xludf.DUMMYFUNCTION("""COMPUTED_VALUE"""),"Tanjungbalai")</f>
        <v>Tanjungbalai</v>
      </c>
      <c r="E865" s="12">
        <f ca="1">IFERROR(__xludf.DUMMYFUNCTION("""COMPUTED_VALUE"""),42525)</f>
        <v>42525</v>
      </c>
      <c r="F865" t="str">
        <f ca="1">IFERROR(__xludf.DUMMYFUNCTION("""COMPUTED_VALUE"""),"KP0850FB")</f>
        <v>KP0850FB</v>
      </c>
      <c r="G865" s="11">
        <f ca="1">IFERROR(__xludf.DUMMYFUNCTION("""COMPUTED_VALUE"""),147000000)</f>
        <v>147000000</v>
      </c>
      <c r="H865">
        <f ca="1">IFERROR(__xludf.DUMMYFUNCTION("""COMPUTED_VALUE"""),35105)</f>
        <v>35105</v>
      </c>
      <c r="I865">
        <f ca="1">IFERROR(__xludf.DUMMYFUNCTION("""COMPUTED_VALUE"""),7)</f>
        <v>7</v>
      </c>
      <c r="J865" t="str">
        <f ca="1">IFERROR(__xludf.DUMMYFUNCTION("""COMPUTED_VALUE"""),"N/A")</f>
        <v>N/A</v>
      </c>
      <c r="K865" t="str">
        <f ca="1">IFERROR(__xludf.DUMMYFUNCTION("""COMPUTED_VALUE"""),"Pru Logistic")</f>
        <v>Pru Logistic</v>
      </c>
      <c r="L865" t="str">
        <f ca="1">IFERROR(__xludf.DUMMYFUNCTION("""COMPUTED_VALUE"""),"N")</f>
        <v>N</v>
      </c>
      <c r="M865" t="str">
        <f ca="1">IFERROR(__xludf.DUMMYFUNCTION("""COMPUTED_VALUE"""),"mj-662")</f>
        <v>mj-662</v>
      </c>
    </row>
    <row r="866" spans="1:13" ht="12.5" x14ac:dyDescent="0.25">
      <c r="A866" t="str">
        <f ca="1">IFERROR(__xludf.DUMMYFUNCTION("""COMPUTED_VALUE"""),"Johan")</f>
        <v>Johan</v>
      </c>
      <c r="B866" t="str">
        <f ca="1">IFERROR(__xludf.DUMMYFUNCTION("""COMPUTED_VALUE"""),"Anindyaguna")</f>
        <v>Anindyaguna</v>
      </c>
      <c r="C866" t="str">
        <f ca="1">IFERROR(__xludf.DUMMYFUNCTION("""COMPUTED_VALUE"""),"Johan@gmailx.com")</f>
        <v>Johan@gmailx.com</v>
      </c>
      <c r="D866" t="str">
        <f ca="1">IFERROR(__xludf.DUMMYFUNCTION("""COMPUTED_VALUE"""),"Cilegon")</f>
        <v>Cilegon</v>
      </c>
      <c r="E866" s="12">
        <f ca="1">IFERROR(__xludf.DUMMYFUNCTION("""COMPUTED_VALUE"""),42525)</f>
        <v>42525</v>
      </c>
      <c r="F866" t="str">
        <f ca="1">IFERROR(__xludf.DUMMYFUNCTION("""COMPUTED_VALUE"""),"KP0350CF")</f>
        <v>KP0350CF</v>
      </c>
      <c r="G866" s="11">
        <f ca="1">IFERROR(__xludf.DUMMYFUNCTION("""COMPUTED_VALUE"""),245000000)</f>
        <v>245000000</v>
      </c>
      <c r="H866">
        <f ca="1">IFERROR(__xludf.DUMMYFUNCTION("""COMPUTED_VALUE"""),35998)</f>
        <v>35998</v>
      </c>
      <c r="I866">
        <f ca="1">IFERROR(__xludf.DUMMYFUNCTION("""COMPUTED_VALUE"""),7)</f>
        <v>7</v>
      </c>
      <c r="J866" t="str">
        <f ca="1">IFERROR(__xludf.DUMMYFUNCTION("""COMPUTED_VALUE"""),"N/A")</f>
        <v>N/A</v>
      </c>
      <c r="K866" t="str">
        <f ca="1">IFERROR(__xludf.DUMMYFUNCTION("""COMPUTED_VALUE"""),"JENT")</f>
        <v>JENT</v>
      </c>
      <c r="L866" t="str">
        <f ca="1">IFERROR(__xludf.DUMMYFUNCTION("""COMPUTED_VALUE"""),"Y")</f>
        <v>Y</v>
      </c>
      <c r="M866" t="str">
        <f ca="1">IFERROR(__xludf.DUMMYFUNCTION("""COMPUTED_VALUE"""),"xg-500")</f>
        <v>xg-500</v>
      </c>
    </row>
    <row r="867" spans="1:13" ht="12.5" x14ac:dyDescent="0.25">
      <c r="A867" t="str">
        <f ca="1">IFERROR(__xludf.DUMMYFUNCTION("""COMPUTED_VALUE"""),"Ratna")</f>
        <v>Ratna</v>
      </c>
      <c r="B867" t="str">
        <f ca="1">IFERROR(__xludf.DUMMYFUNCTION("""COMPUTED_VALUE"""),"Sunardio")</f>
        <v>Sunardio</v>
      </c>
      <c r="C867" t="str">
        <f ca="1">IFERROR(__xludf.DUMMYFUNCTION("""COMPUTED_VALUE"""),"Ratna@icloudx.com")</f>
        <v>Ratna@icloudx.com</v>
      </c>
      <c r="D867" t="str">
        <f ca="1">IFERROR(__xludf.DUMMYFUNCTION("""COMPUTED_VALUE"""),"Cirebon")</f>
        <v>Cirebon</v>
      </c>
      <c r="E867" s="12">
        <f ca="1">IFERROR(__xludf.DUMMYFUNCTION("""COMPUTED_VALUE"""),42525)</f>
        <v>42525</v>
      </c>
      <c r="F867" t="str">
        <f ca="1">IFERROR(__xludf.DUMMYFUNCTION("""COMPUTED_VALUE"""),"KP0225BB")</f>
        <v>KP0225BB</v>
      </c>
      <c r="G867" s="11">
        <f ca="1">IFERROR(__xludf.DUMMYFUNCTION("""COMPUTED_VALUE"""),60000000)</f>
        <v>60000000</v>
      </c>
      <c r="H867">
        <f ca="1">IFERROR(__xludf.DUMMYFUNCTION("""COMPUTED_VALUE"""),35173)</f>
        <v>35173</v>
      </c>
      <c r="I867">
        <f ca="1">IFERROR(__xludf.DUMMYFUNCTION("""COMPUTED_VALUE"""),6)</f>
        <v>6</v>
      </c>
      <c r="J867">
        <f ca="1">IFERROR(__xludf.DUMMYFUNCTION("""COMPUTED_VALUE"""),3)</f>
        <v>3</v>
      </c>
      <c r="K867" t="str">
        <f ca="1">IFERROR(__xludf.DUMMYFUNCTION("""COMPUTED_VALUE"""),"JENT")</f>
        <v>JENT</v>
      </c>
      <c r="L867" t="str">
        <f ca="1">IFERROR(__xludf.DUMMYFUNCTION("""COMPUTED_VALUE"""),"N")</f>
        <v>N</v>
      </c>
      <c r="M867" t="str">
        <f ca="1">IFERROR(__xludf.DUMMYFUNCTION("""COMPUTED_VALUE"""),"hk-409")</f>
        <v>hk-409</v>
      </c>
    </row>
    <row r="868" spans="1:13" ht="12.5" x14ac:dyDescent="0.25">
      <c r="A868" t="str">
        <f ca="1">IFERROR(__xludf.DUMMYFUNCTION("""COMPUTED_VALUE"""),"Bambang")</f>
        <v>Bambang</v>
      </c>
      <c r="B868" t="str">
        <f ca="1">IFERROR(__xludf.DUMMYFUNCTION("""COMPUTED_VALUE"""),"Soegandha")</f>
        <v>Soegandha</v>
      </c>
      <c r="C868" t="str">
        <f ca="1">IFERROR(__xludf.DUMMYFUNCTION("""COMPUTED_VALUE"""),"BamBang@livex.com")</f>
        <v>BamBang@livex.com</v>
      </c>
      <c r="D868" t="str">
        <f ca="1">IFERROR(__xludf.DUMMYFUNCTION("""COMPUTED_VALUE"""),"Tebingtinggi")</f>
        <v>Tebingtinggi</v>
      </c>
      <c r="E868" s="12">
        <f ca="1">IFERROR(__xludf.DUMMYFUNCTION("""COMPUTED_VALUE"""),42494)</f>
        <v>42494</v>
      </c>
      <c r="F868" t="str">
        <f ca="1">IFERROR(__xludf.DUMMYFUNCTION("""COMPUTED_VALUE"""),"KP0750AJ")</f>
        <v>KP0750AJ</v>
      </c>
      <c r="G868" s="11">
        <f ca="1">IFERROR(__xludf.DUMMYFUNCTION("""COMPUTED_VALUE"""),126000000)</f>
        <v>126000000</v>
      </c>
      <c r="H868">
        <f ca="1">IFERROR(__xludf.DUMMYFUNCTION("""COMPUTED_VALUE"""),36848)</f>
        <v>36848</v>
      </c>
      <c r="I868">
        <f ca="1">IFERROR(__xludf.DUMMYFUNCTION("""COMPUTED_VALUE"""),7)</f>
        <v>7</v>
      </c>
      <c r="J868" t="str">
        <f ca="1">IFERROR(__xludf.DUMMYFUNCTION("""COMPUTED_VALUE"""),"N/A")</f>
        <v>N/A</v>
      </c>
      <c r="K868" t="str">
        <f ca="1">IFERROR(__xludf.DUMMYFUNCTION("""COMPUTED_VALUE"""),"Wakanda Express")</f>
        <v>Wakanda Express</v>
      </c>
      <c r="L868" t="str">
        <f ca="1">IFERROR(__xludf.DUMMYFUNCTION("""COMPUTED_VALUE"""),"Y")</f>
        <v>Y</v>
      </c>
      <c r="M868" t="str">
        <f ca="1">IFERROR(__xludf.DUMMYFUNCTION("""COMPUTED_VALUE"""),"qv-662")</f>
        <v>qv-662</v>
      </c>
    </row>
    <row r="869" spans="1:13" ht="12.5" x14ac:dyDescent="0.25">
      <c r="A869" t="str">
        <f ca="1">IFERROR(__xludf.DUMMYFUNCTION("""COMPUTED_VALUE"""),"Johnny")</f>
        <v>Johnny</v>
      </c>
      <c r="B869" t="str">
        <f ca="1">IFERROR(__xludf.DUMMYFUNCTION("""COMPUTED_VALUE"""),"Tjandra")</f>
        <v>Tjandra</v>
      </c>
      <c r="C869" t="str">
        <f ca="1">IFERROR(__xludf.DUMMYFUNCTION("""COMPUTED_VALUE"""),"Johnny@gmailx.com")</f>
        <v>Johnny@gmailx.com</v>
      </c>
      <c r="D869" t="str">
        <f ca="1">IFERROR(__xludf.DUMMYFUNCTION("""COMPUTED_VALUE"""),"Bandung")</f>
        <v>Bandung</v>
      </c>
      <c r="E869" s="12">
        <f ca="1">IFERROR(__xludf.DUMMYFUNCTION("""COMPUTED_VALUE"""),42404)</f>
        <v>42404</v>
      </c>
      <c r="F869" t="str">
        <f ca="1">IFERROR(__xludf.DUMMYFUNCTION("""COMPUTED_VALUE"""),"KP0925SG")</f>
        <v>KP0925SG</v>
      </c>
      <c r="G869" s="11">
        <f ca="1">IFERROR(__xludf.DUMMYFUNCTION("""COMPUTED_VALUE"""),45000000)</f>
        <v>45000000</v>
      </c>
      <c r="H869">
        <f ca="1">IFERROR(__xludf.DUMMYFUNCTION("""COMPUTED_VALUE"""),36928)</f>
        <v>36928</v>
      </c>
      <c r="I869">
        <f ca="1">IFERROR(__xludf.DUMMYFUNCTION("""COMPUTED_VALUE"""),3)</f>
        <v>3</v>
      </c>
      <c r="J869" t="str">
        <f ca="1">IFERROR(__xludf.DUMMYFUNCTION("""COMPUTED_VALUE"""),"N/A")</f>
        <v>N/A</v>
      </c>
      <c r="K869" t="str">
        <f ca="1">IFERROR(__xludf.DUMMYFUNCTION("""COMPUTED_VALUE"""),"Pru Logistic")</f>
        <v>Pru Logistic</v>
      </c>
      <c r="L869" t="str">
        <f ca="1">IFERROR(__xludf.DUMMYFUNCTION("""COMPUTED_VALUE"""),"Y")</f>
        <v>Y</v>
      </c>
      <c r="M869" t="str">
        <f ca="1">IFERROR(__xludf.DUMMYFUNCTION("""COMPUTED_VALUE"""),"kd-409")</f>
        <v>kd-409</v>
      </c>
    </row>
    <row r="870" spans="1:13" ht="12.5" x14ac:dyDescent="0.25">
      <c r="A870" t="str">
        <f ca="1">IFERROR(__xludf.DUMMYFUNCTION("""COMPUTED_VALUE"""),"Miranti")</f>
        <v>Miranti</v>
      </c>
      <c r="B870" t="str">
        <f ca="1">IFERROR(__xludf.DUMMYFUNCTION("""COMPUTED_VALUE"""),"Hioe")</f>
        <v>Hioe</v>
      </c>
      <c r="C870" t="str">
        <f ca="1">IFERROR(__xludf.DUMMYFUNCTION("""COMPUTED_VALUE"""),"Hioe@outlookx.com")</f>
        <v>Hioe@outlookx.com</v>
      </c>
      <c r="D870" t="str">
        <f ca="1">IFERROR(__xludf.DUMMYFUNCTION("""COMPUTED_VALUE"""),"Mojokerto")</f>
        <v>Mojokerto</v>
      </c>
      <c r="E870" s="12">
        <f ca="1">IFERROR(__xludf.DUMMYFUNCTION("""COMPUTED_VALUE"""),42373)</f>
        <v>42373</v>
      </c>
      <c r="F870" t="str">
        <f ca="1">IFERROR(__xludf.DUMMYFUNCTION("""COMPUTED_VALUE"""),"KP0925SG")</f>
        <v>KP0925SG</v>
      </c>
      <c r="G870" s="11">
        <f ca="1">IFERROR(__xludf.DUMMYFUNCTION("""COMPUTED_VALUE"""),150000000)</f>
        <v>150000000</v>
      </c>
      <c r="H870">
        <f ca="1">IFERROR(__xludf.DUMMYFUNCTION("""COMPUTED_VALUE"""),36636)</f>
        <v>36636</v>
      </c>
      <c r="I870">
        <f ca="1">IFERROR(__xludf.DUMMYFUNCTION("""COMPUTED_VALUE"""),10)</f>
        <v>10</v>
      </c>
      <c r="J870" t="str">
        <f ca="1">IFERROR(__xludf.DUMMYFUNCTION("""COMPUTED_VALUE"""),"N/A")</f>
        <v>N/A</v>
      </c>
      <c r="K870" t="str">
        <f ca="1">IFERROR(__xludf.DUMMYFUNCTION("""COMPUTED_VALUE"""),"Wakanda Express")</f>
        <v>Wakanda Express</v>
      </c>
      <c r="L870" t="str">
        <f ca="1">IFERROR(__xludf.DUMMYFUNCTION("""COMPUTED_VALUE"""),"Y")</f>
        <v>Y</v>
      </c>
      <c r="M870" t="str">
        <f ca="1">IFERROR(__xludf.DUMMYFUNCTION("""COMPUTED_VALUE"""),"kg-123")</f>
        <v>kg-123</v>
      </c>
    </row>
    <row r="871" spans="1:13" ht="12.5" x14ac:dyDescent="0.25">
      <c r="A871" t="str">
        <f ca="1">IFERROR(__xludf.DUMMYFUNCTION("""COMPUTED_VALUE"""),"Rustiyan")</f>
        <v>Rustiyan</v>
      </c>
      <c r="B871" t="str">
        <f ca="1">IFERROR(__xludf.DUMMYFUNCTION("""COMPUTED_VALUE"""),"Muchtar")</f>
        <v>Muchtar</v>
      </c>
      <c r="C871" t="str">
        <f ca="1">IFERROR(__xludf.DUMMYFUNCTION("""COMPUTED_VALUE"""),"Rustiyan@outlookx.com")</f>
        <v>Rustiyan@outlookx.com</v>
      </c>
      <c r="D871" t="str">
        <f ca="1">IFERROR(__xludf.DUMMYFUNCTION("""COMPUTED_VALUE"""),"Semarang")</f>
        <v>Semarang</v>
      </c>
      <c r="E871" s="12">
        <f ca="1">IFERROR(__xludf.DUMMYFUNCTION("""COMPUTED_VALUE"""),42456)</f>
        <v>42456</v>
      </c>
      <c r="F871" t="str">
        <f ca="1">IFERROR(__xludf.DUMMYFUNCTION("""COMPUTED_VALUE"""),"KP0925SG")</f>
        <v>KP0925SG</v>
      </c>
      <c r="G871" s="11">
        <f ca="1">IFERROR(__xludf.DUMMYFUNCTION("""COMPUTED_VALUE"""),75000000)</f>
        <v>75000000</v>
      </c>
      <c r="H871">
        <f ca="1">IFERROR(__xludf.DUMMYFUNCTION("""COMPUTED_VALUE"""),35493)</f>
        <v>35493</v>
      </c>
      <c r="I871">
        <f ca="1">IFERROR(__xludf.DUMMYFUNCTION("""COMPUTED_VALUE"""),5)</f>
        <v>5</v>
      </c>
      <c r="J871" t="str">
        <f ca="1">IFERROR(__xludf.DUMMYFUNCTION("""COMPUTED_VALUE"""),"N/A")</f>
        <v>N/A</v>
      </c>
      <c r="K871" t="str">
        <f ca="1">IFERROR(__xludf.DUMMYFUNCTION("""COMPUTED_VALUE"""),"Wakanda Express")</f>
        <v>Wakanda Express</v>
      </c>
      <c r="L871" t="str">
        <f ca="1">IFERROR(__xludf.DUMMYFUNCTION("""COMPUTED_VALUE"""),"N")</f>
        <v>N</v>
      </c>
      <c r="M871" t="str">
        <f ca="1">IFERROR(__xludf.DUMMYFUNCTION("""COMPUTED_VALUE"""),"gf-410")</f>
        <v>gf-410</v>
      </c>
    </row>
    <row r="872" spans="1:13" ht="12.5" x14ac:dyDescent="0.25">
      <c r="A872" t="str">
        <f ca="1">IFERROR(__xludf.DUMMYFUNCTION("""COMPUTED_VALUE"""),"Kusumo")</f>
        <v>Kusumo</v>
      </c>
      <c r="B872" t="str">
        <f ca="1">IFERROR(__xludf.DUMMYFUNCTION("""COMPUTED_VALUE"""),"Halim")</f>
        <v>Halim</v>
      </c>
      <c r="C872" t="str">
        <f ca="1">IFERROR(__xludf.DUMMYFUNCTION("""COMPUTED_VALUE"""),"Kusumo@gmailx.com")</f>
        <v>Kusumo@gmailx.com</v>
      </c>
      <c r="D872" t="str">
        <f ca="1">IFERROR(__xludf.DUMMYFUNCTION("""COMPUTED_VALUE"""),"Tegal")</f>
        <v>Tegal</v>
      </c>
      <c r="E872" s="12">
        <f ca="1">IFERROR(__xludf.DUMMYFUNCTION("""COMPUTED_VALUE"""),42456)</f>
        <v>42456</v>
      </c>
      <c r="F872" t="str">
        <f ca="1">IFERROR(__xludf.DUMMYFUNCTION("""COMPUTED_VALUE"""),"KP0150BH")</f>
        <v>KP0150BH</v>
      </c>
      <c r="G872" s="11">
        <f ca="1">IFERROR(__xludf.DUMMYFUNCTION("""COMPUTED_VALUE"""),243000000)</f>
        <v>243000000</v>
      </c>
      <c r="H872">
        <f ca="1">IFERROR(__xludf.DUMMYFUNCTION("""COMPUTED_VALUE"""),35539)</f>
        <v>35539</v>
      </c>
      <c r="I872">
        <f ca="1">IFERROR(__xludf.DUMMYFUNCTION("""COMPUTED_VALUE"""),9)</f>
        <v>9</v>
      </c>
      <c r="J872">
        <f ca="1">IFERROR(__xludf.DUMMYFUNCTION("""COMPUTED_VALUE"""),4)</f>
        <v>4</v>
      </c>
      <c r="K872" t="str">
        <f ca="1">IFERROR(__xludf.DUMMYFUNCTION("""COMPUTED_VALUE"""),"Wakanda Express")</f>
        <v>Wakanda Express</v>
      </c>
      <c r="L872" t="str">
        <f ca="1">IFERROR(__xludf.DUMMYFUNCTION("""COMPUTED_VALUE"""),"Y")</f>
        <v>Y</v>
      </c>
      <c r="M872" t="str">
        <f ca="1">IFERROR(__xludf.DUMMYFUNCTION("""COMPUTED_VALUE"""),"ku-410")</f>
        <v>ku-410</v>
      </c>
    </row>
    <row r="873" spans="1:13" ht="12.5" x14ac:dyDescent="0.25">
      <c r="A873" t="str">
        <f ca="1">IFERROR(__xludf.DUMMYFUNCTION("""COMPUTED_VALUE"""),"Kusuma")</f>
        <v>Kusuma</v>
      </c>
      <c r="B873" t="str">
        <f ca="1">IFERROR(__xludf.DUMMYFUNCTION("""COMPUTED_VALUE"""),"Ongsoredjo")</f>
        <v>Ongsoredjo</v>
      </c>
      <c r="C873" t="str">
        <f ca="1">IFERROR(__xludf.DUMMYFUNCTION("""COMPUTED_VALUE"""),"Ongsoredjo@gmailx.com")</f>
        <v>Ongsoredjo@gmailx.com</v>
      </c>
      <c r="D873" t="str">
        <f ca="1">IFERROR(__xludf.DUMMYFUNCTION("""COMPUTED_VALUE"""),"Langsa")</f>
        <v>Langsa</v>
      </c>
      <c r="E873" s="12">
        <f ca="1">IFERROR(__xludf.DUMMYFUNCTION("""COMPUTED_VALUE"""),42455)</f>
        <v>42455</v>
      </c>
      <c r="F873" t="str">
        <f ca="1">IFERROR(__xludf.DUMMYFUNCTION("""COMPUTED_VALUE"""),"KP0925SG")</f>
        <v>KP0925SG</v>
      </c>
      <c r="G873" s="11">
        <f ca="1">IFERROR(__xludf.DUMMYFUNCTION("""COMPUTED_VALUE"""),150000000)</f>
        <v>150000000</v>
      </c>
      <c r="H873">
        <f ca="1">IFERROR(__xludf.DUMMYFUNCTION("""COMPUTED_VALUE"""),35326)</f>
        <v>35326</v>
      </c>
      <c r="I873">
        <f ca="1">IFERROR(__xludf.DUMMYFUNCTION("""COMPUTED_VALUE"""),10)</f>
        <v>10</v>
      </c>
      <c r="J873">
        <f ca="1">IFERROR(__xludf.DUMMYFUNCTION("""COMPUTED_VALUE"""),2)</f>
        <v>2</v>
      </c>
      <c r="K873" t="str">
        <f ca="1">IFERROR(__xludf.DUMMYFUNCTION("""COMPUTED_VALUE"""),"Swift Delivery")</f>
        <v>Swift Delivery</v>
      </c>
      <c r="L873" t="str">
        <f ca="1">IFERROR(__xludf.DUMMYFUNCTION("""COMPUTED_VALUE"""),"Y")</f>
        <v>Y</v>
      </c>
      <c r="M873" t="str">
        <f ca="1">IFERROR(__xludf.DUMMYFUNCTION("""COMPUTED_VALUE"""),"jj-101")</f>
        <v>jj-101</v>
      </c>
    </row>
    <row r="874" spans="1:13" ht="12.5" x14ac:dyDescent="0.25">
      <c r="A874" t="str">
        <f ca="1">IFERROR(__xludf.DUMMYFUNCTION("""COMPUTED_VALUE"""),"Ignanto")</f>
        <v>Ignanto</v>
      </c>
      <c r="B874" t="str">
        <f ca="1">IFERROR(__xludf.DUMMYFUNCTION("""COMPUTED_VALUE"""),"Hadikusumo")</f>
        <v>Hadikusumo</v>
      </c>
      <c r="C874" t="str">
        <f ca="1">IFERROR(__xludf.DUMMYFUNCTION("""COMPUTED_VALUE"""),"Ignanto@gmailx.com")</f>
        <v>Ignanto@gmailx.com</v>
      </c>
      <c r="D874" t="str">
        <f ca="1">IFERROR(__xludf.DUMMYFUNCTION("""COMPUTED_VALUE"""),"Tidore Kepulauan")</f>
        <v>Tidore Kepulauan</v>
      </c>
      <c r="E874" s="12">
        <f ca="1">IFERROR(__xludf.DUMMYFUNCTION("""COMPUTED_VALUE"""),42455)</f>
        <v>42455</v>
      </c>
      <c r="F874" t="str">
        <f ca="1">IFERROR(__xludf.DUMMYFUNCTION("""COMPUTED_VALUE"""),"KP0350CF")</f>
        <v>KP0350CF</v>
      </c>
      <c r="G874" s="11">
        <f ca="1">IFERROR(__xludf.DUMMYFUNCTION("""COMPUTED_VALUE"""),350000000)</f>
        <v>350000000</v>
      </c>
      <c r="H874">
        <f ca="1">IFERROR(__xludf.DUMMYFUNCTION("""COMPUTED_VALUE"""),35533)</f>
        <v>35533</v>
      </c>
      <c r="I874">
        <f ca="1">IFERROR(__xludf.DUMMYFUNCTION("""COMPUTED_VALUE"""),10)</f>
        <v>10</v>
      </c>
      <c r="J874" t="str">
        <f ca="1">IFERROR(__xludf.DUMMYFUNCTION("""COMPUTED_VALUE"""),"N/A")</f>
        <v>N/A</v>
      </c>
      <c r="K874" t="str">
        <f ca="1">IFERROR(__xludf.DUMMYFUNCTION("""COMPUTED_VALUE"""),"Cepat Kirim")</f>
        <v>Cepat Kirim</v>
      </c>
      <c r="L874" t="str">
        <f ca="1">IFERROR(__xludf.DUMMYFUNCTION("""COMPUTED_VALUE"""),"Y")</f>
        <v>Y</v>
      </c>
      <c r="M874" t="str">
        <f ca="1">IFERROR(__xludf.DUMMYFUNCTION("""COMPUTED_VALUE"""),"gv-160")</f>
        <v>gv-160</v>
      </c>
    </row>
    <row r="875" spans="1:13" ht="12.5" x14ac:dyDescent="0.25">
      <c r="A875" t="str">
        <f ca="1">IFERROR(__xludf.DUMMYFUNCTION("""COMPUTED_VALUE"""),"Hesye")</f>
        <v>Hesye</v>
      </c>
      <c r="B875" t="str">
        <f ca="1">IFERROR(__xludf.DUMMYFUNCTION("""COMPUTED_VALUE"""),"N.")</f>
        <v>N.</v>
      </c>
      <c r="C875" t="str">
        <f ca="1">IFERROR(__xludf.DUMMYFUNCTION("""COMPUTED_VALUE"""),"N.@gmailx.com")</f>
        <v>N.@gmailx.com</v>
      </c>
      <c r="D875" t="str">
        <f ca="1">IFERROR(__xludf.DUMMYFUNCTION("""COMPUTED_VALUE"""),"Kotamobagu")</f>
        <v>Kotamobagu</v>
      </c>
      <c r="E875" s="12">
        <f ca="1">IFERROR(__xludf.DUMMYFUNCTION("""COMPUTED_VALUE"""),42453)</f>
        <v>42453</v>
      </c>
      <c r="F875" t="str">
        <f ca="1">IFERROR(__xludf.DUMMYFUNCTION("""COMPUTED_VALUE"""),"KP0150BH")</f>
        <v>KP0150BH</v>
      </c>
      <c r="G875" s="11">
        <f ca="1">IFERROR(__xludf.DUMMYFUNCTION("""COMPUTED_VALUE"""),108000000)</f>
        <v>108000000</v>
      </c>
      <c r="H875">
        <f ca="1">IFERROR(__xludf.DUMMYFUNCTION("""COMPUTED_VALUE"""),36109)</f>
        <v>36109</v>
      </c>
      <c r="I875">
        <f ca="1">IFERROR(__xludf.DUMMYFUNCTION("""COMPUTED_VALUE"""),4)</f>
        <v>4</v>
      </c>
      <c r="J875" t="str">
        <f ca="1">IFERROR(__xludf.DUMMYFUNCTION("""COMPUTED_VALUE"""),"N/A")</f>
        <v>N/A</v>
      </c>
      <c r="K875" t="str">
        <f ca="1">IFERROR(__xludf.DUMMYFUNCTION("""COMPUTED_VALUE"""),"Cepat Kirim")</f>
        <v>Cepat Kirim</v>
      </c>
      <c r="L875" t="str">
        <f ca="1">IFERROR(__xludf.DUMMYFUNCTION("""COMPUTED_VALUE"""),"Y")</f>
        <v>Y</v>
      </c>
      <c r="M875" t="str">
        <f ca="1">IFERROR(__xludf.DUMMYFUNCTION("""COMPUTED_VALUE"""),"sq-221")</f>
        <v>sq-221</v>
      </c>
    </row>
    <row r="876" spans="1:13" ht="12.5" x14ac:dyDescent="0.25">
      <c r="A876" t="str">
        <f ca="1">IFERROR(__xludf.DUMMYFUNCTION("""COMPUTED_VALUE"""),"Rendor")</f>
        <v>Rendor</v>
      </c>
      <c r="B876" t="str">
        <f ca="1">IFERROR(__xludf.DUMMYFUNCTION("""COMPUTED_VALUE"""),"Soedibjo")</f>
        <v>Soedibjo</v>
      </c>
      <c r="C876" t="str">
        <f ca="1">IFERROR(__xludf.DUMMYFUNCTION("""COMPUTED_VALUE"""),"RENDOR@ymailx.com")</f>
        <v>RENDOR@ymailx.com</v>
      </c>
      <c r="D876" t="str">
        <f ca="1">IFERROR(__xludf.DUMMYFUNCTION("""COMPUTED_VALUE"""),"Sorong")</f>
        <v>Sorong</v>
      </c>
      <c r="E876" s="12">
        <f ca="1">IFERROR(__xludf.DUMMYFUNCTION("""COMPUTED_VALUE"""),42452)</f>
        <v>42452</v>
      </c>
      <c r="F876" t="str">
        <f ca="1">IFERROR(__xludf.DUMMYFUNCTION("""COMPUTED_VALUE"""),"KP0750AJ")</f>
        <v>KP0750AJ</v>
      </c>
      <c r="G876" s="11">
        <f ca="1">IFERROR(__xludf.DUMMYFUNCTION("""COMPUTED_VALUE"""),54000000)</f>
        <v>54000000</v>
      </c>
      <c r="H876">
        <f ca="1">IFERROR(__xludf.DUMMYFUNCTION("""COMPUTED_VALUE"""),35259)</f>
        <v>35259</v>
      </c>
      <c r="I876">
        <f ca="1">IFERROR(__xludf.DUMMYFUNCTION("""COMPUTED_VALUE"""),3)</f>
        <v>3</v>
      </c>
      <c r="J876" t="str">
        <f ca="1">IFERROR(__xludf.DUMMYFUNCTION("""COMPUTED_VALUE"""),"N/A")</f>
        <v>N/A</v>
      </c>
      <c r="K876" t="str">
        <f ca="1">IFERROR(__xludf.DUMMYFUNCTION("""COMPUTED_VALUE"""),"Pru Logistic")</f>
        <v>Pru Logistic</v>
      </c>
      <c r="L876" t="str">
        <f ca="1">IFERROR(__xludf.DUMMYFUNCTION("""COMPUTED_VALUE"""),"N")</f>
        <v>N</v>
      </c>
      <c r="M876" t="str">
        <f ca="1">IFERROR(__xludf.DUMMYFUNCTION("""COMPUTED_VALUE"""),"yu-999")</f>
        <v>yu-999</v>
      </c>
    </row>
    <row r="877" spans="1:13" ht="12.5" x14ac:dyDescent="0.25">
      <c r="A877" t="str">
        <f ca="1">IFERROR(__xludf.DUMMYFUNCTION("""COMPUTED_VALUE"""),"Nugraha")</f>
        <v>Nugraha</v>
      </c>
      <c r="B877" t="str">
        <f ca="1">IFERROR(__xludf.DUMMYFUNCTION("""COMPUTED_VALUE"""),"Rion")</f>
        <v>Rion</v>
      </c>
      <c r="C877" t="str">
        <f ca="1">IFERROR(__xludf.DUMMYFUNCTION("""COMPUTED_VALUE"""),"Rion@gmailx.com")</f>
        <v>Rion@gmailx.com</v>
      </c>
      <c r="D877" t="str">
        <f ca="1">IFERROR(__xludf.DUMMYFUNCTION("""COMPUTED_VALUE"""),"Madiun")</f>
        <v>Madiun</v>
      </c>
      <c r="E877" s="12">
        <f ca="1">IFERROR(__xludf.DUMMYFUNCTION("""COMPUTED_VALUE"""),42451)</f>
        <v>42451</v>
      </c>
      <c r="F877" t="str">
        <f ca="1">IFERROR(__xludf.DUMMYFUNCTION("""COMPUTED_VALUE"""),"KP0925SG")</f>
        <v>KP0925SG</v>
      </c>
      <c r="G877" s="11">
        <f ca="1">IFERROR(__xludf.DUMMYFUNCTION("""COMPUTED_VALUE"""),105000000)</f>
        <v>105000000</v>
      </c>
      <c r="H877">
        <f ca="1">IFERROR(__xludf.DUMMYFUNCTION("""COMPUTED_VALUE"""),36536)</f>
        <v>36536</v>
      </c>
      <c r="I877">
        <f ca="1">IFERROR(__xludf.DUMMYFUNCTION("""COMPUTED_VALUE"""),7)</f>
        <v>7</v>
      </c>
      <c r="J877" t="str">
        <f ca="1">IFERROR(__xludf.DUMMYFUNCTION("""COMPUTED_VALUE"""),"N/A")</f>
        <v>N/A</v>
      </c>
      <c r="K877" t="str">
        <f ca="1">IFERROR(__xludf.DUMMYFUNCTION("""COMPUTED_VALUE"""),"JENT")</f>
        <v>JENT</v>
      </c>
      <c r="L877" t="str">
        <f ca="1">IFERROR(__xludf.DUMMYFUNCTION("""COMPUTED_VALUE"""),"N")</f>
        <v>N</v>
      </c>
      <c r="M877" t="str">
        <f ca="1">IFERROR(__xludf.DUMMYFUNCTION("""COMPUTED_VALUE"""),"wo-123")</f>
        <v>wo-123</v>
      </c>
    </row>
    <row r="878" spans="1:13" ht="12.5" x14ac:dyDescent="0.25">
      <c r="A878" t="str">
        <f ca="1">IFERROR(__xludf.DUMMYFUNCTION("""COMPUTED_VALUE"""),"Azir")</f>
        <v>Azir</v>
      </c>
      <c r="B878" t="str">
        <f ca="1">IFERROR(__xludf.DUMMYFUNCTION("""COMPUTED_VALUE"""),"Soepono")</f>
        <v>Soepono</v>
      </c>
      <c r="C878" t="str">
        <f ca="1">IFERROR(__xludf.DUMMYFUNCTION("""COMPUTED_VALUE"""),"Soepono@ymailx.com")</f>
        <v>Soepono@ymailx.com</v>
      </c>
      <c r="D878" t="str">
        <f ca="1">IFERROR(__xludf.DUMMYFUNCTION("""COMPUTED_VALUE"""),"Kotamobagu")</f>
        <v>Kotamobagu</v>
      </c>
      <c r="E878" s="12">
        <f ca="1">IFERROR(__xludf.DUMMYFUNCTION("""COMPUTED_VALUE"""),42451)</f>
        <v>42451</v>
      </c>
      <c r="F878" t="str">
        <f ca="1">IFERROR(__xludf.DUMMYFUNCTION("""COMPUTED_VALUE"""),"KP0925SG")</f>
        <v>KP0925SG</v>
      </c>
      <c r="G878" s="11">
        <f ca="1">IFERROR(__xludf.DUMMYFUNCTION("""COMPUTED_VALUE"""),75000000)</f>
        <v>75000000</v>
      </c>
      <c r="H878">
        <f ca="1">IFERROR(__xludf.DUMMYFUNCTION("""COMPUTED_VALUE"""),36217)</f>
        <v>36217</v>
      </c>
      <c r="I878">
        <f ca="1">IFERROR(__xludf.DUMMYFUNCTION("""COMPUTED_VALUE"""),5)</f>
        <v>5</v>
      </c>
      <c r="J878">
        <f ca="1">IFERROR(__xludf.DUMMYFUNCTION("""COMPUTED_VALUE"""),4)</f>
        <v>4</v>
      </c>
      <c r="K878" t="str">
        <f ca="1">IFERROR(__xludf.DUMMYFUNCTION("""COMPUTED_VALUE"""),"Wakanda Express")</f>
        <v>Wakanda Express</v>
      </c>
      <c r="L878" t="str">
        <f ca="1">IFERROR(__xludf.DUMMYFUNCTION("""COMPUTED_VALUE"""),"Y")</f>
        <v>Y</v>
      </c>
      <c r="M878" t="str">
        <f ca="1">IFERROR(__xludf.DUMMYFUNCTION("""COMPUTED_VALUE"""),"sd-221")</f>
        <v>sd-221</v>
      </c>
    </row>
    <row r="879" spans="1:13" ht="12.5" x14ac:dyDescent="0.25">
      <c r="A879" t="str">
        <f ca="1">IFERROR(__xludf.DUMMYFUNCTION("""COMPUTED_VALUE"""),"Devie")</f>
        <v>Devie</v>
      </c>
      <c r="B879" t="str">
        <f ca="1">IFERROR(__xludf.DUMMYFUNCTION("""COMPUTED_VALUE"""),"Arifkaja")</f>
        <v>Arifkaja</v>
      </c>
      <c r="C879" t="str">
        <f ca="1">IFERROR(__xludf.DUMMYFUNCTION("""COMPUTED_VALUE"""),"Devie@icloudx.com")</f>
        <v>Devie@icloudx.com</v>
      </c>
      <c r="D879" t="str">
        <f ca="1">IFERROR(__xludf.DUMMYFUNCTION("""COMPUTED_VALUE"""),"Banjarmasin")</f>
        <v>Banjarmasin</v>
      </c>
      <c r="E879" s="12">
        <f ca="1">IFERROR(__xludf.DUMMYFUNCTION("""COMPUTED_VALUE"""),42450)</f>
        <v>42450</v>
      </c>
      <c r="F879" t="str">
        <f ca="1">IFERROR(__xludf.DUMMYFUNCTION("""COMPUTED_VALUE"""),"KP0150BH")</f>
        <v>KP0150BH</v>
      </c>
      <c r="G879" s="11">
        <f ca="1">IFERROR(__xludf.DUMMYFUNCTION("""COMPUTED_VALUE"""),216000000)</f>
        <v>216000000</v>
      </c>
      <c r="H879">
        <f ca="1">IFERROR(__xludf.DUMMYFUNCTION("""COMPUTED_VALUE"""),35855)</f>
        <v>35855</v>
      </c>
      <c r="I879">
        <f ca="1">IFERROR(__xludf.DUMMYFUNCTION("""COMPUTED_VALUE"""),8)</f>
        <v>8</v>
      </c>
      <c r="J879" t="str">
        <f ca="1">IFERROR(__xludf.DUMMYFUNCTION("""COMPUTED_VALUE"""),"N/A")</f>
        <v>N/A</v>
      </c>
      <c r="K879" t="str">
        <f ca="1">IFERROR(__xludf.DUMMYFUNCTION("""COMPUTED_VALUE"""),"Cepat Kirim")</f>
        <v>Cepat Kirim</v>
      </c>
      <c r="L879" t="str">
        <f ca="1">IFERROR(__xludf.DUMMYFUNCTION("""COMPUTED_VALUE"""),"Y")</f>
        <v>Y</v>
      </c>
      <c r="M879" t="str">
        <f ca="1">IFERROR(__xludf.DUMMYFUNCTION("""COMPUTED_VALUE"""),"td-991")</f>
        <v>td-991</v>
      </c>
    </row>
    <row r="880" spans="1:13" ht="12.5" x14ac:dyDescent="0.25">
      <c r="A880" t="str">
        <f ca="1">IFERROR(__xludf.DUMMYFUNCTION("""COMPUTED_VALUE"""),"Oei")</f>
        <v>Oei</v>
      </c>
      <c r="B880" t="str">
        <f ca="1">IFERROR(__xludf.DUMMYFUNCTION("""COMPUTED_VALUE"""),"Consulting")</f>
        <v>Consulting</v>
      </c>
      <c r="C880" t="str">
        <f ca="1">IFERROR(__xludf.DUMMYFUNCTION("""COMPUTED_VALUE"""),"Consulting@icloudx.com")</f>
        <v>Consulting@icloudx.com</v>
      </c>
      <c r="D880" t="str">
        <f ca="1">IFERROR(__xludf.DUMMYFUNCTION("""COMPUTED_VALUE"""),"Tegal")</f>
        <v>Tegal</v>
      </c>
      <c r="E880" s="12">
        <f ca="1">IFERROR(__xludf.DUMMYFUNCTION("""COMPUTED_VALUE"""),42448)</f>
        <v>42448</v>
      </c>
      <c r="F880" t="str">
        <f ca="1">IFERROR(__xludf.DUMMYFUNCTION("""COMPUTED_VALUE"""),"KP0750AJ")</f>
        <v>KP0750AJ</v>
      </c>
      <c r="G880" s="11">
        <f ca="1">IFERROR(__xludf.DUMMYFUNCTION("""COMPUTED_VALUE"""),162000000)</f>
        <v>162000000</v>
      </c>
      <c r="H880">
        <f ca="1">IFERROR(__xludf.DUMMYFUNCTION("""COMPUTED_VALUE"""),36344)</f>
        <v>36344</v>
      </c>
      <c r="I880">
        <f ca="1">IFERROR(__xludf.DUMMYFUNCTION("""COMPUTED_VALUE"""),9)</f>
        <v>9</v>
      </c>
      <c r="J880" t="str">
        <f ca="1">IFERROR(__xludf.DUMMYFUNCTION("""COMPUTED_VALUE"""),"N/A")</f>
        <v>N/A</v>
      </c>
      <c r="K880" t="str">
        <f ca="1">IFERROR(__xludf.DUMMYFUNCTION("""COMPUTED_VALUE"""),"JENT")</f>
        <v>JENT</v>
      </c>
      <c r="L880" t="str">
        <f ca="1">IFERROR(__xludf.DUMMYFUNCTION("""COMPUTED_VALUE"""),"N")</f>
        <v>N</v>
      </c>
      <c r="M880" t="str">
        <f ca="1">IFERROR(__xludf.DUMMYFUNCTION("""COMPUTED_VALUE"""),"lc-410")</f>
        <v>lc-410</v>
      </c>
    </row>
    <row r="881" spans="1:13" ht="12.5" x14ac:dyDescent="0.25">
      <c r="A881" t="str">
        <f ca="1">IFERROR(__xludf.DUMMYFUNCTION("""COMPUTED_VALUE"""),"Sugiono")</f>
        <v>Sugiono</v>
      </c>
      <c r="B881" t="str">
        <f ca="1">IFERROR(__xludf.DUMMYFUNCTION("""COMPUTED_VALUE"""),"Panutomo")</f>
        <v>Panutomo</v>
      </c>
      <c r="C881" t="str">
        <f ca="1">IFERROR(__xludf.DUMMYFUNCTION("""COMPUTED_VALUE"""),"Sugiono@livex.com")</f>
        <v>Sugiono@livex.com</v>
      </c>
      <c r="D881" t="str">
        <f ca="1">IFERROR(__xludf.DUMMYFUNCTION("""COMPUTED_VALUE"""),"Serang")</f>
        <v>Serang</v>
      </c>
      <c r="E881" s="12">
        <f ca="1">IFERROR(__xludf.DUMMYFUNCTION("""COMPUTED_VALUE"""),42448)</f>
        <v>42448</v>
      </c>
      <c r="F881" t="str">
        <f ca="1">IFERROR(__xludf.DUMMYFUNCTION("""COMPUTED_VALUE"""),"KP0425CB")</f>
        <v>KP0425CB</v>
      </c>
      <c r="G881" s="11">
        <f ca="1">IFERROR(__xludf.DUMMYFUNCTION("""COMPUTED_VALUE"""),81750000)</f>
        <v>81750000</v>
      </c>
      <c r="H881">
        <f ca="1">IFERROR(__xludf.DUMMYFUNCTION("""COMPUTED_VALUE"""),36737)</f>
        <v>36737</v>
      </c>
      <c r="I881">
        <f ca="1">IFERROR(__xludf.DUMMYFUNCTION("""COMPUTED_VALUE"""),3)</f>
        <v>3</v>
      </c>
      <c r="J881" t="str">
        <f ca="1">IFERROR(__xludf.DUMMYFUNCTION("""COMPUTED_VALUE"""),"N/A")</f>
        <v>N/A</v>
      </c>
      <c r="K881" t="str">
        <f ca="1">IFERROR(__xludf.DUMMYFUNCTION("""COMPUTED_VALUE"""),"Cepat Kirim")</f>
        <v>Cepat Kirim</v>
      </c>
      <c r="L881" t="str">
        <f ca="1">IFERROR(__xludf.DUMMYFUNCTION("""COMPUTED_VALUE"""),"N")</f>
        <v>N</v>
      </c>
      <c r="M881" t="str">
        <f ca="1">IFERROR(__xludf.DUMMYFUNCTION("""COMPUTED_VALUE"""),"rn-500")</f>
        <v>rn-500</v>
      </c>
    </row>
    <row r="882" spans="1:13" ht="12.5" x14ac:dyDescent="0.25">
      <c r="A882" t="str">
        <f ca="1">IFERROR(__xludf.DUMMYFUNCTION("""COMPUTED_VALUE"""),"Nico")</f>
        <v>Nico</v>
      </c>
      <c r="B882" t="str">
        <f ca="1">IFERROR(__xludf.DUMMYFUNCTION("""COMPUTED_VALUE"""),"D.")</f>
        <v>D.</v>
      </c>
      <c r="C882" t="str">
        <f ca="1">IFERROR(__xludf.DUMMYFUNCTION("""COMPUTED_VALUE"""),"Nico@outlookx.com")</f>
        <v>Nico@outlookx.com</v>
      </c>
      <c r="D882" t="str">
        <f ca="1">IFERROR(__xludf.DUMMYFUNCTION("""COMPUTED_VALUE"""),"Probolinggo")</f>
        <v>Probolinggo</v>
      </c>
      <c r="E882" s="12">
        <f ca="1">IFERROR(__xludf.DUMMYFUNCTION("""COMPUTED_VALUE"""),42448)</f>
        <v>42448</v>
      </c>
      <c r="F882" t="str">
        <f ca="1">IFERROR(__xludf.DUMMYFUNCTION("""COMPUTED_VALUE"""),"KP0625AF")</f>
        <v>KP0625AF</v>
      </c>
      <c r="G882" s="11">
        <f ca="1">IFERROR(__xludf.DUMMYFUNCTION("""COMPUTED_VALUE"""),24000000)</f>
        <v>24000000</v>
      </c>
      <c r="H882">
        <f ca="1">IFERROR(__xludf.DUMMYFUNCTION("""COMPUTED_VALUE"""),35374)</f>
        <v>35374</v>
      </c>
      <c r="I882">
        <f ca="1">IFERROR(__xludf.DUMMYFUNCTION("""COMPUTED_VALUE"""),2)</f>
        <v>2</v>
      </c>
      <c r="J882" t="str">
        <f ca="1">IFERROR(__xludf.DUMMYFUNCTION("""COMPUTED_VALUE"""),"N/A")</f>
        <v>N/A</v>
      </c>
      <c r="K882" t="str">
        <f ca="1">IFERROR(__xludf.DUMMYFUNCTION("""COMPUTED_VALUE"""),"JENT")</f>
        <v>JENT</v>
      </c>
      <c r="L882" t="str">
        <f ca="1">IFERROR(__xludf.DUMMYFUNCTION("""COMPUTED_VALUE"""),"N")</f>
        <v>N</v>
      </c>
      <c r="M882" t="str">
        <f ca="1">IFERROR(__xludf.DUMMYFUNCTION("""COMPUTED_VALUE"""),"ow-123")</f>
        <v>ow-123</v>
      </c>
    </row>
    <row r="883" spans="1:13" ht="12.5" x14ac:dyDescent="0.25">
      <c r="A883" t="str">
        <f ca="1">IFERROR(__xludf.DUMMYFUNCTION("""COMPUTED_VALUE"""),"Marcella")</f>
        <v>Marcella</v>
      </c>
      <c r="B883" t="str">
        <f ca="1">IFERROR(__xludf.DUMMYFUNCTION("""COMPUTED_VALUE"""),"Djojohadikusumo")</f>
        <v>Djojohadikusumo</v>
      </c>
      <c r="C883" t="str">
        <f ca="1">IFERROR(__xludf.DUMMYFUNCTION("""COMPUTED_VALUE"""),"DJOJOHADIKUSUMO@gmailx.com")</f>
        <v>DJOJOHADIKUSUMO@gmailx.com</v>
      </c>
      <c r="D883" t="str">
        <f ca="1">IFERROR(__xludf.DUMMYFUNCTION("""COMPUTED_VALUE"""),"Bontang")</f>
        <v>Bontang</v>
      </c>
      <c r="E883" s="12">
        <f ca="1">IFERROR(__xludf.DUMMYFUNCTION("""COMPUTED_VALUE"""),42448)</f>
        <v>42448</v>
      </c>
      <c r="F883" t="str">
        <f ca="1">IFERROR(__xludf.DUMMYFUNCTION("""COMPUTED_VALUE"""),"KP0350CF")</f>
        <v>KP0350CF</v>
      </c>
      <c r="G883" s="11">
        <f ca="1">IFERROR(__xludf.DUMMYFUNCTION("""COMPUTED_VALUE"""),245000000)</f>
        <v>245000000</v>
      </c>
      <c r="H883">
        <f ca="1">IFERROR(__xludf.DUMMYFUNCTION("""COMPUTED_VALUE"""),35890)</f>
        <v>35890</v>
      </c>
      <c r="I883">
        <f ca="1">IFERROR(__xludf.DUMMYFUNCTION("""COMPUTED_VALUE"""),7)</f>
        <v>7</v>
      </c>
      <c r="J883">
        <f ca="1">IFERROR(__xludf.DUMMYFUNCTION("""COMPUTED_VALUE"""),4)</f>
        <v>4</v>
      </c>
      <c r="K883" t="str">
        <f ca="1">IFERROR(__xludf.DUMMYFUNCTION("""COMPUTED_VALUE"""),"Cepat Kirim")</f>
        <v>Cepat Kirim</v>
      </c>
      <c r="L883" t="str">
        <f ca="1">IFERROR(__xludf.DUMMYFUNCTION("""COMPUTED_VALUE"""),"Y")</f>
        <v>Y</v>
      </c>
      <c r="M883" t="str">
        <f ca="1">IFERROR(__xludf.DUMMYFUNCTION("""COMPUTED_VALUE"""),"cy-993")</f>
        <v>cy-993</v>
      </c>
    </row>
    <row r="884" spans="1:13" ht="12.5" x14ac:dyDescent="0.25">
      <c r="A884" t="str">
        <f ca="1">IFERROR(__xludf.DUMMYFUNCTION("""COMPUTED_VALUE"""),"Muhammad")</f>
        <v>Muhammad</v>
      </c>
      <c r="B884" t="str">
        <f ca="1">IFERROR(__xludf.DUMMYFUNCTION("""COMPUTED_VALUE"""),"Setiawan")</f>
        <v>Setiawan</v>
      </c>
      <c r="C884" t="str">
        <f ca="1">IFERROR(__xludf.DUMMYFUNCTION("""COMPUTED_VALUE"""),"Setiawan@mex.com")</f>
        <v>Setiawan@mex.com</v>
      </c>
      <c r="D884" t="str">
        <f ca="1">IFERROR(__xludf.DUMMYFUNCTION("""COMPUTED_VALUE"""),"Tual")</f>
        <v>Tual</v>
      </c>
      <c r="E884" s="12">
        <f ca="1">IFERROR(__xludf.DUMMYFUNCTION("""COMPUTED_VALUE"""),42447)</f>
        <v>42447</v>
      </c>
      <c r="F884" t="str">
        <f ca="1">IFERROR(__xludf.DUMMYFUNCTION("""COMPUTED_VALUE"""),"KP0350CF")</f>
        <v>KP0350CF</v>
      </c>
      <c r="G884" s="11">
        <f ca="1">IFERROR(__xludf.DUMMYFUNCTION("""COMPUTED_VALUE"""),105000000)</f>
        <v>105000000</v>
      </c>
      <c r="H884">
        <f ca="1">IFERROR(__xludf.DUMMYFUNCTION("""COMPUTED_VALUE"""),35966)</f>
        <v>35966</v>
      </c>
      <c r="I884">
        <f ca="1">IFERROR(__xludf.DUMMYFUNCTION("""COMPUTED_VALUE"""),3)</f>
        <v>3</v>
      </c>
      <c r="J884" t="str">
        <f ca="1">IFERROR(__xludf.DUMMYFUNCTION("""COMPUTED_VALUE"""),"N/A")</f>
        <v>N/A</v>
      </c>
      <c r="K884" t="str">
        <f ca="1">IFERROR(__xludf.DUMMYFUNCTION("""COMPUTED_VALUE"""),"Swift Delivery")</f>
        <v>Swift Delivery</v>
      </c>
      <c r="L884" t="str">
        <f ca="1">IFERROR(__xludf.DUMMYFUNCTION("""COMPUTED_VALUE"""),"Y")</f>
        <v>Y</v>
      </c>
      <c r="M884" t="str">
        <f ca="1">IFERROR(__xludf.DUMMYFUNCTION("""COMPUTED_VALUE"""),"ho-171")</f>
        <v>ho-171</v>
      </c>
    </row>
    <row r="885" spans="1:13" ht="12.5" x14ac:dyDescent="0.25">
      <c r="A885" t="str">
        <f ca="1">IFERROR(__xludf.DUMMYFUNCTION("""COMPUTED_VALUE"""),"Ilham")</f>
        <v>Ilham</v>
      </c>
      <c r="B885" t="str">
        <f ca="1">IFERROR(__xludf.DUMMYFUNCTION("""COMPUTED_VALUE"""),"Marathon")</f>
        <v>Marathon</v>
      </c>
      <c r="C885" t="str">
        <f ca="1">IFERROR(__xludf.DUMMYFUNCTION("""COMPUTED_VALUE"""),"Marathon@ymailx.com")</f>
        <v>Marathon@ymailx.com</v>
      </c>
      <c r="D885" t="str">
        <f ca="1">IFERROR(__xludf.DUMMYFUNCTION("""COMPUTED_VALUE"""),"Kediri")</f>
        <v>Kediri</v>
      </c>
      <c r="E885" s="12">
        <f ca="1">IFERROR(__xludf.DUMMYFUNCTION("""COMPUTED_VALUE"""),42447)</f>
        <v>42447</v>
      </c>
      <c r="F885" t="str">
        <f ca="1">IFERROR(__xludf.DUMMYFUNCTION("""COMPUTED_VALUE"""),"KP0750AJ")</f>
        <v>KP0750AJ</v>
      </c>
      <c r="G885" s="11">
        <f ca="1">IFERROR(__xludf.DUMMYFUNCTION("""COMPUTED_VALUE"""),144000000)</f>
        <v>144000000</v>
      </c>
      <c r="H885">
        <f ca="1">IFERROR(__xludf.DUMMYFUNCTION("""COMPUTED_VALUE"""),35500)</f>
        <v>35500</v>
      </c>
      <c r="I885">
        <f ca="1">IFERROR(__xludf.DUMMYFUNCTION("""COMPUTED_VALUE"""),8)</f>
        <v>8</v>
      </c>
      <c r="J885">
        <f ca="1">IFERROR(__xludf.DUMMYFUNCTION("""COMPUTED_VALUE"""),4)</f>
        <v>4</v>
      </c>
      <c r="K885" t="str">
        <f ca="1">IFERROR(__xludf.DUMMYFUNCTION("""COMPUTED_VALUE"""),"Cepat Kirim")</f>
        <v>Cepat Kirim</v>
      </c>
      <c r="L885" t="str">
        <f ca="1">IFERROR(__xludf.DUMMYFUNCTION("""COMPUTED_VALUE"""),"Y")</f>
        <v>Y</v>
      </c>
      <c r="M885" t="str">
        <f ca="1">IFERROR(__xludf.DUMMYFUNCTION("""COMPUTED_VALUE"""),"ln-123")</f>
        <v>ln-123</v>
      </c>
    </row>
    <row r="886" spans="1:13" ht="12.5" x14ac:dyDescent="0.25">
      <c r="A886" t="str">
        <f ca="1">IFERROR(__xludf.DUMMYFUNCTION("""COMPUTED_VALUE"""),"Giovani")</f>
        <v>Giovani</v>
      </c>
      <c r="B886" t="str">
        <f ca="1">IFERROR(__xludf.DUMMYFUNCTION("""COMPUTED_VALUE"""),"Wijaya")</f>
        <v>Wijaya</v>
      </c>
      <c r="C886" t="str">
        <f ca="1">IFERROR(__xludf.DUMMYFUNCTION("""COMPUTED_VALUE"""),"Wijaya@ymailx.com")</f>
        <v>Wijaya@ymailx.com</v>
      </c>
      <c r="D886" t="str">
        <f ca="1">IFERROR(__xludf.DUMMYFUNCTION("""COMPUTED_VALUE"""),"Bima")</f>
        <v>Bima</v>
      </c>
      <c r="E886" s="12">
        <f ca="1">IFERROR(__xludf.DUMMYFUNCTION("""COMPUTED_VALUE"""),42447)</f>
        <v>42447</v>
      </c>
      <c r="F886" t="str">
        <f ca="1">IFERROR(__xludf.DUMMYFUNCTION("""COMPUTED_VALUE"""),"KP0750AJ")</f>
        <v>KP0750AJ</v>
      </c>
      <c r="G886" s="11">
        <f ca="1">IFERROR(__xludf.DUMMYFUNCTION("""COMPUTED_VALUE"""),126000000)</f>
        <v>126000000</v>
      </c>
      <c r="H886">
        <f ca="1">IFERROR(__xludf.DUMMYFUNCTION("""COMPUTED_VALUE"""),35188)</f>
        <v>35188</v>
      </c>
      <c r="I886">
        <f ca="1">IFERROR(__xludf.DUMMYFUNCTION("""COMPUTED_VALUE"""),7)</f>
        <v>7</v>
      </c>
      <c r="J886">
        <f ca="1">IFERROR(__xludf.DUMMYFUNCTION("""COMPUTED_VALUE"""),2)</f>
        <v>2</v>
      </c>
      <c r="K886" t="str">
        <f ca="1">IFERROR(__xludf.DUMMYFUNCTION("""COMPUTED_VALUE"""),"JENT")</f>
        <v>JENT</v>
      </c>
      <c r="L886" t="str">
        <f ca="1">IFERROR(__xludf.DUMMYFUNCTION("""COMPUTED_VALUE"""),"Y")</f>
        <v>Y</v>
      </c>
      <c r="M886" t="str">
        <f ca="1">IFERROR(__xludf.DUMMYFUNCTION("""COMPUTED_VALUE"""),"dk-183")</f>
        <v>dk-183</v>
      </c>
    </row>
    <row r="887" spans="1:13" ht="12.5" x14ac:dyDescent="0.25">
      <c r="A887" t="str">
        <f ca="1">IFERROR(__xludf.DUMMYFUNCTION("""COMPUTED_VALUE"""),"Ivonny")</f>
        <v>Ivonny</v>
      </c>
      <c r="B887" t="str">
        <f ca="1">IFERROR(__xludf.DUMMYFUNCTION("""COMPUTED_VALUE"""),"Segayir")</f>
        <v>Segayir</v>
      </c>
      <c r="C887" t="str">
        <f ca="1">IFERROR(__xludf.DUMMYFUNCTION("""COMPUTED_VALUE"""),"Ivonny@ymailx.com")</f>
        <v>Ivonny@ymailx.com</v>
      </c>
      <c r="D887" t="str">
        <f ca="1">IFERROR(__xludf.DUMMYFUNCTION("""COMPUTED_VALUE"""),"Pekalongan")</f>
        <v>Pekalongan</v>
      </c>
      <c r="E887" s="12">
        <f ca="1">IFERROR(__xludf.DUMMYFUNCTION("""COMPUTED_VALUE"""),42447)</f>
        <v>42447</v>
      </c>
      <c r="F887" t="str">
        <f ca="1">IFERROR(__xludf.DUMMYFUNCTION("""COMPUTED_VALUE"""),"KP0750AJ")</f>
        <v>KP0750AJ</v>
      </c>
      <c r="G887" s="11">
        <f ca="1">IFERROR(__xludf.DUMMYFUNCTION("""COMPUTED_VALUE"""),36000000)</f>
        <v>36000000</v>
      </c>
      <c r="H887">
        <f ca="1">IFERROR(__xludf.DUMMYFUNCTION("""COMPUTED_VALUE"""),36740)</f>
        <v>36740</v>
      </c>
      <c r="I887">
        <f ca="1">IFERROR(__xludf.DUMMYFUNCTION("""COMPUTED_VALUE"""),2)</f>
        <v>2</v>
      </c>
      <c r="J887">
        <f ca="1">IFERROR(__xludf.DUMMYFUNCTION("""COMPUTED_VALUE"""),4)</f>
        <v>4</v>
      </c>
      <c r="K887" t="str">
        <f ca="1">IFERROR(__xludf.DUMMYFUNCTION("""COMPUTED_VALUE"""),"Swift Delivery")</f>
        <v>Swift Delivery</v>
      </c>
      <c r="L887" t="str">
        <f ca="1">IFERROR(__xludf.DUMMYFUNCTION("""COMPUTED_VALUE"""),"Y")</f>
        <v>Y</v>
      </c>
      <c r="M887" t="str">
        <f ca="1">IFERROR(__xludf.DUMMYFUNCTION("""COMPUTED_VALUE"""),"ut-410")</f>
        <v>ut-410</v>
      </c>
    </row>
    <row r="888" spans="1:13" ht="12.5" x14ac:dyDescent="0.25">
      <c r="A888" t="str">
        <f ca="1">IFERROR(__xludf.DUMMYFUNCTION("""COMPUTED_VALUE"""),"Darjoto")</f>
        <v>Darjoto</v>
      </c>
      <c r="B888" t="str">
        <f ca="1">IFERROR(__xludf.DUMMYFUNCTION("""COMPUTED_VALUE"""),"Korompis")</f>
        <v>Korompis</v>
      </c>
      <c r="C888" t="str">
        <f ca="1">IFERROR(__xludf.DUMMYFUNCTION("""COMPUTED_VALUE"""),"KOROMPIS@livex.com")</f>
        <v>KOROMPIS@livex.com</v>
      </c>
      <c r="D888" t="str">
        <f ca="1">IFERROR(__xludf.DUMMYFUNCTION("""COMPUTED_VALUE"""),"Banjarmasin")</f>
        <v>Banjarmasin</v>
      </c>
      <c r="E888" s="12">
        <f ca="1">IFERROR(__xludf.DUMMYFUNCTION("""COMPUTED_VALUE"""),42444)</f>
        <v>42444</v>
      </c>
      <c r="F888" t="str">
        <f ca="1">IFERROR(__xludf.DUMMYFUNCTION("""COMPUTED_VALUE"""),"KP0925SG")</f>
        <v>KP0925SG</v>
      </c>
      <c r="G888" s="11">
        <f ca="1">IFERROR(__xludf.DUMMYFUNCTION("""COMPUTED_VALUE"""),75000000)</f>
        <v>75000000</v>
      </c>
      <c r="H888">
        <f ca="1">IFERROR(__xludf.DUMMYFUNCTION("""COMPUTED_VALUE"""),35837)</f>
        <v>35837</v>
      </c>
      <c r="I888">
        <f ca="1">IFERROR(__xludf.DUMMYFUNCTION("""COMPUTED_VALUE"""),5)</f>
        <v>5</v>
      </c>
      <c r="J888">
        <f ca="1">IFERROR(__xludf.DUMMYFUNCTION("""COMPUTED_VALUE"""),3)</f>
        <v>3</v>
      </c>
      <c r="K888" t="str">
        <f ca="1">IFERROR(__xludf.DUMMYFUNCTION("""COMPUTED_VALUE"""),"JENT")</f>
        <v>JENT</v>
      </c>
      <c r="L888" t="str">
        <f ca="1">IFERROR(__xludf.DUMMYFUNCTION("""COMPUTED_VALUE"""),"Y")</f>
        <v>Y</v>
      </c>
      <c r="M888" t="str">
        <f ca="1">IFERROR(__xludf.DUMMYFUNCTION("""COMPUTED_VALUE"""),"fb-991")</f>
        <v>fb-991</v>
      </c>
    </row>
    <row r="889" spans="1:13" ht="12.5" x14ac:dyDescent="0.25">
      <c r="A889" t="str">
        <f ca="1">IFERROR(__xludf.DUMMYFUNCTION("""COMPUTED_VALUE"""),"Protasius")</f>
        <v>Protasius</v>
      </c>
      <c r="B889" t="str">
        <f ca="1">IFERROR(__xludf.DUMMYFUNCTION("""COMPUTED_VALUE"""),"Deviyanti")</f>
        <v>Deviyanti</v>
      </c>
      <c r="C889" t="str">
        <f ca="1">IFERROR(__xludf.DUMMYFUNCTION("""COMPUTED_VALUE"""),"Protasius@livex.com")</f>
        <v>Protasius@livex.com</v>
      </c>
      <c r="D889" t="str">
        <f ca="1">IFERROR(__xludf.DUMMYFUNCTION("""COMPUTED_VALUE"""),"Binjai")</f>
        <v>Binjai</v>
      </c>
      <c r="E889" s="12">
        <f ca="1">IFERROR(__xludf.DUMMYFUNCTION("""COMPUTED_VALUE"""),42443)</f>
        <v>42443</v>
      </c>
      <c r="F889" t="str">
        <f ca="1">IFERROR(__xludf.DUMMYFUNCTION("""COMPUTED_VALUE"""),"KP0350CF")</f>
        <v>KP0350CF</v>
      </c>
      <c r="G889" s="11">
        <f ca="1">IFERROR(__xludf.DUMMYFUNCTION("""COMPUTED_VALUE"""),315000000)</f>
        <v>315000000</v>
      </c>
      <c r="H889">
        <f ca="1">IFERROR(__xludf.DUMMYFUNCTION("""COMPUTED_VALUE"""),35544)</f>
        <v>35544</v>
      </c>
      <c r="I889">
        <f ca="1">IFERROR(__xludf.DUMMYFUNCTION("""COMPUTED_VALUE"""),9)</f>
        <v>9</v>
      </c>
      <c r="J889" t="str">
        <f ca="1">IFERROR(__xludf.DUMMYFUNCTION("""COMPUTED_VALUE"""),"N/A")</f>
        <v>N/A</v>
      </c>
      <c r="K889" t="str">
        <f ca="1">IFERROR(__xludf.DUMMYFUNCTION("""COMPUTED_VALUE"""),"JENT")</f>
        <v>JENT</v>
      </c>
      <c r="L889" t="str">
        <f ca="1">IFERROR(__xludf.DUMMYFUNCTION("""COMPUTED_VALUE"""),"N")</f>
        <v>N</v>
      </c>
      <c r="M889" t="str">
        <f ca="1">IFERROR(__xludf.DUMMYFUNCTION("""COMPUTED_VALUE"""),"pk-662")</f>
        <v>pk-662</v>
      </c>
    </row>
    <row r="890" spans="1:13" ht="12.5" x14ac:dyDescent="0.25">
      <c r="A890" t="str">
        <f ca="1">IFERROR(__xludf.DUMMYFUNCTION("""COMPUTED_VALUE"""),"Kiki")</f>
        <v>Kiki</v>
      </c>
      <c r="B890" t="str">
        <f ca="1">IFERROR(__xludf.DUMMYFUNCTION("""COMPUTED_VALUE"""),"Chu")</f>
        <v>Chu</v>
      </c>
      <c r="C890" t="str">
        <f ca="1">IFERROR(__xludf.DUMMYFUNCTION("""COMPUTED_VALUE"""),"Chu@ymailx.com")</f>
        <v>Chu@ymailx.com</v>
      </c>
      <c r="D890" t="str">
        <f ca="1">IFERROR(__xludf.DUMMYFUNCTION("""COMPUTED_VALUE"""),"Palangkaraya")</f>
        <v>Palangkaraya</v>
      </c>
      <c r="E890" s="12">
        <f ca="1">IFERROR(__xludf.DUMMYFUNCTION("""COMPUTED_VALUE"""),42442)</f>
        <v>42442</v>
      </c>
      <c r="F890" t="str">
        <f ca="1">IFERROR(__xludf.DUMMYFUNCTION("""COMPUTED_VALUE"""),"KP0350CF")</f>
        <v>KP0350CF</v>
      </c>
      <c r="G890" s="11">
        <f ca="1">IFERROR(__xludf.DUMMYFUNCTION("""COMPUTED_VALUE"""),280000000)</f>
        <v>280000000</v>
      </c>
      <c r="H890">
        <f ca="1">IFERROR(__xludf.DUMMYFUNCTION("""COMPUTED_VALUE"""),35536)</f>
        <v>35536</v>
      </c>
      <c r="I890">
        <f ca="1">IFERROR(__xludf.DUMMYFUNCTION("""COMPUTED_VALUE"""),8)</f>
        <v>8</v>
      </c>
      <c r="J890" t="str">
        <f ca="1">IFERROR(__xludf.DUMMYFUNCTION("""COMPUTED_VALUE"""),"N/A")</f>
        <v>N/A</v>
      </c>
      <c r="K890" t="str">
        <f ca="1">IFERROR(__xludf.DUMMYFUNCTION("""COMPUTED_VALUE"""),"JENT")</f>
        <v>JENT</v>
      </c>
      <c r="L890" t="str">
        <f ca="1">IFERROR(__xludf.DUMMYFUNCTION("""COMPUTED_VALUE"""),"Y")</f>
        <v>Y</v>
      </c>
      <c r="M890" t="str">
        <f ca="1">IFERROR(__xludf.DUMMYFUNCTION("""COMPUTED_VALUE"""),"fu-992")</f>
        <v>fu-992</v>
      </c>
    </row>
    <row r="891" spans="1:13" ht="12.5" x14ac:dyDescent="0.25">
      <c r="A891" t="str">
        <f ca="1">IFERROR(__xludf.DUMMYFUNCTION("""COMPUTED_VALUE"""),"Ravi")</f>
        <v>Ravi</v>
      </c>
      <c r="B891" t="str">
        <f ca="1">IFERROR(__xludf.DUMMYFUNCTION("""COMPUTED_VALUE"""),"Azwien")</f>
        <v>Azwien</v>
      </c>
      <c r="C891" t="str">
        <f ca="1">IFERROR(__xludf.DUMMYFUNCTION("""COMPUTED_VALUE"""),"Azwien@rocketmailx.com")</f>
        <v>Azwien@rocketmailx.com</v>
      </c>
      <c r="D891" t="str">
        <f ca="1">IFERROR(__xludf.DUMMYFUNCTION("""COMPUTED_VALUE"""),"Bandung")</f>
        <v>Bandung</v>
      </c>
      <c r="E891" s="12">
        <f ca="1">IFERROR(__xludf.DUMMYFUNCTION("""COMPUTED_VALUE"""),42677)</f>
        <v>42677</v>
      </c>
      <c r="F891" t="str">
        <f ca="1">IFERROR(__xludf.DUMMYFUNCTION("""COMPUTED_VALUE"""),"KP0625AF")</f>
        <v>KP0625AF</v>
      </c>
      <c r="G891" s="11">
        <f ca="1">IFERROR(__xludf.DUMMYFUNCTION("""COMPUTED_VALUE"""),60000000)</f>
        <v>60000000</v>
      </c>
      <c r="H891">
        <f ca="1">IFERROR(__xludf.DUMMYFUNCTION("""COMPUTED_VALUE"""),35496)</f>
        <v>35496</v>
      </c>
      <c r="I891">
        <f ca="1">IFERROR(__xludf.DUMMYFUNCTION("""COMPUTED_VALUE"""),5)</f>
        <v>5</v>
      </c>
      <c r="J891" t="str">
        <f ca="1">IFERROR(__xludf.DUMMYFUNCTION("""COMPUTED_VALUE"""),"N/A")</f>
        <v>N/A</v>
      </c>
      <c r="K891" t="str">
        <f ca="1">IFERROR(__xludf.DUMMYFUNCTION("""COMPUTED_VALUE"""),"Cepat Kirim")</f>
        <v>Cepat Kirim</v>
      </c>
      <c r="L891" t="str">
        <f ca="1">IFERROR(__xludf.DUMMYFUNCTION("""COMPUTED_VALUE"""),"N")</f>
        <v>N</v>
      </c>
      <c r="M891" t="str">
        <f ca="1">IFERROR(__xludf.DUMMYFUNCTION("""COMPUTED_VALUE"""),"uj-409")</f>
        <v>uj-409</v>
      </c>
    </row>
    <row r="892" spans="1:13" ht="12.5" x14ac:dyDescent="0.25">
      <c r="A892" t="str">
        <f ca="1">IFERROR(__xludf.DUMMYFUNCTION("""COMPUTED_VALUE"""),"Amy")</f>
        <v>Amy</v>
      </c>
      <c r="B892" t="str">
        <f ca="1">IFERROR(__xludf.DUMMYFUNCTION("""COMPUTED_VALUE"""),"Manoj")</f>
        <v>Manoj</v>
      </c>
      <c r="C892" t="str">
        <f ca="1">IFERROR(__xludf.DUMMYFUNCTION("""COMPUTED_VALUE"""),"Amy@gmailx.com")</f>
        <v>Amy@gmailx.com</v>
      </c>
      <c r="D892" t="str">
        <f ca="1">IFERROR(__xludf.DUMMYFUNCTION("""COMPUTED_VALUE"""),"Jakarta Selatan")</f>
        <v>Jakarta Selatan</v>
      </c>
      <c r="E892" s="12">
        <f ca="1">IFERROR(__xludf.DUMMYFUNCTION("""COMPUTED_VALUE"""),42585)</f>
        <v>42585</v>
      </c>
      <c r="F892" t="str">
        <f ca="1">IFERROR(__xludf.DUMMYFUNCTION("""COMPUTED_VALUE"""),"KP0850FB")</f>
        <v>KP0850FB</v>
      </c>
      <c r="G892" s="11">
        <f ca="1">IFERROR(__xludf.DUMMYFUNCTION("""COMPUTED_VALUE"""),210000000)</f>
        <v>210000000</v>
      </c>
      <c r="H892">
        <f ca="1">IFERROR(__xludf.DUMMYFUNCTION("""COMPUTED_VALUE"""),35329)</f>
        <v>35329</v>
      </c>
      <c r="I892">
        <f ca="1">IFERROR(__xludf.DUMMYFUNCTION("""COMPUTED_VALUE"""),10)</f>
        <v>10</v>
      </c>
      <c r="J892" t="str">
        <f ca="1">IFERROR(__xludf.DUMMYFUNCTION("""COMPUTED_VALUE"""),"N/A")</f>
        <v>N/A</v>
      </c>
      <c r="K892" t="str">
        <f ca="1">IFERROR(__xludf.DUMMYFUNCTION("""COMPUTED_VALUE"""),"Cepat Kirim")</f>
        <v>Cepat Kirim</v>
      </c>
      <c r="L892" t="str">
        <f ca="1">IFERROR(__xludf.DUMMYFUNCTION("""COMPUTED_VALUE"""),"Y")</f>
        <v>Y</v>
      </c>
      <c r="M892" t="str">
        <f ca="1">IFERROR(__xludf.DUMMYFUNCTION("""COMPUTED_VALUE"""),"ly-333")</f>
        <v>ly-333</v>
      </c>
    </row>
    <row r="893" spans="1:13" ht="12.5" x14ac:dyDescent="0.25">
      <c r="A893" t="str">
        <f ca="1">IFERROR(__xludf.DUMMYFUNCTION("""COMPUTED_VALUE"""),"Northstar")</f>
        <v>Northstar</v>
      </c>
      <c r="B893" t="str">
        <f ca="1">IFERROR(__xludf.DUMMYFUNCTION("""COMPUTED_VALUE"""),"Zainal")</f>
        <v>Zainal</v>
      </c>
      <c r="C893" t="str">
        <f ca="1">IFERROR(__xludf.DUMMYFUNCTION("""COMPUTED_VALUE"""),"NORTHSTAR@gmailx.com")</f>
        <v>NORTHSTAR@gmailx.com</v>
      </c>
      <c r="D893" t="str">
        <f ca="1">IFERROR(__xludf.DUMMYFUNCTION("""COMPUTED_VALUE"""),"Ambon")</f>
        <v>Ambon</v>
      </c>
      <c r="E893" s="12">
        <f ca="1">IFERROR(__xludf.DUMMYFUNCTION("""COMPUTED_VALUE"""),42554)</f>
        <v>42554</v>
      </c>
      <c r="F893" t="str">
        <f ca="1">IFERROR(__xludf.DUMMYFUNCTION("""COMPUTED_VALUE"""),"KP0425CB")</f>
        <v>KP0425CB</v>
      </c>
      <c r="G893" s="11">
        <f ca="1">IFERROR(__xludf.DUMMYFUNCTION("""COMPUTED_VALUE"""),81750000)</f>
        <v>81750000</v>
      </c>
      <c r="H893">
        <f ca="1">IFERROR(__xludf.DUMMYFUNCTION("""COMPUTED_VALUE"""),36723)</f>
        <v>36723</v>
      </c>
      <c r="I893">
        <f ca="1">IFERROR(__xludf.DUMMYFUNCTION("""COMPUTED_VALUE"""),3)</f>
        <v>3</v>
      </c>
      <c r="J893" t="str">
        <f ca="1">IFERROR(__xludf.DUMMYFUNCTION("""COMPUTED_VALUE"""),"N/A")</f>
        <v>N/A</v>
      </c>
      <c r="K893" t="str">
        <f ca="1">IFERROR(__xludf.DUMMYFUNCTION("""COMPUTED_VALUE"""),"Wakanda Express")</f>
        <v>Wakanda Express</v>
      </c>
      <c r="L893" t="str">
        <f ca="1">IFERROR(__xludf.DUMMYFUNCTION("""COMPUTED_VALUE"""),"N")</f>
        <v>N</v>
      </c>
      <c r="M893" t="str">
        <f ca="1">IFERROR(__xludf.DUMMYFUNCTION("""COMPUTED_VALUE"""),"ky-171")</f>
        <v>ky-171</v>
      </c>
    </row>
    <row r="894" spans="1:13" ht="12.5" x14ac:dyDescent="0.25">
      <c r="A894" t="str">
        <f ca="1">IFERROR(__xludf.DUMMYFUNCTION("""COMPUTED_VALUE"""),"Hajato")</f>
        <v>Hajato</v>
      </c>
      <c r="B894" t="str">
        <f ca="1">IFERROR(__xludf.DUMMYFUNCTION("""COMPUTED_VALUE"""),"Tirtawidjaja")</f>
        <v>Tirtawidjaja</v>
      </c>
      <c r="C894" t="str">
        <f ca="1">IFERROR(__xludf.DUMMYFUNCTION("""COMPUTED_VALUE"""),"Hajato@gmailx.com")</f>
        <v>Hajato@gmailx.com</v>
      </c>
      <c r="D894" t="str">
        <f ca="1">IFERROR(__xludf.DUMMYFUNCTION("""COMPUTED_VALUE"""),"Metro")</f>
        <v>Metro</v>
      </c>
      <c r="E894" s="12">
        <f ca="1">IFERROR(__xludf.DUMMYFUNCTION("""COMPUTED_VALUE"""),42524)</f>
        <v>42524</v>
      </c>
      <c r="F894" t="str">
        <f ca="1">IFERROR(__xludf.DUMMYFUNCTION("""COMPUTED_VALUE"""),"KP0925SG")</f>
        <v>KP0925SG</v>
      </c>
      <c r="G894" s="11">
        <f ca="1">IFERROR(__xludf.DUMMYFUNCTION("""COMPUTED_VALUE"""),105000000)</f>
        <v>105000000</v>
      </c>
      <c r="H894">
        <f ca="1">IFERROR(__xludf.DUMMYFUNCTION("""COMPUTED_VALUE"""),36645)</f>
        <v>36645</v>
      </c>
      <c r="I894">
        <f ca="1">IFERROR(__xludf.DUMMYFUNCTION("""COMPUTED_VALUE"""),7)</f>
        <v>7</v>
      </c>
      <c r="J894" t="str">
        <f ca="1">IFERROR(__xludf.DUMMYFUNCTION("""COMPUTED_VALUE"""),"N/A")</f>
        <v>N/A</v>
      </c>
      <c r="K894" t="str">
        <f ca="1">IFERROR(__xludf.DUMMYFUNCTION("""COMPUTED_VALUE"""),"JENT")</f>
        <v>JENT</v>
      </c>
      <c r="L894" t="str">
        <f ca="1">IFERROR(__xludf.DUMMYFUNCTION("""COMPUTED_VALUE"""),"Y")</f>
        <v>Y</v>
      </c>
      <c r="M894" t="str">
        <f ca="1">IFERROR(__xludf.DUMMYFUNCTION("""COMPUTED_VALUE"""),"ac-150")</f>
        <v>ac-150</v>
      </c>
    </row>
    <row r="895" spans="1:13" ht="12.5" x14ac:dyDescent="0.25">
      <c r="A895" t="str">
        <f ca="1">IFERROR(__xludf.DUMMYFUNCTION("""COMPUTED_VALUE"""),"Na")</f>
        <v>Na</v>
      </c>
      <c r="B895" t="str">
        <f ca="1">IFERROR(__xludf.DUMMYFUNCTION("""COMPUTED_VALUE"""),"Sunjata")</f>
        <v>Sunjata</v>
      </c>
      <c r="C895" t="str">
        <f ca="1">IFERROR(__xludf.DUMMYFUNCTION("""COMPUTED_VALUE"""),"Sunjata@ymailx.com")</f>
        <v>Sunjata@ymailx.com</v>
      </c>
      <c r="D895" t="str">
        <f ca="1">IFERROR(__xludf.DUMMYFUNCTION("""COMPUTED_VALUE"""),"Pariaman")</f>
        <v>Pariaman</v>
      </c>
      <c r="E895" s="12">
        <f ca="1">IFERROR(__xludf.DUMMYFUNCTION("""COMPUTED_VALUE"""),42463)</f>
        <v>42463</v>
      </c>
      <c r="F895" t="str">
        <f ca="1">IFERROR(__xludf.DUMMYFUNCTION("""COMPUTED_VALUE"""),"KP0425CB")</f>
        <v>KP0425CB</v>
      </c>
      <c r="G895" s="11">
        <f ca="1">IFERROR(__xludf.DUMMYFUNCTION("""COMPUTED_VALUE"""),54500000)</f>
        <v>54500000</v>
      </c>
      <c r="H895">
        <f ca="1">IFERROR(__xludf.DUMMYFUNCTION("""COMPUTED_VALUE"""),35213)</f>
        <v>35213</v>
      </c>
      <c r="I895">
        <f ca="1">IFERROR(__xludf.DUMMYFUNCTION("""COMPUTED_VALUE"""),2)</f>
        <v>2</v>
      </c>
      <c r="J895">
        <f ca="1">IFERROR(__xludf.DUMMYFUNCTION("""COMPUTED_VALUE"""),4)</f>
        <v>4</v>
      </c>
      <c r="K895" t="str">
        <f ca="1">IFERROR(__xludf.DUMMYFUNCTION("""COMPUTED_VALUE"""),"Wakanda Express")</f>
        <v>Wakanda Express</v>
      </c>
      <c r="L895" t="str">
        <f ca="1">IFERROR(__xludf.DUMMYFUNCTION("""COMPUTED_VALUE"""),"N")</f>
        <v>N</v>
      </c>
      <c r="M895" t="str">
        <f ca="1">IFERROR(__xludf.DUMMYFUNCTION("""COMPUTED_VALUE"""),"wa-559")</f>
        <v>wa-559</v>
      </c>
    </row>
    <row r="896" spans="1:13" ht="12.5" x14ac:dyDescent="0.25">
      <c r="A896" t="str">
        <f ca="1">IFERROR(__xludf.DUMMYFUNCTION("""COMPUTED_VALUE"""),"Denny")</f>
        <v>Denny</v>
      </c>
      <c r="B896" t="str">
        <f ca="1">IFERROR(__xludf.DUMMYFUNCTION("""COMPUTED_VALUE"""),"Wijaya")</f>
        <v>Wijaya</v>
      </c>
      <c r="C896" t="str">
        <f ca="1">IFERROR(__xludf.DUMMYFUNCTION("""COMPUTED_VALUE"""),"Wijaya@livex.com")</f>
        <v>Wijaya@livex.com</v>
      </c>
      <c r="D896" t="str">
        <f ca="1">IFERROR(__xludf.DUMMYFUNCTION("""COMPUTED_VALUE"""),"Jakarta Timur")</f>
        <v>Jakarta Timur</v>
      </c>
      <c r="E896" s="12">
        <f ca="1">IFERROR(__xludf.DUMMYFUNCTION("""COMPUTED_VALUE"""),42463)</f>
        <v>42463</v>
      </c>
      <c r="F896" t="str">
        <f ca="1">IFERROR(__xludf.DUMMYFUNCTION("""COMPUTED_VALUE"""),"KP0350CF")</f>
        <v>KP0350CF</v>
      </c>
      <c r="G896" s="11">
        <f ca="1">IFERROR(__xludf.DUMMYFUNCTION("""COMPUTED_VALUE"""),70000000)</f>
        <v>70000000</v>
      </c>
      <c r="H896">
        <f ca="1">IFERROR(__xludf.DUMMYFUNCTION("""COMPUTED_VALUE"""),36505)</f>
        <v>36505</v>
      </c>
      <c r="I896">
        <f ca="1">IFERROR(__xludf.DUMMYFUNCTION("""COMPUTED_VALUE"""),2)</f>
        <v>2</v>
      </c>
      <c r="J896" t="str">
        <f ca="1">IFERROR(__xludf.DUMMYFUNCTION("""COMPUTED_VALUE"""),"N/A")</f>
        <v>N/A</v>
      </c>
      <c r="K896" t="str">
        <f ca="1">IFERROR(__xludf.DUMMYFUNCTION("""COMPUTED_VALUE"""),"Wakanda Express")</f>
        <v>Wakanda Express</v>
      </c>
      <c r="L896" t="str">
        <f ca="1">IFERROR(__xludf.DUMMYFUNCTION("""COMPUTED_VALUE"""),"Y")</f>
        <v>Y</v>
      </c>
      <c r="M896" t="str">
        <f ca="1">IFERROR(__xludf.DUMMYFUNCTION("""COMPUTED_VALUE"""),"on-333")</f>
        <v>on-333</v>
      </c>
    </row>
    <row r="897" spans="1:13" ht="12.5" x14ac:dyDescent="0.25">
      <c r="A897" t="str">
        <f ca="1">IFERROR(__xludf.DUMMYFUNCTION("""COMPUTED_VALUE"""),"Miana")</f>
        <v>Miana</v>
      </c>
      <c r="B897" t="str">
        <f ca="1">IFERROR(__xludf.DUMMYFUNCTION("""COMPUTED_VALUE"""),"Wargana")</f>
        <v>Wargana</v>
      </c>
      <c r="C897" t="str">
        <f ca="1">IFERROR(__xludf.DUMMYFUNCTION("""COMPUTED_VALUE"""),"Wargana@outlookx.com")</f>
        <v>Wargana@outlookx.com</v>
      </c>
      <c r="D897" t="str">
        <f ca="1">IFERROR(__xludf.DUMMYFUNCTION("""COMPUTED_VALUE"""),"Manado")</f>
        <v>Manado</v>
      </c>
      <c r="E897" s="12">
        <f ca="1">IFERROR(__xludf.DUMMYFUNCTION("""COMPUTED_VALUE"""),42432)</f>
        <v>42432</v>
      </c>
      <c r="F897" t="str">
        <f ca="1">IFERROR(__xludf.DUMMYFUNCTION("""COMPUTED_VALUE"""),"KP0750AJ")</f>
        <v>KP0750AJ</v>
      </c>
      <c r="G897" s="11">
        <f ca="1">IFERROR(__xludf.DUMMYFUNCTION("""COMPUTED_VALUE"""),108000000)</f>
        <v>108000000</v>
      </c>
      <c r="H897">
        <f ca="1">IFERROR(__xludf.DUMMYFUNCTION("""COMPUTED_VALUE"""),35737)</f>
        <v>35737</v>
      </c>
      <c r="I897">
        <f ca="1">IFERROR(__xludf.DUMMYFUNCTION("""COMPUTED_VALUE"""),6)</f>
        <v>6</v>
      </c>
      <c r="J897" t="str">
        <f ca="1">IFERROR(__xludf.DUMMYFUNCTION("""COMPUTED_VALUE"""),"N/A")</f>
        <v>N/A</v>
      </c>
      <c r="K897" t="str">
        <f ca="1">IFERROR(__xludf.DUMMYFUNCTION("""COMPUTED_VALUE"""),"Wakanda Express")</f>
        <v>Wakanda Express</v>
      </c>
      <c r="L897" t="str">
        <f ca="1">IFERROR(__xludf.DUMMYFUNCTION("""COMPUTED_VALUE"""),"Y")</f>
        <v>Y</v>
      </c>
      <c r="M897" t="str">
        <f ca="1">IFERROR(__xludf.DUMMYFUNCTION("""COMPUTED_VALUE"""),"eg-221")</f>
        <v>eg-221</v>
      </c>
    </row>
    <row r="898" spans="1:13" ht="12.5" x14ac:dyDescent="0.25">
      <c r="A898" t="str">
        <f ca="1">IFERROR(__xludf.DUMMYFUNCTION("""COMPUTED_VALUE"""),"Devy")</f>
        <v>Devy</v>
      </c>
      <c r="B898" t="str">
        <f ca="1">IFERROR(__xludf.DUMMYFUNCTION("""COMPUTED_VALUE"""),"Krisnanto")</f>
        <v>Krisnanto</v>
      </c>
      <c r="C898" t="str">
        <f ca="1">IFERROR(__xludf.DUMMYFUNCTION("""COMPUTED_VALUE"""),"Devy@outlookx.com")</f>
        <v>Devy@outlookx.com</v>
      </c>
      <c r="D898" t="str">
        <f ca="1">IFERROR(__xludf.DUMMYFUNCTION("""COMPUTED_VALUE"""),"Madiun")</f>
        <v>Madiun</v>
      </c>
      <c r="E898" s="12">
        <f ca="1">IFERROR(__xludf.DUMMYFUNCTION("""COMPUTED_VALUE"""),42432)</f>
        <v>42432</v>
      </c>
      <c r="F898" t="str">
        <f ca="1">IFERROR(__xludf.DUMMYFUNCTION("""COMPUTED_VALUE"""),"KP0625AF")</f>
        <v>KP0625AF</v>
      </c>
      <c r="G898" s="11">
        <f ca="1">IFERROR(__xludf.DUMMYFUNCTION("""COMPUTED_VALUE"""),48000000)</f>
        <v>48000000</v>
      </c>
      <c r="H898">
        <f ca="1">IFERROR(__xludf.DUMMYFUNCTION("""COMPUTED_VALUE"""),36382)</f>
        <v>36382</v>
      </c>
      <c r="I898">
        <f ca="1">IFERROR(__xludf.DUMMYFUNCTION("""COMPUTED_VALUE"""),4)</f>
        <v>4</v>
      </c>
      <c r="J898" t="str">
        <f ca="1">IFERROR(__xludf.DUMMYFUNCTION("""COMPUTED_VALUE"""),"N/A")</f>
        <v>N/A</v>
      </c>
      <c r="K898" t="str">
        <f ca="1">IFERROR(__xludf.DUMMYFUNCTION("""COMPUTED_VALUE"""),"JENT")</f>
        <v>JENT</v>
      </c>
      <c r="L898" t="str">
        <f ca="1">IFERROR(__xludf.DUMMYFUNCTION("""COMPUTED_VALUE"""),"Y")</f>
        <v>Y</v>
      </c>
      <c r="M898" t="str">
        <f ca="1">IFERROR(__xludf.DUMMYFUNCTION("""COMPUTED_VALUE"""),"jc-123")</f>
        <v>jc-123</v>
      </c>
    </row>
    <row r="899" spans="1:13" ht="12.5" x14ac:dyDescent="0.25">
      <c r="A899" t="str">
        <f ca="1">IFERROR(__xludf.DUMMYFUNCTION("""COMPUTED_VALUE"""),"Janti")</f>
        <v>Janti</v>
      </c>
      <c r="B899" t="str">
        <f ca="1">IFERROR(__xludf.DUMMYFUNCTION("""COMPUTED_VALUE"""),"Soetoyo")</f>
        <v>Soetoyo</v>
      </c>
      <c r="C899" t="str">
        <f ca="1">IFERROR(__xludf.DUMMYFUNCTION("""COMPUTED_VALUE"""),"Soetoyo@gmailx.com")</f>
        <v>Soetoyo@gmailx.com</v>
      </c>
      <c r="D899" t="str">
        <f ca="1">IFERROR(__xludf.DUMMYFUNCTION("""COMPUTED_VALUE"""),"Purwokerto")</f>
        <v>Purwokerto</v>
      </c>
      <c r="E899" s="12">
        <f ca="1">IFERROR(__xludf.DUMMYFUNCTION("""COMPUTED_VALUE"""),42432)</f>
        <v>42432</v>
      </c>
      <c r="F899" t="str">
        <f ca="1">IFERROR(__xludf.DUMMYFUNCTION("""COMPUTED_VALUE"""),"KP0925SG")</f>
        <v>KP0925SG</v>
      </c>
      <c r="G899" s="11">
        <f ca="1">IFERROR(__xludf.DUMMYFUNCTION("""COMPUTED_VALUE"""),120000000)</f>
        <v>120000000</v>
      </c>
      <c r="H899">
        <f ca="1">IFERROR(__xludf.DUMMYFUNCTION("""COMPUTED_VALUE"""),35396)</f>
        <v>35396</v>
      </c>
      <c r="I899">
        <f ca="1">IFERROR(__xludf.DUMMYFUNCTION("""COMPUTED_VALUE"""),8)</f>
        <v>8</v>
      </c>
      <c r="J899" t="str">
        <f ca="1">IFERROR(__xludf.DUMMYFUNCTION("""COMPUTED_VALUE"""),"N/A")</f>
        <v>N/A</v>
      </c>
      <c r="K899" t="str">
        <f ca="1">IFERROR(__xludf.DUMMYFUNCTION("""COMPUTED_VALUE"""),"Cepat Kirim")</f>
        <v>Cepat Kirim</v>
      </c>
      <c r="L899" t="str">
        <f ca="1">IFERROR(__xludf.DUMMYFUNCTION("""COMPUTED_VALUE"""),"Y")</f>
        <v>Y</v>
      </c>
      <c r="M899" t="str">
        <f ca="1">IFERROR(__xludf.DUMMYFUNCTION("""COMPUTED_VALUE"""),"cx-410")</f>
        <v>cx-410</v>
      </c>
    </row>
    <row r="900" spans="1:13" ht="12.5" x14ac:dyDescent="0.25">
      <c r="A900" t="str">
        <f ca="1">IFERROR(__xludf.DUMMYFUNCTION("""COMPUTED_VALUE"""),"Hunarti")</f>
        <v>Hunarti</v>
      </c>
      <c r="B900" t="str">
        <f ca="1">IFERROR(__xludf.DUMMYFUNCTION("""COMPUTED_VALUE"""),"Amara")</f>
        <v>Amara</v>
      </c>
      <c r="C900" t="str">
        <f ca="1">IFERROR(__xludf.DUMMYFUNCTION("""COMPUTED_VALUE"""),"Hunarti@ymailx.com")</f>
        <v>Hunarti@ymailx.com</v>
      </c>
      <c r="D900" t="str">
        <f ca="1">IFERROR(__xludf.DUMMYFUNCTION("""COMPUTED_VALUE"""),"Makassar")</f>
        <v>Makassar</v>
      </c>
      <c r="E900" s="12">
        <f ca="1">IFERROR(__xludf.DUMMYFUNCTION("""COMPUTED_VALUE"""),42403)</f>
        <v>42403</v>
      </c>
      <c r="F900" t="str">
        <f ca="1">IFERROR(__xludf.DUMMYFUNCTION("""COMPUTED_VALUE"""),"KP0350CF")</f>
        <v>KP0350CF</v>
      </c>
      <c r="G900" s="11">
        <f ca="1">IFERROR(__xludf.DUMMYFUNCTION("""COMPUTED_VALUE"""),350000000)</f>
        <v>350000000</v>
      </c>
      <c r="H900">
        <f ca="1">IFERROR(__xludf.DUMMYFUNCTION("""COMPUTED_VALUE"""),36484)</f>
        <v>36484</v>
      </c>
      <c r="I900">
        <f ca="1">IFERROR(__xludf.DUMMYFUNCTION("""COMPUTED_VALUE"""),10)</f>
        <v>10</v>
      </c>
      <c r="J900" t="str">
        <f ca="1">IFERROR(__xludf.DUMMYFUNCTION("""COMPUTED_VALUE"""),"N/A")</f>
        <v>N/A</v>
      </c>
      <c r="K900" t="str">
        <f ca="1">IFERROR(__xludf.DUMMYFUNCTION("""COMPUTED_VALUE"""),"Wakanda Express")</f>
        <v>Wakanda Express</v>
      </c>
      <c r="L900" t="str">
        <f ca="1">IFERROR(__xludf.DUMMYFUNCTION("""COMPUTED_VALUE"""),"Y")</f>
        <v>Y</v>
      </c>
      <c r="M900" t="str">
        <f ca="1">IFERROR(__xludf.DUMMYFUNCTION("""COMPUTED_VALUE"""),"oh-290")</f>
        <v>oh-290</v>
      </c>
    </row>
    <row r="901" spans="1:13" ht="12.5" x14ac:dyDescent="0.25">
      <c r="A901" t="str">
        <f ca="1">IFERROR(__xludf.DUMMYFUNCTION("""COMPUTED_VALUE"""),"Sandrawati")</f>
        <v>Sandrawati</v>
      </c>
      <c r="B901" t="str">
        <f ca="1">IFERROR(__xludf.DUMMYFUNCTION("""COMPUTED_VALUE"""),"Hadiwardojo")</f>
        <v>Hadiwardojo</v>
      </c>
      <c r="C901" t="str">
        <f ca="1">IFERROR(__xludf.DUMMYFUNCTION("""COMPUTED_VALUE"""),"Hadiwardojo@ymailx.com")</f>
        <v>Hadiwardojo@ymailx.com</v>
      </c>
      <c r="D901" t="str">
        <f ca="1">IFERROR(__xludf.DUMMYFUNCTION("""COMPUTED_VALUE"""),"Madiun")</f>
        <v>Madiun</v>
      </c>
      <c r="E901" s="12">
        <f ca="1">IFERROR(__xludf.DUMMYFUNCTION("""COMPUTED_VALUE"""),42403)</f>
        <v>42403</v>
      </c>
      <c r="F901" t="str">
        <f ca="1">IFERROR(__xludf.DUMMYFUNCTION("""COMPUTED_VALUE"""),"KP0425CB")</f>
        <v>KP0425CB</v>
      </c>
      <c r="G901" s="11">
        <f ca="1">IFERROR(__xludf.DUMMYFUNCTION("""COMPUTED_VALUE"""),245250000)</f>
        <v>245250000</v>
      </c>
      <c r="H901">
        <f ca="1">IFERROR(__xludf.DUMMYFUNCTION("""COMPUTED_VALUE"""),35460)</f>
        <v>35460</v>
      </c>
      <c r="I901">
        <f ca="1">IFERROR(__xludf.DUMMYFUNCTION("""COMPUTED_VALUE"""),9)</f>
        <v>9</v>
      </c>
      <c r="J901" t="str">
        <f ca="1">IFERROR(__xludf.DUMMYFUNCTION("""COMPUTED_VALUE"""),"N/A")</f>
        <v>N/A</v>
      </c>
      <c r="K901" t="str">
        <f ca="1">IFERROR(__xludf.DUMMYFUNCTION("""COMPUTED_VALUE"""),"Pru Logistic")</f>
        <v>Pru Logistic</v>
      </c>
      <c r="L901" t="str">
        <f ca="1">IFERROR(__xludf.DUMMYFUNCTION("""COMPUTED_VALUE"""),"N")</f>
        <v>N</v>
      </c>
      <c r="M901" t="str">
        <f ca="1">IFERROR(__xludf.DUMMYFUNCTION("""COMPUTED_VALUE"""),"jz-123")</f>
        <v>jz-123</v>
      </c>
    </row>
    <row r="902" spans="1:13" ht="12.5" x14ac:dyDescent="0.25">
      <c r="A902" t="str">
        <f ca="1">IFERROR(__xludf.DUMMYFUNCTION("""COMPUTED_VALUE"""),"Charterhouse")</f>
        <v>Charterhouse</v>
      </c>
      <c r="B902" t="str">
        <f ca="1">IFERROR(__xludf.DUMMYFUNCTION("""COMPUTED_VALUE"""),"Thohir")</f>
        <v>Thohir</v>
      </c>
      <c r="C902" t="str">
        <f ca="1">IFERROR(__xludf.DUMMYFUNCTION("""COMPUTED_VALUE"""),"Thohir@outlookx.com")</f>
        <v>Thohir@outlookx.com</v>
      </c>
      <c r="D902" t="str">
        <f ca="1">IFERROR(__xludf.DUMMYFUNCTION("""COMPUTED_VALUE"""),"Pasuruan")</f>
        <v>Pasuruan</v>
      </c>
      <c r="E902" s="12">
        <f ca="1">IFERROR(__xludf.DUMMYFUNCTION("""COMPUTED_VALUE"""),42403)</f>
        <v>42403</v>
      </c>
      <c r="F902" t="str">
        <f ca="1">IFERROR(__xludf.DUMMYFUNCTION("""COMPUTED_VALUE"""),"KP0850FB")</f>
        <v>KP0850FB</v>
      </c>
      <c r="G902" s="11">
        <f ca="1">IFERROR(__xludf.DUMMYFUNCTION("""COMPUTED_VALUE"""),189000000)</f>
        <v>189000000</v>
      </c>
      <c r="H902">
        <f ca="1">IFERROR(__xludf.DUMMYFUNCTION("""COMPUTED_VALUE"""),36490)</f>
        <v>36490</v>
      </c>
      <c r="I902">
        <f ca="1">IFERROR(__xludf.DUMMYFUNCTION("""COMPUTED_VALUE"""),9)</f>
        <v>9</v>
      </c>
      <c r="J902">
        <f ca="1">IFERROR(__xludf.DUMMYFUNCTION("""COMPUTED_VALUE"""),4)</f>
        <v>4</v>
      </c>
      <c r="K902" t="str">
        <f ca="1">IFERROR(__xludf.DUMMYFUNCTION("""COMPUTED_VALUE"""),"JENT")</f>
        <v>JENT</v>
      </c>
      <c r="L902" t="str">
        <f ca="1">IFERROR(__xludf.DUMMYFUNCTION("""COMPUTED_VALUE"""),"Y")</f>
        <v>Y</v>
      </c>
      <c r="M902" t="str">
        <f ca="1">IFERROR(__xludf.DUMMYFUNCTION("""COMPUTED_VALUE"""),"dp-123")</f>
        <v>dp-123</v>
      </c>
    </row>
    <row r="903" spans="1:13" ht="12.5" x14ac:dyDescent="0.25">
      <c r="A903" t="str">
        <f ca="1">IFERROR(__xludf.DUMMYFUNCTION("""COMPUTED_VALUE"""),"Nanik")</f>
        <v>Nanik</v>
      </c>
      <c r="B903" t="str">
        <f ca="1">IFERROR(__xludf.DUMMYFUNCTION("""COMPUTED_VALUE"""),"Christy")</f>
        <v>Christy</v>
      </c>
      <c r="C903" t="str">
        <f ca="1">IFERROR(__xludf.DUMMYFUNCTION("""COMPUTED_VALUE"""),"Nanik@gmailx.com")</f>
        <v>Nanik@gmailx.com</v>
      </c>
      <c r="D903" t="str">
        <f ca="1">IFERROR(__xludf.DUMMYFUNCTION("""COMPUTED_VALUE"""),"Tanjungbalai")</f>
        <v>Tanjungbalai</v>
      </c>
      <c r="E903" s="12">
        <f ca="1">IFERROR(__xludf.DUMMYFUNCTION("""COMPUTED_VALUE"""),42372)</f>
        <v>42372</v>
      </c>
      <c r="F903" t="str">
        <f ca="1">IFERROR(__xludf.DUMMYFUNCTION("""COMPUTED_VALUE"""),"KP0625AF")</f>
        <v>KP0625AF</v>
      </c>
      <c r="G903" s="11">
        <f ca="1">IFERROR(__xludf.DUMMYFUNCTION("""COMPUTED_VALUE"""),24000000)</f>
        <v>24000000</v>
      </c>
      <c r="H903">
        <f ca="1">IFERROR(__xludf.DUMMYFUNCTION("""COMPUTED_VALUE"""),36379)</f>
        <v>36379</v>
      </c>
      <c r="I903">
        <f ca="1">IFERROR(__xludf.DUMMYFUNCTION("""COMPUTED_VALUE"""),2)</f>
        <v>2</v>
      </c>
      <c r="J903">
        <f ca="1">IFERROR(__xludf.DUMMYFUNCTION("""COMPUTED_VALUE"""),2)</f>
        <v>2</v>
      </c>
      <c r="K903" t="str">
        <f ca="1">IFERROR(__xludf.DUMMYFUNCTION("""COMPUTED_VALUE"""),"JENT")</f>
        <v>JENT</v>
      </c>
      <c r="L903" t="str">
        <f ca="1">IFERROR(__xludf.DUMMYFUNCTION("""COMPUTED_VALUE"""),"N")</f>
        <v>N</v>
      </c>
      <c r="M903" t="str">
        <f ca="1">IFERROR(__xludf.DUMMYFUNCTION("""COMPUTED_VALUE"""),"os-662")</f>
        <v>os-662</v>
      </c>
    </row>
    <row r="904" spans="1:13" ht="12.5" x14ac:dyDescent="0.25">
      <c r="A904" t="str">
        <f ca="1">IFERROR(__xludf.DUMMYFUNCTION("""COMPUTED_VALUE"""),"Ashwani")</f>
        <v>Ashwani</v>
      </c>
      <c r="B904" t="str">
        <f ca="1">IFERROR(__xludf.DUMMYFUNCTION("""COMPUTED_VALUE"""),"Patra")</f>
        <v>Patra</v>
      </c>
      <c r="C904" t="str">
        <f ca="1">IFERROR(__xludf.DUMMYFUNCTION("""COMPUTED_VALUE"""),"Patra@ymailx.com")</f>
        <v>Patra@ymailx.com</v>
      </c>
      <c r="D904" t="str">
        <f ca="1">IFERROR(__xludf.DUMMYFUNCTION("""COMPUTED_VALUE"""),"Sabang")</f>
        <v>Sabang</v>
      </c>
      <c r="E904" s="12">
        <f ca="1">IFERROR(__xludf.DUMMYFUNCTION("""COMPUTED_VALUE"""),42372)</f>
        <v>42372</v>
      </c>
      <c r="F904" t="str">
        <f ca="1">IFERROR(__xludf.DUMMYFUNCTION("""COMPUTED_VALUE"""),"KP0850FB")</f>
        <v>KP0850FB</v>
      </c>
      <c r="G904" s="11">
        <f ca="1">IFERROR(__xludf.DUMMYFUNCTION("""COMPUTED_VALUE"""),42000000)</f>
        <v>42000000</v>
      </c>
      <c r="H904">
        <f ca="1">IFERROR(__xludf.DUMMYFUNCTION("""COMPUTED_VALUE"""),36333)</f>
        <v>36333</v>
      </c>
      <c r="I904">
        <f ca="1">IFERROR(__xludf.DUMMYFUNCTION("""COMPUTED_VALUE"""),2)</f>
        <v>2</v>
      </c>
      <c r="J904" t="str">
        <f ca="1">IFERROR(__xludf.DUMMYFUNCTION("""COMPUTED_VALUE"""),"N/A")</f>
        <v>N/A</v>
      </c>
      <c r="K904" t="str">
        <f ca="1">IFERROR(__xludf.DUMMYFUNCTION("""COMPUTED_VALUE"""),"Swift Delivery")</f>
        <v>Swift Delivery</v>
      </c>
      <c r="L904" t="str">
        <f ca="1">IFERROR(__xludf.DUMMYFUNCTION("""COMPUTED_VALUE"""),"Y")</f>
        <v>Y</v>
      </c>
      <c r="M904" t="str">
        <f ca="1">IFERROR(__xludf.DUMMYFUNCTION("""COMPUTED_VALUE"""),"oy-101")</f>
        <v>oy-101</v>
      </c>
    </row>
    <row r="905" spans="1:13" ht="12.5" x14ac:dyDescent="0.25">
      <c r="A905" t="str">
        <f ca="1">IFERROR(__xludf.DUMMYFUNCTION("""COMPUTED_VALUE"""),"Michel")</f>
        <v>Michel</v>
      </c>
      <c r="B905" t="str">
        <f ca="1">IFERROR(__xludf.DUMMYFUNCTION("""COMPUTED_VALUE"""),"Ahimsa")</f>
        <v>Ahimsa</v>
      </c>
      <c r="C905" t="str">
        <f ca="1">IFERROR(__xludf.DUMMYFUNCTION("""COMPUTED_VALUE"""),"Michel@rocketmailx.com")</f>
        <v>Michel@rocketmailx.com</v>
      </c>
      <c r="D905" t="str">
        <f ca="1">IFERROR(__xludf.DUMMYFUNCTION("""COMPUTED_VALUE"""),"Malang")</f>
        <v>Malang</v>
      </c>
      <c r="E905" s="12">
        <f ca="1">IFERROR(__xludf.DUMMYFUNCTION("""COMPUTED_VALUE"""),42428)</f>
        <v>42428</v>
      </c>
      <c r="F905" t="str">
        <f ca="1">IFERROR(__xludf.DUMMYFUNCTION("""COMPUTED_VALUE"""),"KP0850FB")</f>
        <v>KP0850FB</v>
      </c>
      <c r="G905" s="11">
        <f ca="1">IFERROR(__xludf.DUMMYFUNCTION("""COMPUTED_VALUE"""),147000000)</f>
        <v>147000000</v>
      </c>
      <c r="H905">
        <f ca="1">IFERROR(__xludf.DUMMYFUNCTION("""COMPUTED_VALUE"""),35665)</f>
        <v>35665</v>
      </c>
      <c r="I905">
        <f ca="1">IFERROR(__xludf.DUMMYFUNCTION("""COMPUTED_VALUE"""),7)</f>
        <v>7</v>
      </c>
      <c r="J905" t="str">
        <f ca="1">IFERROR(__xludf.DUMMYFUNCTION("""COMPUTED_VALUE"""),"N/A")</f>
        <v>N/A</v>
      </c>
      <c r="K905" t="str">
        <f ca="1">IFERROR(__xludf.DUMMYFUNCTION("""COMPUTED_VALUE"""),"JENT")</f>
        <v>JENT</v>
      </c>
      <c r="L905" t="str">
        <f ca="1">IFERROR(__xludf.DUMMYFUNCTION("""COMPUTED_VALUE"""),"Y")</f>
        <v>Y</v>
      </c>
      <c r="M905" t="str">
        <f ca="1">IFERROR(__xludf.DUMMYFUNCTION("""COMPUTED_VALUE"""),"ja-123")</f>
        <v>ja-123</v>
      </c>
    </row>
    <row r="906" spans="1:13" ht="12.5" x14ac:dyDescent="0.25">
      <c r="A906" t="str">
        <f ca="1">IFERROR(__xludf.DUMMYFUNCTION("""COMPUTED_VALUE"""),"Agus")</f>
        <v>Agus</v>
      </c>
      <c r="B906" t="str">
        <f ca="1">IFERROR(__xludf.DUMMYFUNCTION("""COMPUTED_VALUE"""),"Nittyyudo")</f>
        <v>Nittyyudo</v>
      </c>
      <c r="C906" t="str">
        <f ca="1">IFERROR(__xludf.DUMMYFUNCTION("""COMPUTED_VALUE"""),"Agus@ymailx.com")</f>
        <v>Agus@ymailx.com</v>
      </c>
      <c r="D906" t="str">
        <f ca="1">IFERROR(__xludf.DUMMYFUNCTION("""COMPUTED_VALUE"""),"Jakarta Utara")</f>
        <v>Jakarta Utara</v>
      </c>
      <c r="E906" s="12">
        <f ca="1">IFERROR(__xludf.DUMMYFUNCTION("""COMPUTED_VALUE"""),42426)</f>
        <v>42426</v>
      </c>
      <c r="F906" t="str">
        <f ca="1">IFERROR(__xludf.DUMMYFUNCTION("""COMPUTED_VALUE"""),"KP0750AJ")</f>
        <v>KP0750AJ</v>
      </c>
      <c r="G906" s="11">
        <f ca="1">IFERROR(__xludf.DUMMYFUNCTION("""COMPUTED_VALUE"""),180000000)</f>
        <v>180000000</v>
      </c>
      <c r="H906">
        <f ca="1">IFERROR(__xludf.DUMMYFUNCTION("""COMPUTED_VALUE"""),35310)</f>
        <v>35310</v>
      </c>
      <c r="I906">
        <f ca="1">IFERROR(__xludf.DUMMYFUNCTION("""COMPUTED_VALUE"""),10)</f>
        <v>10</v>
      </c>
      <c r="J906" t="str">
        <f ca="1">IFERROR(__xludf.DUMMYFUNCTION("""COMPUTED_VALUE"""),"N/A")</f>
        <v>N/A</v>
      </c>
      <c r="K906" t="str">
        <f ca="1">IFERROR(__xludf.DUMMYFUNCTION("""COMPUTED_VALUE"""),"JENT")</f>
        <v>JENT</v>
      </c>
      <c r="L906" t="str">
        <f ca="1">IFERROR(__xludf.DUMMYFUNCTION("""COMPUTED_VALUE"""),"Y")</f>
        <v>Y</v>
      </c>
      <c r="M906" t="str">
        <f ca="1">IFERROR(__xludf.DUMMYFUNCTION("""COMPUTED_VALUE"""),"oa-333")</f>
        <v>oa-333</v>
      </c>
    </row>
    <row r="907" spans="1:13" ht="12.5" x14ac:dyDescent="0.25">
      <c r="A907" t="str">
        <f ca="1">IFERROR(__xludf.DUMMYFUNCTION("""COMPUTED_VALUE"""),"Dicky")</f>
        <v>Dicky</v>
      </c>
      <c r="B907" t="str">
        <f ca="1">IFERROR(__xludf.DUMMYFUNCTION("""COMPUTED_VALUE"""),"Brown")</f>
        <v>Brown</v>
      </c>
      <c r="C907" t="str">
        <f ca="1">IFERROR(__xludf.DUMMYFUNCTION("""COMPUTED_VALUE"""),"Dicky@livex.com")</f>
        <v>Dicky@livex.com</v>
      </c>
      <c r="D907" t="str">
        <f ca="1">IFERROR(__xludf.DUMMYFUNCTION("""COMPUTED_VALUE"""),"Meulaboh")</f>
        <v>Meulaboh</v>
      </c>
      <c r="E907" s="12">
        <f ca="1">IFERROR(__xludf.DUMMYFUNCTION("""COMPUTED_VALUE"""),42424)</f>
        <v>42424</v>
      </c>
      <c r="F907" t="str">
        <f ca="1">IFERROR(__xludf.DUMMYFUNCTION("""COMPUTED_VALUE"""),"KP0425CB")</f>
        <v>KP0425CB</v>
      </c>
      <c r="G907" s="11">
        <f ca="1">IFERROR(__xludf.DUMMYFUNCTION("""COMPUTED_VALUE"""),54500000)</f>
        <v>54500000</v>
      </c>
      <c r="H907">
        <f ca="1">IFERROR(__xludf.DUMMYFUNCTION("""COMPUTED_VALUE"""),35980)</f>
        <v>35980</v>
      </c>
      <c r="I907">
        <f ca="1">IFERROR(__xludf.DUMMYFUNCTION("""COMPUTED_VALUE"""),2)</f>
        <v>2</v>
      </c>
      <c r="J907">
        <f ca="1">IFERROR(__xludf.DUMMYFUNCTION("""COMPUTED_VALUE"""),4)</f>
        <v>4</v>
      </c>
      <c r="K907" t="str">
        <f ca="1">IFERROR(__xludf.DUMMYFUNCTION("""COMPUTED_VALUE"""),"Swift Delivery")</f>
        <v>Swift Delivery</v>
      </c>
      <c r="L907" t="str">
        <f ca="1">IFERROR(__xludf.DUMMYFUNCTION("""COMPUTED_VALUE"""),"Y")</f>
        <v>Y</v>
      </c>
      <c r="M907" t="str">
        <f ca="1">IFERROR(__xludf.DUMMYFUNCTION("""COMPUTED_VALUE"""),"qb-101")</f>
        <v>qb-101</v>
      </c>
    </row>
    <row r="908" spans="1:13" ht="12.5" x14ac:dyDescent="0.25">
      <c r="A908" t="str">
        <f ca="1">IFERROR(__xludf.DUMMYFUNCTION("""COMPUTED_VALUE"""),"Melisa")</f>
        <v>Melisa</v>
      </c>
      <c r="B908" t="str">
        <f ca="1">IFERROR(__xludf.DUMMYFUNCTION("""COMPUTED_VALUE"""),"Soedarjo")</f>
        <v>Soedarjo</v>
      </c>
      <c r="C908" t="str">
        <f ca="1">IFERROR(__xludf.DUMMYFUNCTION("""COMPUTED_VALUE"""),"Melisa@outlookx.com")</f>
        <v>Melisa@outlookx.com</v>
      </c>
      <c r="D908" t="str">
        <f ca="1">IFERROR(__xludf.DUMMYFUNCTION("""COMPUTED_VALUE"""),"Tidore Kepulauan")</f>
        <v>Tidore Kepulauan</v>
      </c>
      <c r="E908" s="12">
        <f ca="1">IFERROR(__xludf.DUMMYFUNCTION("""COMPUTED_VALUE"""),42424)</f>
        <v>42424</v>
      </c>
      <c r="F908" t="str">
        <f ca="1">IFERROR(__xludf.DUMMYFUNCTION("""COMPUTED_VALUE"""),"KP0750AJ")</f>
        <v>KP0750AJ</v>
      </c>
      <c r="G908" s="11">
        <f ca="1">IFERROR(__xludf.DUMMYFUNCTION("""COMPUTED_VALUE"""),144000000)</f>
        <v>144000000</v>
      </c>
      <c r="H908">
        <f ca="1">IFERROR(__xludf.DUMMYFUNCTION("""COMPUTED_VALUE"""),35010)</f>
        <v>35010</v>
      </c>
      <c r="I908">
        <f ca="1">IFERROR(__xludf.DUMMYFUNCTION("""COMPUTED_VALUE"""),8)</f>
        <v>8</v>
      </c>
      <c r="J908" t="str">
        <f ca="1">IFERROR(__xludf.DUMMYFUNCTION("""COMPUTED_VALUE"""),"N/A")</f>
        <v>N/A</v>
      </c>
      <c r="K908" t="str">
        <f ca="1">IFERROR(__xludf.DUMMYFUNCTION("""COMPUTED_VALUE"""),"Cepat Kirim")</f>
        <v>Cepat Kirim</v>
      </c>
      <c r="L908" t="str">
        <f ca="1">IFERROR(__xludf.DUMMYFUNCTION("""COMPUTED_VALUE"""),"Y")</f>
        <v>Y</v>
      </c>
      <c r="M908" t="str">
        <f ca="1">IFERROR(__xludf.DUMMYFUNCTION("""COMPUTED_VALUE"""),"zm-160")</f>
        <v>zm-160</v>
      </c>
    </row>
    <row r="909" spans="1:13" ht="12.5" x14ac:dyDescent="0.25">
      <c r="A909" t="str">
        <f ca="1">IFERROR(__xludf.DUMMYFUNCTION("""COMPUTED_VALUE"""),"Simon")</f>
        <v>Simon</v>
      </c>
      <c r="B909" t="str">
        <f ca="1">IFERROR(__xludf.DUMMYFUNCTION("""COMPUTED_VALUE"""),"Rudy")</f>
        <v>Rudy</v>
      </c>
      <c r="C909" t="str">
        <f ca="1">IFERROR(__xludf.DUMMYFUNCTION("""COMPUTED_VALUE"""),"Rudy@livex.com")</f>
        <v>Rudy@livex.com</v>
      </c>
      <c r="D909" t="str">
        <f ca="1">IFERROR(__xludf.DUMMYFUNCTION("""COMPUTED_VALUE"""),"Banjarmasin")</f>
        <v>Banjarmasin</v>
      </c>
      <c r="E909" s="12">
        <f ca="1">IFERROR(__xludf.DUMMYFUNCTION("""COMPUTED_VALUE"""),42423)</f>
        <v>42423</v>
      </c>
      <c r="F909" t="str">
        <f ca="1">IFERROR(__xludf.DUMMYFUNCTION("""COMPUTED_VALUE"""),"KP0850FB")</f>
        <v>KP0850FB</v>
      </c>
      <c r="G909" s="11">
        <f ca="1">IFERROR(__xludf.DUMMYFUNCTION("""COMPUTED_VALUE"""),105000000)</f>
        <v>105000000</v>
      </c>
      <c r="H909">
        <f ca="1">IFERROR(__xludf.DUMMYFUNCTION("""COMPUTED_VALUE"""),35570)</f>
        <v>35570</v>
      </c>
      <c r="I909">
        <f ca="1">IFERROR(__xludf.DUMMYFUNCTION("""COMPUTED_VALUE"""),5)</f>
        <v>5</v>
      </c>
      <c r="J909" t="str">
        <f ca="1">IFERROR(__xludf.DUMMYFUNCTION("""COMPUTED_VALUE"""),"N/A")</f>
        <v>N/A</v>
      </c>
      <c r="K909" t="str">
        <f ca="1">IFERROR(__xludf.DUMMYFUNCTION("""COMPUTED_VALUE"""),"Swift Delivery")</f>
        <v>Swift Delivery</v>
      </c>
      <c r="L909" t="str">
        <f ca="1">IFERROR(__xludf.DUMMYFUNCTION("""COMPUTED_VALUE"""),"N")</f>
        <v>N</v>
      </c>
      <c r="M909" t="str">
        <f ca="1">IFERROR(__xludf.DUMMYFUNCTION("""COMPUTED_VALUE"""),"xo-991")</f>
        <v>xo-991</v>
      </c>
    </row>
    <row r="910" spans="1:13" ht="12.5" x14ac:dyDescent="0.25">
      <c r="A910" t="str">
        <f ca="1">IFERROR(__xludf.DUMMYFUNCTION("""COMPUTED_VALUE"""),"John")</f>
        <v>John</v>
      </c>
      <c r="B910" t="str">
        <f ca="1">IFERROR(__xludf.DUMMYFUNCTION("""COMPUTED_VALUE"""),"Tulsidas")</f>
        <v>Tulsidas</v>
      </c>
      <c r="C910" t="str">
        <f ca="1">IFERROR(__xludf.DUMMYFUNCTION("""COMPUTED_VALUE"""),"Tulsidas@gmailx.com")</f>
        <v>Tulsidas@gmailx.com</v>
      </c>
      <c r="D910" t="str">
        <f ca="1">IFERROR(__xludf.DUMMYFUNCTION("""COMPUTED_VALUE"""),"Singkawang")</f>
        <v>Singkawang</v>
      </c>
      <c r="E910" s="12">
        <f ca="1">IFERROR(__xludf.DUMMYFUNCTION("""COMPUTED_VALUE"""),42422)</f>
        <v>42422</v>
      </c>
      <c r="F910" t="str">
        <f ca="1">IFERROR(__xludf.DUMMYFUNCTION("""COMPUTED_VALUE"""),"KP0850FB")</f>
        <v>KP0850FB</v>
      </c>
      <c r="G910" s="11">
        <f ca="1">IFERROR(__xludf.DUMMYFUNCTION("""COMPUTED_VALUE"""),63000000)</f>
        <v>63000000</v>
      </c>
      <c r="H910">
        <f ca="1">IFERROR(__xludf.DUMMYFUNCTION("""COMPUTED_VALUE"""),35791)</f>
        <v>35791</v>
      </c>
      <c r="I910">
        <f ca="1">IFERROR(__xludf.DUMMYFUNCTION("""COMPUTED_VALUE"""),3)</f>
        <v>3</v>
      </c>
      <c r="J910" t="str">
        <f ca="1">IFERROR(__xludf.DUMMYFUNCTION("""COMPUTED_VALUE"""),"N/A")</f>
        <v>N/A</v>
      </c>
      <c r="K910" t="str">
        <f ca="1">IFERROR(__xludf.DUMMYFUNCTION("""COMPUTED_VALUE"""),"Cepat Kirim")</f>
        <v>Cepat Kirim</v>
      </c>
      <c r="L910" t="str">
        <f ca="1">IFERROR(__xludf.DUMMYFUNCTION("""COMPUTED_VALUE"""),"Y")</f>
        <v>Y</v>
      </c>
      <c r="M910" t="str">
        <f ca="1">IFERROR(__xludf.DUMMYFUNCTION("""COMPUTED_VALUE"""),"ue-880")</f>
        <v>ue-880</v>
      </c>
    </row>
    <row r="911" spans="1:13" ht="12.5" x14ac:dyDescent="0.25">
      <c r="A911" t="str">
        <f ca="1">IFERROR(__xludf.DUMMYFUNCTION("""COMPUTED_VALUE"""),"Chandra")</f>
        <v>Chandra</v>
      </c>
      <c r="B911" t="str">
        <f ca="1">IFERROR(__xludf.DUMMYFUNCTION("""COMPUTED_VALUE"""),"Widyawimarta")</f>
        <v>Widyawimarta</v>
      </c>
      <c r="C911" t="str">
        <f ca="1">IFERROR(__xludf.DUMMYFUNCTION("""COMPUTED_VALUE"""),"Chandra@livex.com")</f>
        <v>Chandra@livex.com</v>
      </c>
      <c r="D911" t="str">
        <f ca="1">IFERROR(__xludf.DUMMYFUNCTION("""COMPUTED_VALUE"""),"Bima")</f>
        <v>Bima</v>
      </c>
      <c r="E911" s="12">
        <f ca="1">IFERROR(__xludf.DUMMYFUNCTION("""COMPUTED_VALUE"""),42422)</f>
        <v>42422</v>
      </c>
      <c r="F911" t="str">
        <f ca="1">IFERROR(__xludf.DUMMYFUNCTION("""COMPUTED_VALUE"""),"KP0150BH")</f>
        <v>KP0150BH</v>
      </c>
      <c r="G911" s="11">
        <f ca="1">IFERROR(__xludf.DUMMYFUNCTION("""COMPUTED_VALUE"""),81000000)</f>
        <v>81000000</v>
      </c>
      <c r="H911">
        <f ca="1">IFERROR(__xludf.DUMMYFUNCTION("""COMPUTED_VALUE"""),36000)</f>
        <v>36000</v>
      </c>
      <c r="I911">
        <f ca="1">IFERROR(__xludf.DUMMYFUNCTION("""COMPUTED_VALUE"""),3)</f>
        <v>3</v>
      </c>
      <c r="J911" t="str">
        <f ca="1">IFERROR(__xludf.DUMMYFUNCTION("""COMPUTED_VALUE"""),"N/A")</f>
        <v>N/A</v>
      </c>
      <c r="K911" t="str">
        <f ca="1">IFERROR(__xludf.DUMMYFUNCTION("""COMPUTED_VALUE"""),"Cepat Kirim")</f>
        <v>Cepat Kirim</v>
      </c>
      <c r="L911" t="str">
        <f ca="1">IFERROR(__xludf.DUMMYFUNCTION("""COMPUTED_VALUE"""),"Y")</f>
        <v>Y</v>
      </c>
      <c r="M911" t="str">
        <f ca="1">IFERROR(__xludf.DUMMYFUNCTION("""COMPUTED_VALUE"""),"sj-183")</f>
        <v>sj-183</v>
      </c>
    </row>
    <row r="912" spans="1:13" ht="12.5" x14ac:dyDescent="0.25">
      <c r="A912" t="str">
        <f ca="1">IFERROR(__xludf.DUMMYFUNCTION("""COMPUTED_VALUE"""),"Lydia")</f>
        <v>Lydia</v>
      </c>
      <c r="B912" t="str">
        <f ca="1">IFERROR(__xludf.DUMMYFUNCTION("""COMPUTED_VALUE"""),"Kumar")</f>
        <v>Kumar</v>
      </c>
      <c r="C912" t="str">
        <f ca="1">IFERROR(__xludf.DUMMYFUNCTION("""COMPUTED_VALUE"""),"Kumar@icloudx.com")</f>
        <v>Kumar@icloudx.com</v>
      </c>
      <c r="D912" t="str">
        <f ca="1">IFERROR(__xludf.DUMMYFUNCTION("""COMPUTED_VALUE"""),"Tebingtinggi")</f>
        <v>Tebingtinggi</v>
      </c>
      <c r="E912" s="12">
        <f ca="1">IFERROR(__xludf.DUMMYFUNCTION("""COMPUTED_VALUE"""),42421)</f>
        <v>42421</v>
      </c>
      <c r="F912" t="str">
        <f ca="1">IFERROR(__xludf.DUMMYFUNCTION("""COMPUTED_VALUE"""),"KP0625AF")</f>
        <v>KP0625AF</v>
      </c>
      <c r="G912" s="11">
        <f ca="1">IFERROR(__xludf.DUMMYFUNCTION("""COMPUTED_VALUE"""),84000000)</f>
        <v>84000000</v>
      </c>
      <c r="H912">
        <f ca="1">IFERROR(__xludf.DUMMYFUNCTION("""COMPUTED_VALUE"""),35130)</f>
        <v>35130</v>
      </c>
      <c r="I912">
        <f ca="1">IFERROR(__xludf.DUMMYFUNCTION("""COMPUTED_VALUE"""),7)</f>
        <v>7</v>
      </c>
      <c r="J912" t="str">
        <f ca="1">IFERROR(__xludf.DUMMYFUNCTION("""COMPUTED_VALUE"""),"N/A")</f>
        <v>N/A</v>
      </c>
      <c r="K912" t="str">
        <f ca="1">IFERROR(__xludf.DUMMYFUNCTION("""COMPUTED_VALUE"""),"JENT")</f>
        <v>JENT</v>
      </c>
      <c r="L912" t="str">
        <f ca="1">IFERROR(__xludf.DUMMYFUNCTION("""COMPUTED_VALUE"""),"Y")</f>
        <v>Y</v>
      </c>
      <c r="M912" t="str">
        <f ca="1">IFERROR(__xludf.DUMMYFUNCTION("""COMPUTED_VALUE"""),"hm-662")</f>
        <v>hm-662</v>
      </c>
    </row>
    <row r="913" spans="1:13" ht="12.5" x14ac:dyDescent="0.25">
      <c r="A913" t="str">
        <f ca="1">IFERROR(__xludf.DUMMYFUNCTION("""COMPUTED_VALUE"""),"Jusak")</f>
        <v>Jusak</v>
      </c>
      <c r="B913" t="str">
        <f ca="1">IFERROR(__xludf.DUMMYFUNCTION("""COMPUTED_VALUE"""),"Kawano")</f>
        <v>Kawano</v>
      </c>
      <c r="C913" t="str">
        <f ca="1">IFERROR(__xludf.DUMMYFUNCTION("""COMPUTED_VALUE"""),"Kawano@gmailx.com")</f>
        <v>Kawano@gmailx.com</v>
      </c>
      <c r="D913" t="str">
        <f ca="1">IFERROR(__xludf.DUMMYFUNCTION("""COMPUTED_VALUE"""),"Cirebon")</f>
        <v>Cirebon</v>
      </c>
      <c r="E913" s="12">
        <f ca="1">IFERROR(__xludf.DUMMYFUNCTION("""COMPUTED_VALUE"""),42419)</f>
        <v>42419</v>
      </c>
      <c r="F913" t="str">
        <f ca="1">IFERROR(__xludf.DUMMYFUNCTION("""COMPUTED_VALUE"""),"KP0425CB")</f>
        <v>KP0425CB</v>
      </c>
      <c r="G913" s="11">
        <f ca="1">IFERROR(__xludf.DUMMYFUNCTION("""COMPUTED_VALUE"""),272500000)</f>
        <v>272500000</v>
      </c>
      <c r="H913">
        <f ca="1">IFERROR(__xludf.DUMMYFUNCTION("""COMPUTED_VALUE"""),36874)</f>
        <v>36874</v>
      </c>
      <c r="I913">
        <f ca="1">IFERROR(__xludf.DUMMYFUNCTION("""COMPUTED_VALUE"""),10)</f>
        <v>10</v>
      </c>
      <c r="J913">
        <f ca="1">IFERROR(__xludf.DUMMYFUNCTION("""COMPUTED_VALUE"""),1)</f>
        <v>1</v>
      </c>
      <c r="K913" t="str">
        <f ca="1">IFERROR(__xludf.DUMMYFUNCTION("""COMPUTED_VALUE"""),"JENT")</f>
        <v>JENT</v>
      </c>
      <c r="L913" t="str">
        <f ca="1">IFERROR(__xludf.DUMMYFUNCTION("""COMPUTED_VALUE"""),"Y")</f>
        <v>Y</v>
      </c>
      <c r="M913" t="str">
        <f ca="1">IFERROR(__xludf.DUMMYFUNCTION("""COMPUTED_VALUE"""),"uu-409")</f>
        <v>uu-409</v>
      </c>
    </row>
    <row r="914" spans="1:13" ht="12.5" x14ac:dyDescent="0.25">
      <c r="A914" t="str">
        <f ca="1">IFERROR(__xludf.DUMMYFUNCTION("""COMPUTED_VALUE"""),"Hansen")</f>
        <v>Hansen</v>
      </c>
      <c r="B914" t="str">
        <f ca="1">IFERROR(__xludf.DUMMYFUNCTION("""COMPUTED_VALUE"""),"Wiria")</f>
        <v>Wiria</v>
      </c>
      <c r="C914" t="str">
        <f ca="1">IFERROR(__xludf.DUMMYFUNCTION("""COMPUTED_VALUE"""),"Wiria@gmailx.com")</f>
        <v>Wiria@gmailx.com</v>
      </c>
      <c r="D914" t="str">
        <f ca="1">IFERROR(__xludf.DUMMYFUNCTION("""COMPUTED_VALUE"""),"Bandar Lampung")</f>
        <v>Bandar Lampung</v>
      </c>
      <c r="E914" s="12">
        <f ca="1">IFERROR(__xludf.DUMMYFUNCTION("""COMPUTED_VALUE"""),42415)</f>
        <v>42415</v>
      </c>
      <c r="F914" t="str">
        <f ca="1">IFERROR(__xludf.DUMMYFUNCTION("""COMPUTED_VALUE"""),"KP0850FB")</f>
        <v>KP0850FB</v>
      </c>
      <c r="G914" s="11">
        <f ca="1">IFERROR(__xludf.DUMMYFUNCTION("""COMPUTED_VALUE"""),84000000)</f>
        <v>84000000</v>
      </c>
      <c r="H914">
        <f ca="1">IFERROR(__xludf.DUMMYFUNCTION("""COMPUTED_VALUE"""),36754)</f>
        <v>36754</v>
      </c>
      <c r="I914">
        <f ca="1">IFERROR(__xludf.DUMMYFUNCTION("""COMPUTED_VALUE"""),4)</f>
        <v>4</v>
      </c>
      <c r="J914" t="str">
        <f ca="1">IFERROR(__xludf.DUMMYFUNCTION("""COMPUTED_VALUE"""),"N/A")</f>
        <v>N/A</v>
      </c>
      <c r="K914" t="str">
        <f ca="1">IFERROR(__xludf.DUMMYFUNCTION("""COMPUTED_VALUE"""),"Cepat Kirim")</f>
        <v>Cepat Kirim</v>
      </c>
      <c r="L914" t="str">
        <f ca="1">IFERROR(__xludf.DUMMYFUNCTION("""COMPUTED_VALUE"""),"Y")</f>
        <v>Y</v>
      </c>
      <c r="M914" t="str">
        <f ca="1">IFERROR(__xludf.DUMMYFUNCTION("""COMPUTED_VALUE"""),"xc-150")</f>
        <v>xc-150</v>
      </c>
    </row>
    <row r="915" spans="1:13" ht="12.5" x14ac:dyDescent="0.25">
      <c r="A915" t="str">
        <f ca="1">IFERROR(__xludf.DUMMYFUNCTION("""COMPUTED_VALUE"""),"Sefrie")</f>
        <v>Sefrie</v>
      </c>
      <c r="B915" t="str">
        <f ca="1">IFERROR(__xludf.DUMMYFUNCTION("""COMPUTED_VALUE"""),"Lawanto")</f>
        <v>Lawanto</v>
      </c>
      <c r="C915" t="str">
        <f ca="1">IFERROR(__xludf.DUMMYFUNCTION("""COMPUTED_VALUE"""),"Sefrie@ymailx.com")</f>
        <v>Sefrie@ymailx.com</v>
      </c>
      <c r="D915" t="str">
        <f ca="1">IFERROR(__xludf.DUMMYFUNCTION("""COMPUTED_VALUE"""),"Tidore Kepulauan")</f>
        <v>Tidore Kepulauan</v>
      </c>
      <c r="E915" s="12">
        <f ca="1">IFERROR(__xludf.DUMMYFUNCTION("""COMPUTED_VALUE"""),42414)</f>
        <v>42414</v>
      </c>
      <c r="F915" t="str">
        <f ca="1">IFERROR(__xludf.DUMMYFUNCTION("""COMPUTED_VALUE"""),"KP0925SG")</f>
        <v>KP0925SG</v>
      </c>
      <c r="G915" s="11">
        <f ca="1">IFERROR(__xludf.DUMMYFUNCTION("""COMPUTED_VALUE"""),150000000)</f>
        <v>150000000</v>
      </c>
      <c r="H915">
        <f ca="1">IFERROR(__xludf.DUMMYFUNCTION("""COMPUTED_VALUE"""),35932)</f>
        <v>35932</v>
      </c>
      <c r="I915">
        <f ca="1">IFERROR(__xludf.DUMMYFUNCTION("""COMPUTED_VALUE"""),10)</f>
        <v>10</v>
      </c>
      <c r="J915" t="str">
        <f ca="1">IFERROR(__xludf.DUMMYFUNCTION("""COMPUTED_VALUE"""),"N/A")</f>
        <v>N/A</v>
      </c>
      <c r="K915" t="str">
        <f ca="1">IFERROR(__xludf.DUMMYFUNCTION("""COMPUTED_VALUE"""),"Swift Delivery")</f>
        <v>Swift Delivery</v>
      </c>
      <c r="L915" t="str">
        <f ca="1">IFERROR(__xludf.DUMMYFUNCTION("""COMPUTED_VALUE"""),"N")</f>
        <v>N</v>
      </c>
      <c r="M915" t="str">
        <f ca="1">IFERROR(__xludf.DUMMYFUNCTION("""COMPUTED_VALUE"""),"wh-160")</f>
        <v>wh-160</v>
      </c>
    </row>
    <row r="916" spans="1:13" ht="12.5" x14ac:dyDescent="0.25">
      <c r="A916" t="str">
        <f ca="1">IFERROR(__xludf.DUMMYFUNCTION("""COMPUTED_VALUE"""),"Eddyanto")</f>
        <v>Eddyanto</v>
      </c>
      <c r="B916" t="str">
        <f ca="1">IFERROR(__xludf.DUMMYFUNCTION("""COMPUTED_VALUE"""),"Denny")</f>
        <v>Denny</v>
      </c>
      <c r="C916" t="str">
        <f ca="1">IFERROR(__xludf.DUMMYFUNCTION("""COMPUTED_VALUE"""),"Denny@ymailx.com")</f>
        <v>Denny@ymailx.com</v>
      </c>
      <c r="D916" t="str">
        <f ca="1">IFERROR(__xludf.DUMMYFUNCTION("""COMPUTED_VALUE"""),"Bau-Bau")</f>
        <v>Bau-Bau</v>
      </c>
      <c r="E916" s="12">
        <f ca="1">IFERROR(__xludf.DUMMYFUNCTION("""COMPUTED_VALUE"""),42413)</f>
        <v>42413</v>
      </c>
      <c r="F916" t="str">
        <f ca="1">IFERROR(__xludf.DUMMYFUNCTION("""COMPUTED_VALUE"""),"KP0350CF")</f>
        <v>KP0350CF</v>
      </c>
      <c r="G916" s="11">
        <f ca="1">IFERROR(__xludf.DUMMYFUNCTION("""COMPUTED_VALUE"""),350000000)</f>
        <v>350000000</v>
      </c>
      <c r="H916">
        <f ca="1">IFERROR(__xludf.DUMMYFUNCTION("""COMPUTED_VALUE"""),36684)</f>
        <v>36684</v>
      </c>
      <c r="I916">
        <f ca="1">IFERROR(__xludf.DUMMYFUNCTION("""COMPUTED_VALUE"""),10)</f>
        <v>10</v>
      </c>
      <c r="J916" t="str">
        <f ca="1">IFERROR(__xludf.DUMMYFUNCTION("""COMPUTED_VALUE"""),"N/A")</f>
        <v>N/A</v>
      </c>
      <c r="K916" t="str">
        <f ca="1">IFERROR(__xludf.DUMMYFUNCTION("""COMPUTED_VALUE"""),"Swift Delivery")</f>
        <v>Swift Delivery</v>
      </c>
      <c r="L916" t="str">
        <f ca="1">IFERROR(__xludf.DUMMYFUNCTION("""COMPUTED_VALUE"""),"Y")</f>
        <v>Y</v>
      </c>
      <c r="M916" t="str">
        <f ca="1">IFERROR(__xludf.DUMMYFUNCTION("""COMPUTED_VALUE"""),"nt-250")</f>
        <v>nt-250</v>
      </c>
    </row>
    <row r="917" spans="1:13" ht="12.5" x14ac:dyDescent="0.25">
      <c r="A917" t="str">
        <f ca="1">IFERROR(__xludf.DUMMYFUNCTION("""COMPUTED_VALUE"""),"Steven")</f>
        <v>Steven</v>
      </c>
      <c r="B917" t="str">
        <f ca="1">IFERROR(__xludf.DUMMYFUNCTION("""COMPUTED_VALUE"""),"Widjata")</f>
        <v>Widjata</v>
      </c>
      <c r="C917" t="str">
        <f ca="1">IFERROR(__xludf.DUMMYFUNCTION("""COMPUTED_VALUE"""),"Steven@icloudx.com")</f>
        <v>Steven@icloudx.com</v>
      </c>
      <c r="D917" t="str">
        <f ca="1">IFERROR(__xludf.DUMMYFUNCTION("""COMPUTED_VALUE"""),"Banjarmasin")</f>
        <v>Banjarmasin</v>
      </c>
      <c r="E917" s="12">
        <f ca="1">IFERROR(__xludf.DUMMYFUNCTION("""COMPUTED_VALUE"""),42413)</f>
        <v>42413</v>
      </c>
      <c r="F917" t="str">
        <f ca="1">IFERROR(__xludf.DUMMYFUNCTION("""COMPUTED_VALUE"""),"KP0750AJ")</f>
        <v>KP0750AJ</v>
      </c>
      <c r="G917" s="11">
        <f ca="1">IFERROR(__xludf.DUMMYFUNCTION("""COMPUTED_VALUE"""),54000000)</f>
        <v>54000000</v>
      </c>
      <c r="H917">
        <f ca="1">IFERROR(__xludf.DUMMYFUNCTION("""COMPUTED_VALUE"""),36176)</f>
        <v>36176</v>
      </c>
      <c r="I917">
        <f ca="1">IFERROR(__xludf.DUMMYFUNCTION("""COMPUTED_VALUE"""),3)</f>
        <v>3</v>
      </c>
      <c r="J917">
        <f ca="1">IFERROR(__xludf.DUMMYFUNCTION("""COMPUTED_VALUE"""),3)</f>
        <v>3</v>
      </c>
      <c r="K917" t="str">
        <f ca="1">IFERROR(__xludf.DUMMYFUNCTION("""COMPUTED_VALUE"""),"Cepat Kirim")</f>
        <v>Cepat Kirim</v>
      </c>
      <c r="L917" t="str">
        <f ca="1">IFERROR(__xludf.DUMMYFUNCTION("""COMPUTED_VALUE"""),"N")</f>
        <v>N</v>
      </c>
      <c r="M917" t="str">
        <f ca="1">IFERROR(__xludf.DUMMYFUNCTION("""COMPUTED_VALUE"""),"js-991")</f>
        <v>js-991</v>
      </c>
    </row>
    <row r="918" spans="1:13" ht="12.5" x14ac:dyDescent="0.25">
      <c r="A918" t="str">
        <f ca="1">IFERROR(__xludf.DUMMYFUNCTION("""COMPUTED_VALUE"""),"Hans")</f>
        <v>Hans</v>
      </c>
      <c r="B918" t="str">
        <f ca="1">IFERROR(__xludf.DUMMYFUNCTION("""COMPUTED_VALUE"""),"Handoko")</f>
        <v>Handoko</v>
      </c>
      <c r="C918" t="str">
        <f ca="1">IFERROR(__xludf.DUMMYFUNCTION("""COMPUTED_VALUE"""),"Handoko@gmailx.com")</f>
        <v>Handoko@gmailx.com</v>
      </c>
      <c r="D918" t="str">
        <f ca="1">IFERROR(__xludf.DUMMYFUNCTION("""COMPUTED_VALUE"""),"Tegal")</f>
        <v>Tegal</v>
      </c>
      <c r="E918" s="12">
        <f ca="1">IFERROR(__xludf.DUMMYFUNCTION("""COMPUTED_VALUE"""),42676)</f>
        <v>42676</v>
      </c>
      <c r="F918" t="str">
        <f ca="1">IFERROR(__xludf.DUMMYFUNCTION("""COMPUTED_VALUE"""),"KP0750AJ")</f>
        <v>KP0750AJ</v>
      </c>
      <c r="G918" s="11">
        <f ca="1">IFERROR(__xludf.DUMMYFUNCTION("""COMPUTED_VALUE"""),90000000)</f>
        <v>90000000</v>
      </c>
      <c r="H918">
        <f ca="1">IFERROR(__xludf.DUMMYFUNCTION("""COMPUTED_VALUE"""),35463)</f>
        <v>35463</v>
      </c>
      <c r="I918">
        <f ca="1">IFERROR(__xludf.DUMMYFUNCTION("""COMPUTED_VALUE"""),5)</f>
        <v>5</v>
      </c>
      <c r="J918" t="str">
        <f ca="1">IFERROR(__xludf.DUMMYFUNCTION("""COMPUTED_VALUE"""),"N/A")</f>
        <v>N/A</v>
      </c>
      <c r="K918" t="str">
        <f ca="1">IFERROR(__xludf.DUMMYFUNCTION("""COMPUTED_VALUE"""),"JENT")</f>
        <v>JENT</v>
      </c>
      <c r="L918" t="str">
        <f ca="1">IFERROR(__xludf.DUMMYFUNCTION("""COMPUTED_VALUE"""),"Y")</f>
        <v>Y</v>
      </c>
      <c r="M918" t="str">
        <f ca="1">IFERROR(__xludf.DUMMYFUNCTION("""COMPUTED_VALUE"""),"be-410")</f>
        <v>be-410</v>
      </c>
    </row>
    <row r="919" spans="1:13" ht="12.5" x14ac:dyDescent="0.25">
      <c r="A919" t="str">
        <f ca="1">IFERROR(__xludf.DUMMYFUNCTION("""COMPUTED_VALUE"""),"Josef")</f>
        <v>Josef</v>
      </c>
      <c r="B919" t="str">
        <f ca="1">IFERROR(__xludf.DUMMYFUNCTION("""COMPUTED_VALUE"""),"Williem")</f>
        <v>Williem</v>
      </c>
      <c r="C919" t="str">
        <f ca="1">IFERROR(__xludf.DUMMYFUNCTION("""COMPUTED_VALUE"""),"Williem@ymailx.com")</f>
        <v>Williem@ymailx.com</v>
      </c>
      <c r="D919" t="str">
        <f ca="1">IFERROR(__xludf.DUMMYFUNCTION("""COMPUTED_VALUE"""),"Solok")</f>
        <v>Solok</v>
      </c>
      <c r="E919" s="12">
        <f ca="1">IFERROR(__xludf.DUMMYFUNCTION("""COMPUTED_VALUE"""),42553)</f>
        <v>42553</v>
      </c>
      <c r="F919" t="str">
        <f ca="1">IFERROR(__xludf.DUMMYFUNCTION("""COMPUTED_VALUE"""),"KP0925SG")</f>
        <v>KP0925SG</v>
      </c>
      <c r="G919" s="11">
        <f ca="1">IFERROR(__xludf.DUMMYFUNCTION("""COMPUTED_VALUE"""),120000000)</f>
        <v>120000000</v>
      </c>
      <c r="H919">
        <f ca="1">IFERROR(__xludf.DUMMYFUNCTION("""COMPUTED_VALUE"""),36345)</f>
        <v>36345</v>
      </c>
      <c r="I919">
        <f ca="1">IFERROR(__xludf.DUMMYFUNCTION("""COMPUTED_VALUE"""),8)</f>
        <v>8</v>
      </c>
      <c r="J919" t="str">
        <f ca="1">IFERROR(__xludf.DUMMYFUNCTION("""COMPUTED_VALUE"""),"N/A")</f>
        <v>N/A</v>
      </c>
      <c r="K919" t="str">
        <f ca="1">IFERROR(__xludf.DUMMYFUNCTION("""COMPUTED_VALUE"""),"Pru Logistic")</f>
        <v>Pru Logistic</v>
      </c>
      <c r="L919" t="str">
        <f ca="1">IFERROR(__xludf.DUMMYFUNCTION("""COMPUTED_VALUE"""),"Y")</f>
        <v>Y</v>
      </c>
      <c r="M919" t="str">
        <f ca="1">IFERROR(__xludf.DUMMYFUNCTION("""COMPUTED_VALUE"""),"yr-559")</f>
        <v>yr-559</v>
      </c>
    </row>
    <row r="920" spans="1:13" ht="12.5" x14ac:dyDescent="0.25">
      <c r="A920" t="str">
        <f ca="1">IFERROR(__xludf.DUMMYFUNCTION("""COMPUTED_VALUE"""),"Su")</f>
        <v>Su</v>
      </c>
      <c r="B920" t="str">
        <f ca="1">IFERROR(__xludf.DUMMYFUNCTION("""COMPUTED_VALUE"""),"Mohanlal")</f>
        <v>Mohanlal</v>
      </c>
      <c r="C920" t="str">
        <f ca="1">IFERROR(__xludf.DUMMYFUNCTION("""COMPUTED_VALUE"""),"Su@icloudx.com")</f>
        <v>Su@icloudx.com</v>
      </c>
      <c r="D920" t="str">
        <f ca="1">IFERROR(__xludf.DUMMYFUNCTION("""COMPUTED_VALUE"""),"Tanjungbalai")</f>
        <v>Tanjungbalai</v>
      </c>
      <c r="E920" s="12">
        <f ca="1">IFERROR(__xludf.DUMMYFUNCTION("""COMPUTED_VALUE"""),42553)</f>
        <v>42553</v>
      </c>
      <c r="F920" t="str">
        <f ca="1">IFERROR(__xludf.DUMMYFUNCTION("""COMPUTED_VALUE"""),"KP0425CB")</f>
        <v>KP0425CB</v>
      </c>
      <c r="G920" s="11">
        <f ca="1">IFERROR(__xludf.DUMMYFUNCTION("""COMPUTED_VALUE"""),109000000)</f>
        <v>109000000</v>
      </c>
      <c r="H920">
        <f ca="1">IFERROR(__xludf.DUMMYFUNCTION("""COMPUTED_VALUE"""),36137)</f>
        <v>36137</v>
      </c>
      <c r="I920">
        <f ca="1">IFERROR(__xludf.DUMMYFUNCTION("""COMPUTED_VALUE"""),4)</f>
        <v>4</v>
      </c>
      <c r="J920">
        <f ca="1">IFERROR(__xludf.DUMMYFUNCTION("""COMPUTED_VALUE"""),5)</f>
        <v>5</v>
      </c>
      <c r="K920" t="str">
        <f ca="1">IFERROR(__xludf.DUMMYFUNCTION("""COMPUTED_VALUE"""),"Wakanda Express")</f>
        <v>Wakanda Express</v>
      </c>
      <c r="L920" t="str">
        <f ca="1">IFERROR(__xludf.DUMMYFUNCTION("""COMPUTED_VALUE"""),"N")</f>
        <v>N</v>
      </c>
      <c r="M920" t="str">
        <f ca="1">IFERROR(__xludf.DUMMYFUNCTION("""COMPUTED_VALUE"""),"lu-662")</f>
        <v>lu-662</v>
      </c>
    </row>
    <row r="921" spans="1:13" ht="12.5" x14ac:dyDescent="0.25">
      <c r="A921" t="str">
        <f ca="1">IFERROR(__xludf.DUMMYFUNCTION("""COMPUTED_VALUE"""),"Raja")</f>
        <v>Raja</v>
      </c>
      <c r="B921" t="str">
        <f ca="1">IFERROR(__xludf.DUMMYFUNCTION("""COMPUTED_VALUE"""),"Noegroho")</f>
        <v>Noegroho</v>
      </c>
      <c r="C921" t="str">
        <f ca="1">IFERROR(__xludf.DUMMYFUNCTION("""COMPUTED_VALUE"""),"Raja@icloudx.com")</f>
        <v>Raja@icloudx.com</v>
      </c>
      <c r="D921" t="str">
        <f ca="1">IFERROR(__xludf.DUMMYFUNCTION("""COMPUTED_VALUE"""),"Pekalongan")</f>
        <v>Pekalongan</v>
      </c>
      <c r="E921" s="12">
        <f ca="1">IFERROR(__xludf.DUMMYFUNCTION("""COMPUTED_VALUE"""),42492)</f>
        <v>42492</v>
      </c>
      <c r="F921" t="str">
        <f ca="1">IFERROR(__xludf.DUMMYFUNCTION("""COMPUTED_VALUE"""),"KP0750AJ")</f>
        <v>KP0750AJ</v>
      </c>
      <c r="G921" s="11">
        <f ca="1">IFERROR(__xludf.DUMMYFUNCTION("""COMPUTED_VALUE"""),54000000)</f>
        <v>54000000</v>
      </c>
      <c r="H921">
        <f ca="1">IFERROR(__xludf.DUMMYFUNCTION("""COMPUTED_VALUE"""),36205)</f>
        <v>36205</v>
      </c>
      <c r="I921">
        <f ca="1">IFERROR(__xludf.DUMMYFUNCTION("""COMPUTED_VALUE"""),3)</f>
        <v>3</v>
      </c>
      <c r="J921" t="str">
        <f ca="1">IFERROR(__xludf.DUMMYFUNCTION("""COMPUTED_VALUE"""),"N/A")</f>
        <v>N/A</v>
      </c>
      <c r="K921" t="str">
        <f ca="1">IFERROR(__xludf.DUMMYFUNCTION("""COMPUTED_VALUE"""),"Swift Delivery")</f>
        <v>Swift Delivery</v>
      </c>
      <c r="L921" t="str">
        <f ca="1">IFERROR(__xludf.DUMMYFUNCTION("""COMPUTED_VALUE"""),"N")</f>
        <v>N</v>
      </c>
      <c r="M921" t="str">
        <f ca="1">IFERROR(__xludf.DUMMYFUNCTION("""COMPUTED_VALUE"""),"rv-410")</f>
        <v>rv-410</v>
      </c>
    </row>
    <row r="922" spans="1:13" ht="12.5" x14ac:dyDescent="0.25">
      <c r="A922" t="str">
        <f ca="1">IFERROR(__xludf.DUMMYFUNCTION("""COMPUTED_VALUE"""),"Amrullah")</f>
        <v>Amrullah</v>
      </c>
      <c r="B922" t="str">
        <f ca="1">IFERROR(__xludf.DUMMYFUNCTION("""COMPUTED_VALUE"""),"William")</f>
        <v>William</v>
      </c>
      <c r="C922" t="str">
        <f ca="1">IFERROR(__xludf.DUMMYFUNCTION("""COMPUTED_VALUE"""),"William@livex.com")</f>
        <v>William@livex.com</v>
      </c>
      <c r="D922" t="str">
        <f ca="1">IFERROR(__xludf.DUMMYFUNCTION("""COMPUTED_VALUE"""),"Medan")</f>
        <v>Medan</v>
      </c>
      <c r="E922" s="12">
        <f ca="1">IFERROR(__xludf.DUMMYFUNCTION("""COMPUTED_VALUE"""),42431)</f>
        <v>42431</v>
      </c>
      <c r="F922" t="str">
        <f ca="1">IFERROR(__xludf.DUMMYFUNCTION("""COMPUTED_VALUE"""),"KP0225BB")</f>
        <v>KP0225BB</v>
      </c>
      <c r="G922" s="11">
        <f ca="1">IFERROR(__xludf.DUMMYFUNCTION("""COMPUTED_VALUE"""),60000000)</f>
        <v>60000000</v>
      </c>
      <c r="H922">
        <f ca="1">IFERROR(__xludf.DUMMYFUNCTION("""COMPUTED_VALUE"""),36830)</f>
        <v>36830</v>
      </c>
      <c r="I922">
        <f ca="1">IFERROR(__xludf.DUMMYFUNCTION("""COMPUTED_VALUE"""),6)</f>
        <v>6</v>
      </c>
      <c r="J922" t="str">
        <f ca="1">IFERROR(__xludf.DUMMYFUNCTION("""COMPUTED_VALUE"""),"N/A")</f>
        <v>N/A</v>
      </c>
      <c r="K922" t="str">
        <f ca="1">IFERROR(__xludf.DUMMYFUNCTION("""COMPUTED_VALUE"""),"Swift Delivery")</f>
        <v>Swift Delivery</v>
      </c>
      <c r="L922" t="str">
        <f ca="1">IFERROR(__xludf.DUMMYFUNCTION("""COMPUTED_VALUE"""),"Y")</f>
        <v>Y</v>
      </c>
      <c r="M922" t="str">
        <f ca="1">IFERROR(__xludf.DUMMYFUNCTION("""COMPUTED_VALUE"""),"os-662")</f>
        <v>os-662</v>
      </c>
    </row>
    <row r="923" spans="1:13" ht="12.5" x14ac:dyDescent="0.25">
      <c r="A923" t="str">
        <f ca="1">IFERROR(__xludf.DUMMYFUNCTION("""COMPUTED_VALUE"""),"Djatmiko")</f>
        <v>Djatmiko</v>
      </c>
      <c r="B923" t="str">
        <f ca="1">IFERROR(__xludf.DUMMYFUNCTION("""COMPUTED_VALUE"""),"Idris")</f>
        <v>Idris</v>
      </c>
      <c r="C923" t="str">
        <f ca="1">IFERROR(__xludf.DUMMYFUNCTION("""COMPUTED_VALUE"""),"Idris@outlookx.com")</f>
        <v>Idris@outlookx.com</v>
      </c>
      <c r="D923" t="str">
        <f ca="1">IFERROR(__xludf.DUMMYFUNCTION("""COMPUTED_VALUE"""),"Samarinda")</f>
        <v>Samarinda</v>
      </c>
      <c r="E923" s="12">
        <f ca="1">IFERROR(__xludf.DUMMYFUNCTION("""COMPUTED_VALUE"""),42402)</f>
        <v>42402</v>
      </c>
      <c r="F923" t="str">
        <f ca="1">IFERROR(__xludf.DUMMYFUNCTION("""COMPUTED_VALUE"""),"KP0850FB")</f>
        <v>KP0850FB</v>
      </c>
      <c r="G923" s="11">
        <f ca="1">IFERROR(__xludf.DUMMYFUNCTION("""COMPUTED_VALUE"""),84000000)</f>
        <v>84000000</v>
      </c>
      <c r="H923">
        <f ca="1">IFERROR(__xludf.DUMMYFUNCTION("""COMPUTED_VALUE"""),36098)</f>
        <v>36098</v>
      </c>
      <c r="I923">
        <f ca="1">IFERROR(__xludf.DUMMYFUNCTION("""COMPUTED_VALUE"""),4)</f>
        <v>4</v>
      </c>
      <c r="J923" t="str">
        <f ca="1">IFERROR(__xludf.DUMMYFUNCTION("""COMPUTED_VALUE"""),"N/A")</f>
        <v>N/A</v>
      </c>
      <c r="K923" t="str">
        <f ca="1">IFERROR(__xludf.DUMMYFUNCTION("""COMPUTED_VALUE"""),"Cepat Kirim")</f>
        <v>Cepat Kirim</v>
      </c>
      <c r="L923" t="str">
        <f ca="1">IFERROR(__xludf.DUMMYFUNCTION("""COMPUTED_VALUE"""),"Y")</f>
        <v>Y</v>
      </c>
      <c r="M923" t="str">
        <f ca="1">IFERROR(__xludf.DUMMYFUNCTION("""COMPUTED_VALUE"""),"xh-993")</f>
        <v>xh-993</v>
      </c>
    </row>
    <row r="924" spans="1:13" ht="12.5" x14ac:dyDescent="0.25">
      <c r="A924" t="str">
        <f ca="1">IFERROR(__xludf.DUMMYFUNCTION("""COMPUTED_VALUE"""),"Chris")</f>
        <v>Chris</v>
      </c>
      <c r="B924" t="str">
        <f ca="1">IFERROR(__xludf.DUMMYFUNCTION("""COMPUTED_VALUE"""),"Susanto")</f>
        <v>Susanto</v>
      </c>
      <c r="C924" t="str">
        <f ca="1">IFERROR(__xludf.DUMMYFUNCTION("""COMPUTED_VALUE"""),"Chris@livex.com")</f>
        <v>Chris@livex.com</v>
      </c>
      <c r="D924" t="str">
        <f ca="1">IFERROR(__xludf.DUMMYFUNCTION("""COMPUTED_VALUE"""),"Banjarmasin")</f>
        <v>Banjarmasin</v>
      </c>
      <c r="E924" s="12">
        <f ca="1">IFERROR(__xludf.DUMMYFUNCTION("""COMPUTED_VALUE"""),42402)</f>
        <v>42402</v>
      </c>
      <c r="F924" t="str">
        <f ca="1">IFERROR(__xludf.DUMMYFUNCTION("""COMPUTED_VALUE"""),"KP0625AF")</f>
        <v>KP0625AF</v>
      </c>
      <c r="G924" s="11">
        <f ca="1">IFERROR(__xludf.DUMMYFUNCTION("""COMPUTED_VALUE"""),48000000)</f>
        <v>48000000</v>
      </c>
      <c r="H924">
        <f ca="1">IFERROR(__xludf.DUMMYFUNCTION("""COMPUTED_VALUE"""),36596)</f>
        <v>36596</v>
      </c>
      <c r="I924">
        <f ca="1">IFERROR(__xludf.DUMMYFUNCTION("""COMPUTED_VALUE"""),4)</f>
        <v>4</v>
      </c>
      <c r="J924" t="str">
        <f ca="1">IFERROR(__xludf.DUMMYFUNCTION("""COMPUTED_VALUE"""),"N/A")</f>
        <v>N/A</v>
      </c>
      <c r="K924" t="str">
        <f ca="1">IFERROR(__xludf.DUMMYFUNCTION("""COMPUTED_VALUE"""),"JENT")</f>
        <v>JENT</v>
      </c>
      <c r="L924" t="str">
        <f ca="1">IFERROR(__xludf.DUMMYFUNCTION("""COMPUTED_VALUE"""),"Y")</f>
        <v>Y</v>
      </c>
      <c r="M924" t="str">
        <f ca="1">IFERROR(__xludf.DUMMYFUNCTION("""COMPUTED_VALUE"""),"fg-991")</f>
        <v>fg-991</v>
      </c>
    </row>
    <row r="925" spans="1:13" ht="12.5" x14ac:dyDescent="0.25">
      <c r="A925" t="str">
        <f ca="1">IFERROR(__xludf.DUMMYFUNCTION("""COMPUTED_VALUE"""),"Ie")</f>
        <v>Ie</v>
      </c>
      <c r="B925" t="str">
        <f ca="1">IFERROR(__xludf.DUMMYFUNCTION("""COMPUTED_VALUE"""),"Heryati")</f>
        <v>Heryati</v>
      </c>
      <c r="C925" t="str">
        <f ca="1">IFERROR(__xludf.DUMMYFUNCTION("""COMPUTED_VALUE"""),"Ie@gmailx.com")</f>
        <v>Ie@gmailx.com</v>
      </c>
      <c r="D925" t="str">
        <f ca="1">IFERROR(__xludf.DUMMYFUNCTION("""COMPUTED_VALUE"""),"Pekanbaru")</f>
        <v>Pekanbaru</v>
      </c>
      <c r="E925" s="12">
        <f ca="1">IFERROR(__xludf.DUMMYFUNCTION("""COMPUTED_VALUE"""),42371)</f>
        <v>42371</v>
      </c>
      <c r="F925" t="str">
        <f ca="1">IFERROR(__xludf.DUMMYFUNCTION("""COMPUTED_VALUE"""),"KP0750AJ")</f>
        <v>KP0750AJ</v>
      </c>
      <c r="G925" s="11">
        <f ca="1">IFERROR(__xludf.DUMMYFUNCTION("""COMPUTED_VALUE"""),162000000)</f>
        <v>162000000</v>
      </c>
      <c r="H925">
        <f ca="1">IFERROR(__xludf.DUMMYFUNCTION("""COMPUTED_VALUE"""),35804)</f>
        <v>35804</v>
      </c>
      <c r="I925">
        <f ca="1">IFERROR(__xludf.DUMMYFUNCTION("""COMPUTED_VALUE"""),9)</f>
        <v>9</v>
      </c>
      <c r="J925" t="str">
        <f ca="1">IFERROR(__xludf.DUMMYFUNCTION("""COMPUTED_VALUE"""),"N/A")</f>
        <v>N/A</v>
      </c>
      <c r="K925" t="str">
        <f ca="1">IFERROR(__xludf.DUMMYFUNCTION("""COMPUTED_VALUE"""),"JENT")</f>
        <v>JENT</v>
      </c>
      <c r="L925" t="str">
        <f ca="1">IFERROR(__xludf.DUMMYFUNCTION("""COMPUTED_VALUE"""),"Y")</f>
        <v>Y</v>
      </c>
      <c r="M925" t="str">
        <f ca="1">IFERROR(__xludf.DUMMYFUNCTION("""COMPUTED_VALUE"""),"jb-222")</f>
        <v>jb-222</v>
      </c>
    </row>
    <row r="926" spans="1:13" ht="12.5" x14ac:dyDescent="0.25">
      <c r="A926" t="str">
        <f ca="1">IFERROR(__xludf.DUMMYFUNCTION("""COMPUTED_VALUE"""),"Kusdianto")</f>
        <v>Kusdianto</v>
      </c>
      <c r="B926" t="str">
        <f ca="1">IFERROR(__xludf.DUMMYFUNCTION("""COMPUTED_VALUE"""),"Babra")</f>
        <v>Babra</v>
      </c>
      <c r="C926" t="str">
        <f ca="1">IFERROR(__xludf.DUMMYFUNCTION("""COMPUTED_VALUE"""),"Babra@ymailx.com")</f>
        <v>Babra@ymailx.com</v>
      </c>
      <c r="D926" t="str">
        <f ca="1">IFERROR(__xludf.DUMMYFUNCTION("""COMPUTED_VALUE"""),"Padang")</f>
        <v>Padang</v>
      </c>
      <c r="E926" s="12">
        <f ca="1">IFERROR(__xludf.DUMMYFUNCTION("""COMPUTED_VALUE"""),42371)</f>
        <v>42371</v>
      </c>
      <c r="F926" t="str">
        <f ca="1">IFERROR(__xludf.DUMMYFUNCTION("""COMPUTED_VALUE"""),"KP0050AG")</f>
        <v>KP0050AG</v>
      </c>
      <c r="G926" s="11">
        <f ca="1">IFERROR(__xludf.DUMMYFUNCTION("""COMPUTED_VALUE"""),130000000)</f>
        <v>130000000</v>
      </c>
      <c r="H926">
        <f ca="1">IFERROR(__xludf.DUMMYFUNCTION("""COMPUTED_VALUE"""),36658)</f>
        <v>36658</v>
      </c>
      <c r="I926">
        <f ca="1">IFERROR(__xludf.DUMMYFUNCTION("""COMPUTED_VALUE"""),8)</f>
        <v>8</v>
      </c>
      <c r="J926" t="str">
        <f ca="1">IFERROR(__xludf.DUMMYFUNCTION("""COMPUTED_VALUE"""),"N/A")</f>
        <v>N/A</v>
      </c>
      <c r="K926" t="str">
        <f ca="1">IFERROR(__xludf.DUMMYFUNCTION("""COMPUTED_VALUE"""),"JENT")</f>
        <v>JENT</v>
      </c>
      <c r="L926" t="str">
        <f ca="1">IFERROR(__xludf.DUMMYFUNCTION("""COMPUTED_VALUE"""),"Y")</f>
        <v>Y</v>
      </c>
      <c r="M926" t="str">
        <f ca="1">IFERROR(__xludf.DUMMYFUNCTION("""COMPUTED_VALUE"""),"uj-559")</f>
        <v>uj-559</v>
      </c>
    </row>
    <row r="927" spans="1:13" ht="12.5" x14ac:dyDescent="0.25">
      <c r="A927" t="str">
        <f ca="1">IFERROR(__xludf.DUMMYFUNCTION("""COMPUTED_VALUE"""),"Rusdy")</f>
        <v>Rusdy</v>
      </c>
      <c r="B927" t="str">
        <f ca="1">IFERROR(__xludf.DUMMYFUNCTION("""COMPUTED_VALUE"""),"Joh")</f>
        <v>Joh</v>
      </c>
      <c r="C927" t="str">
        <f ca="1">IFERROR(__xludf.DUMMYFUNCTION("""COMPUTED_VALUE"""),"Joh@livex.com")</f>
        <v>Joh@livex.com</v>
      </c>
      <c r="D927" t="str">
        <f ca="1">IFERROR(__xludf.DUMMYFUNCTION("""COMPUTED_VALUE"""),"Banjarbaru")</f>
        <v>Banjarbaru</v>
      </c>
      <c r="E927" s="12">
        <f ca="1">IFERROR(__xludf.DUMMYFUNCTION("""COMPUTED_VALUE"""),42371)</f>
        <v>42371</v>
      </c>
      <c r="F927" t="str">
        <f ca="1">IFERROR(__xludf.DUMMYFUNCTION("""COMPUTED_VALUE"""),"KP0425CB")</f>
        <v>KP0425CB</v>
      </c>
      <c r="G927" s="11">
        <f ca="1">IFERROR(__xludf.DUMMYFUNCTION("""COMPUTED_VALUE"""),163500000)</f>
        <v>163500000</v>
      </c>
      <c r="H927">
        <f ca="1">IFERROR(__xludf.DUMMYFUNCTION("""COMPUTED_VALUE"""),36271)</f>
        <v>36271</v>
      </c>
      <c r="I927">
        <f ca="1">IFERROR(__xludf.DUMMYFUNCTION("""COMPUTED_VALUE"""),6)</f>
        <v>6</v>
      </c>
      <c r="J927">
        <f ca="1">IFERROR(__xludf.DUMMYFUNCTION("""COMPUTED_VALUE"""),4)</f>
        <v>4</v>
      </c>
      <c r="K927" t="str">
        <f ca="1">IFERROR(__xludf.DUMMYFUNCTION("""COMPUTED_VALUE"""),"Cepat Kirim")</f>
        <v>Cepat Kirim</v>
      </c>
      <c r="L927" t="str">
        <f ca="1">IFERROR(__xludf.DUMMYFUNCTION("""COMPUTED_VALUE"""),"N")</f>
        <v>N</v>
      </c>
      <c r="M927" t="str">
        <f ca="1">IFERROR(__xludf.DUMMYFUNCTION("""COMPUTED_VALUE"""),"pb-991")</f>
        <v>pb-991</v>
      </c>
    </row>
    <row r="928" spans="1:13" ht="12.5" x14ac:dyDescent="0.25">
      <c r="A928" t="str">
        <f ca="1">IFERROR(__xludf.DUMMYFUNCTION("""COMPUTED_VALUE"""),"Erwin")</f>
        <v>Erwin</v>
      </c>
      <c r="B928" t="str">
        <f ca="1">IFERROR(__xludf.DUMMYFUNCTION("""COMPUTED_VALUE"""),"Kahar")</f>
        <v>Kahar</v>
      </c>
      <c r="C928" t="str">
        <f ca="1">IFERROR(__xludf.DUMMYFUNCTION("""COMPUTED_VALUE"""),"Erwin@gmailx.com")</f>
        <v>Erwin@gmailx.com</v>
      </c>
      <c r="D928" t="str">
        <f ca="1">IFERROR(__xludf.DUMMYFUNCTION("""COMPUTED_VALUE"""),"Banjarbaru")</f>
        <v>Banjarbaru</v>
      </c>
      <c r="E928" s="12">
        <f ca="1">IFERROR(__xludf.DUMMYFUNCTION("""COMPUTED_VALUE"""),42394)</f>
        <v>42394</v>
      </c>
      <c r="F928" t="str">
        <f ca="1">IFERROR(__xludf.DUMMYFUNCTION("""COMPUTED_VALUE"""),"KP0750AJ")</f>
        <v>KP0750AJ</v>
      </c>
      <c r="G928" s="11">
        <f ca="1">IFERROR(__xludf.DUMMYFUNCTION("""COMPUTED_VALUE"""),90000000)</f>
        <v>90000000</v>
      </c>
      <c r="H928">
        <f ca="1">IFERROR(__xludf.DUMMYFUNCTION("""COMPUTED_VALUE"""),36891)</f>
        <v>36891</v>
      </c>
      <c r="I928">
        <f ca="1">IFERROR(__xludf.DUMMYFUNCTION("""COMPUTED_VALUE"""),5)</f>
        <v>5</v>
      </c>
      <c r="J928" t="str">
        <f ca="1">IFERROR(__xludf.DUMMYFUNCTION("""COMPUTED_VALUE"""),"N/A")</f>
        <v>N/A</v>
      </c>
      <c r="K928" t="str">
        <f ca="1">IFERROR(__xludf.DUMMYFUNCTION("""COMPUTED_VALUE"""),"JENT")</f>
        <v>JENT</v>
      </c>
      <c r="L928" t="str">
        <f ca="1">IFERROR(__xludf.DUMMYFUNCTION("""COMPUTED_VALUE"""),"Y")</f>
        <v>Y</v>
      </c>
      <c r="M928" t="str">
        <f ca="1">IFERROR(__xludf.DUMMYFUNCTION("""COMPUTED_VALUE"""),"rp-991")</f>
        <v>rp-991</v>
      </c>
    </row>
    <row r="929" spans="1:13" ht="12.5" x14ac:dyDescent="0.25">
      <c r="A929" t="str">
        <f ca="1">IFERROR(__xludf.DUMMYFUNCTION("""COMPUTED_VALUE"""),"Nasir")</f>
        <v>Nasir</v>
      </c>
      <c r="B929" t="str">
        <f ca="1">IFERROR(__xludf.DUMMYFUNCTION("""COMPUTED_VALUE"""),"Esther")</f>
        <v>Esther</v>
      </c>
      <c r="C929" t="str">
        <f ca="1">IFERROR(__xludf.DUMMYFUNCTION("""COMPUTED_VALUE"""),"Nasir@livex.com")</f>
        <v>Nasir@livex.com</v>
      </c>
      <c r="D929" t="str">
        <f ca="1">IFERROR(__xludf.DUMMYFUNCTION("""COMPUTED_VALUE"""),"Jakarta Utara")</f>
        <v>Jakarta Utara</v>
      </c>
      <c r="E929" s="12">
        <f ca="1">IFERROR(__xludf.DUMMYFUNCTION("""COMPUTED_VALUE"""),42394)</f>
        <v>42394</v>
      </c>
      <c r="F929" t="str">
        <f ca="1">IFERROR(__xludf.DUMMYFUNCTION("""COMPUTED_VALUE"""),"KP0625AF")</f>
        <v>KP0625AF</v>
      </c>
      <c r="G929" s="11">
        <f ca="1">IFERROR(__xludf.DUMMYFUNCTION("""COMPUTED_VALUE"""),60000000)</f>
        <v>60000000</v>
      </c>
      <c r="H929">
        <f ca="1">IFERROR(__xludf.DUMMYFUNCTION("""COMPUTED_VALUE"""),36875)</f>
        <v>36875</v>
      </c>
      <c r="I929">
        <f ca="1">IFERROR(__xludf.DUMMYFUNCTION("""COMPUTED_VALUE"""),5)</f>
        <v>5</v>
      </c>
      <c r="J929">
        <f ca="1">IFERROR(__xludf.DUMMYFUNCTION("""COMPUTED_VALUE"""),4)</f>
        <v>4</v>
      </c>
      <c r="K929" t="str">
        <f ca="1">IFERROR(__xludf.DUMMYFUNCTION("""COMPUTED_VALUE"""),"Swift Delivery")</f>
        <v>Swift Delivery</v>
      </c>
      <c r="L929" t="str">
        <f ca="1">IFERROR(__xludf.DUMMYFUNCTION("""COMPUTED_VALUE"""),"N")</f>
        <v>N</v>
      </c>
      <c r="M929" t="str">
        <f ca="1">IFERROR(__xludf.DUMMYFUNCTION("""COMPUTED_VALUE"""),"jm-333")</f>
        <v>jm-333</v>
      </c>
    </row>
    <row r="930" spans="1:13" ht="12.5" x14ac:dyDescent="0.25">
      <c r="A930" t="str">
        <f ca="1">IFERROR(__xludf.DUMMYFUNCTION("""COMPUTED_VALUE"""),"Vijay")</f>
        <v>Vijay</v>
      </c>
      <c r="B930" t="str">
        <f ca="1">IFERROR(__xludf.DUMMYFUNCTION("""COMPUTED_VALUE"""),"Naraindas")</f>
        <v>Naraindas</v>
      </c>
      <c r="C930" t="str">
        <f ca="1">IFERROR(__xludf.DUMMYFUNCTION("""COMPUTED_VALUE"""),"Naraindas@rocketmailx.com")</f>
        <v>Naraindas@rocketmailx.com</v>
      </c>
      <c r="D930" t="str">
        <f ca="1">IFERROR(__xludf.DUMMYFUNCTION("""COMPUTED_VALUE"""),"Sabang")</f>
        <v>Sabang</v>
      </c>
      <c r="E930" s="12">
        <f ca="1">IFERROR(__xludf.DUMMYFUNCTION("""COMPUTED_VALUE"""),42394)</f>
        <v>42394</v>
      </c>
      <c r="F930" t="str">
        <f ca="1">IFERROR(__xludf.DUMMYFUNCTION("""COMPUTED_VALUE"""),"KP0150BH")</f>
        <v>KP0150BH</v>
      </c>
      <c r="G930" s="11">
        <f ca="1">IFERROR(__xludf.DUMMYFUNCTION("""COMPUTED_VALUE"""),108000000)</f>
        <v>108000000</v>
      </c>
      <c r="H930">
        <f ca="1">IFERROR(__xludf.DUMMYFUNCTION("""COMPUTED_VALUE"""),36155)</f>
        <v>36155</v>
      </c>
      <c r="I930">
        <f ca="1">IFERROR(__xludf.DUMMYFUNCTION("""COMPUTED_VALUE"""),4)</f>
        <v>4</v>
      </c>
      <c r="J930">
        <f ca="1">IFERROR(__xludf.DUMMYFUNCTION("""COMPUTED_VALUE"""),4)</f>
        <v>4</v>
      </c>
      <c r="K930" t="str">
        <f ca="1">IFERROR(__xludf.DUMMYFUNCTION("""COMPUTED_VALUE"""),"#N/A")</f>
        <v>#N/A</v>
      </c>
      <c r="L930" t="str">
        <f ca="1">IFERROR(__xludf.DUMMYFUNCTION("""COMPUTED_VALUE"""),"N")</f>
        <v>N</v>
      </c>
      <c r="M930" t="str">
        <f ca="1">IFERROR(__xludf.DUMMYFUNCTION("""COMPUTED_VALUE"""),"av-101")</f>
        <v>av-101</v>
      </c>
    </row>
    <row r="931" spans="1:13" ht="12.5" x14ac:dyDescent="0.25">
      <c r="A931" t="str">
        <f ca="1">IFERROR(__xludf.DUMMYFUNCTION("""COMPUTED_VALUE"""),"Hawanto")</f>
        <v>Hawanto</v>
      </c>
      <c r="B931" t="str">
        <f ca="1">IFERROR(__xludf.DUMMYFUNCTION("""COMPUTED_VALUE"""),"Winoto,")</f>
        <v>Winoto,</v>
      </c>
      <c r="C931" t="str">
        <f ca="1">IFERROR(__xludf.DUMMYFUNCTION("""COMPUTED_VALUE"""),"Hawanto@ymailx.com")</f>
        <v>Hawanto@ymailx.com</v>
      </c>
      <c r="D931" t="str">
        <f ca="1">IFERROR(__xludf.DUMMYFUNCTION("""COMPUTED_VALUE"""),"Jayapura")</f>
        <v>Jayapura</v>
      </c>
      <c r="E931" s="12">
        <f ca="1">IFERROR(__xludf.DUMMYFUNCTION("""COMPUTED_VALUE"""),42392)</f>
        <v>42392</v>
      </c>
      <c r="F931" t="str">
        <f ca="1">IFERROR(__xludf.DUMMYFUNCTION("""COMPUTED_VALUE"""),"KP0350CF")</f>
        <v>KP0350CF</v>
      </c>
      <c r="G931" s="11">
        <f ca="1">IFERROR(__xludf.DUMMYFUNCTION("""COMPUTED_VALUE"""),315000000)</f>
        <v>315000000</v>
      </c>
      <c r="H931">
        <f ca="1">IFERROR(__xludf.DUMMYFUNCTION("""COMPUTED_VALUE"""),35540)</f>
        <v>35540</v>
      </c>
      <c r="I931">
        <f ca="1">IFERROR(__xludf.DUMMYFUNCTION("""COMPUTED_VALUE"""),9)</f>
        <v>9</v>
      </c>
      <c r="J931">
        <f ca="1">IFERROR(__xludf.DUMMYFUNCTION("""COMPUTED_VALUE"""),4)</f>
        <v>4</v>
      </c>
      <c r="K931" t="str">
        <f ca="1">IFERROR(__xludf.DUMMYFUNCTION("""COMPUTED_VALUE"""),"Wakanda Express")</f>
        <v>Wakanda Express</v>
      </c>
      <c r="L931" t="str">
        <f ca="1">IFERROR(__xludf.DUMMYFUNCTION("""COMPUTED_VALUE"""),"Y")</f>
        <v>Y</v>
      </c>
      <c r="M931" t="str">
        <f ca="1">IFERROR(__xludf.DUMMYFUNCTION("""COMPUTED_VALUE"""),"xj-990")</f>
        <v>xj-990</v>
      </c>
    </row>
    <row r="932" spans="1:13" ht="12.5" x14ac:dyDescent="0.25">
      <c r="A932" t="str">
        <f ca="1">IFERROR(__xludf.DUMMYFUNCTION("""COMPUTED_VALUE"""),"Didit")</f>
        <v>Didit</v>
      </c>
      <c r="B932" t="str">
        <f ca="1">IFERROR(__xludf.DUMMYFUNCTION("""COMPUTED_VALUE"""),"Hai")</f>
        <v>Hai</v>
      </c>
      <c r="C932" t="str">
        <f ca="1">IFERROR(__xludf.DUMMYFUNCTION("""COMPUTED_VALUE"""),"Didit@icloudx.com")</f>
        <v>Didit@icloudx.com</v>
      </c>
      <c r="D932" t="str">
        <f ca="1">IFERROR(__xludf.DUMMYFUNCTION("""COMPUTED_VALUE"""),"Banjar")</f>
        <v>Banjar</v>
      </c>
      <c r="E932" s="12">
        <f ca="1">IFERROR(__xludf.DUMMYFUNCTION("""COMPUTED_VALUE"""),42392)</f>
        <v>42392</v>
      </c>
      <c r="F932" t="str">
        <f ca="1">IFERROR(__xludf.DUMMYFUNCTION("""COMPUTED_VALUE"""),"KP0850FB")</f>
        <v>KP0850FB</v>
      </c>
      <c r="G932" s="11">
        <f ca="1">IFERROR(__xludf.DUMMYFUNCTION("""COMPUTED_VALUE"""),42000000)</f>
        <v>42000000</v>
      </c>
      <c r="H932">
        <f ca="1">IFERROR(__xludf.DUMMYFUNCTION("""COMPUTED_VALUE"""),35391)</f>
        <v>35391</v>
      </c>
      <c r="I932">
        <f ca="1">IFERROR(__xludf.DUMMYFUNCTION("""COMPUTED_VALUE"""),2)</f>
        <v>2</v>
      </c>
      <c r="J932" t="str">
        <f ca="1">IFERROR(__xludf.DUMMYFUNCTION("""COMPUTED_VALUE"""),"N/A")</f>
        <v>N/A</v>
      </c>
      <c r="K932" t="str">
        <f ca="1">IFERROR(__xludf.DUMMYFUNCTION("""COMPUTED_VALUE"""),"JENT")</f>
        <v>JENT</v>
      </c>
      <c r="L932" t="str">
        <f ca="1">IFERROR(__xludf.DUMMYFUNCTION("""COMPUTED_VALUE"""),"Y")</f>
        <v>Y</v>
      </c>
      <c r="M932" t="str">
        <f ca="1">IFERROR(__xludf.DUMMYFUNCTION("""COMPUTED_VALUE"""),"gu-409")</f>
        <v>gu-409</v>
      </c>
    </row>
    <row r="933" spans="1:13" ht="12.5" x14ac:dyDescent="0.25">
      <c r="A933" t="str">
        <f ca="1">IFERROR(__xludf.DUMMYFUNCTION("""COMPUTED_VALUE"""),"Honey")</f>
        <v>Honey</v>
      </c>
      <c r="B933" t="str">
        <f ca="1">IFERROR(__xludf.DUMMYFUNCTION("""COMPUTED_VALUE"""),"Vicky")</f>
        <v>Vicky</v>
      </c>
      <c r="C933" t="str">
        <f ca="1">IFERROR(__xludf.DUMMYFUNCTION("""COMPUTED_VALUE"""),"Honey@ymailx.com")</f>
        <v>Honey@ymailx.com</v>
      </c>
      <c r="D933" t="str">
        <f ca="1">IFERROR(__xludf.DUMMYFUNCTION("""COMPUTED_VALUE"""),"Samarinda")</f>
        <v>Samarinda</v>
      </c>
      <c r="E933" s="12">
        <f ca="1">IFERROR(__xludf.DUMMYFUNCTION("""COMPUTED_VALUE"""),42392)</f>
        <v>42392</v>
      </c>
      <c r="F933" t="str">
        <f ca="1">IFERROR(__xludf.DUMMYFUNCTION("""COMPUTED_VALUE"""),"KP0150BH")</f>
        <v>KP0150BH</v>
      </c>
      <c r="G933" s="11">
        <f ca="1">IFERROR(__xludf.DUMMYFUNCTION("""COMPUTED_VALUE"""),135000000)</f>
        <v>135000000</v>
      </c>
      <c r="H933">
        <f ca="1">IFERROR(__xludf.DUMMYFUNCTION("""COMPUTED_VALUE"""),35456)</f>
        <v>35456</v>
      </c>
      <c r="I933">
        <f ca="1">IFERROR(__xludf.DUMMYFUNCTION("""COMPUTED_VALUE"""),5)</f>
        <v>5</v>
      </c>
      <c r="J933" t="str">
        <f ca="1">IFERROR(__xludf.DUMMYFUNCTION("""COMPUTED_VALUE"""),"N/A")</f>
        <v>N/A</v>
      </c>
      <c r="K933" t="str">
        <f ca="1">IFERROR(__xludf.DUMMYFUNCTION("""COMPUTED_VALUE"""),"JENT")</f>
        <v>JENT</v>
      </c>
      <c r="L933" t="str">
        <f ca="1">IFERROR(__xludf.DUMMYFUNCTION("""COMPUTED_VALUE"""),"Y")</f>
        <v>Y</v>
      </c>
      <c r="M933" t="str">
        <f ca="1">IFERROR(__xludf.DUMMYFUNCTION("""COMPUTED_VALUE"""),"op-993")</f>
        <v>op-993</v>
      </c>
    </row>
    <row r="934" spans="1:13" ht="12.5" x14ac:dyDescent="0.25">
      <c r="A934" t="str">
        <f ca="1">IFERROR(__xludf.DUMMYFUNCTION("""COMPUTED_VALUE"""),"Alwi")</f>
        <v>Alwi</v>
      </c>
      <c r="B934" t="str">
        <f ca="1">IFERROR(__xludf.DUMMYFUNCTION("""COMPUTED_VALUE"""),"Cahyaningtyas")</f>
        <v>Cahyaningtyas</v>
      </c>
      <c r="C934" t="str">
        <f ca="1">IFERROR(__xludf.DUMMYFUNCTION("""COMPUTED_VALUE"""),"Cahyaningtyas@livex.com")</f>
        <v>Cahyaningtyas@livex.com</v>
      </c>
      <c r="D934" t="str">
        <f ca="1">IFERROR(__xludf.DUMMYFUNCTION("""COMPUTED_VALUE"""),"Medan")</f>
        <v>Medan</v>
      </c>
      <c r="E934" s="12">
        <f ca="1">IFERROR(__xludf.DUMMYFUNCTION("""COMPUTED_VALUE"""),42390)</f>
        <v>42390</v>
      </c>
      <c r="F934" t="str">
        <f ca="1">IFERROR(__xludf.DUMMYFUNCTION("""COMPUTED_VALUE"""),"KP0850FB")</f>
        <v>KP0850FB</v>
      </c>
      <c r="G934" s="11">
        <f ca="1">IFERROR(__xludf.DUMMYFUNCTION("""COMPUTED_VALUE"""),105000000)</f>
        <v>105000000</v>
      </c>
      <c r="H934">
        <f ca="1">IFERROR(__xludf.DUMMYFUNCTION("""COMPUTED_VALUE"""),35979)</f>
        <v>35979</v>
      </c>
      <c r="I934">
        <f ca="1">IFERROR(__xludf.DUMMYFUNCTION("""COMPUTED_VALUE"""),5)</f>
        <v>5</v>
      </c>
      <c r="J934">
        <f ca="1">IFERROR(__xludf.DUMMYFUNCTION("""COMPUTED_VALUE"""),4)</f>
        <v>4</v>
      </c>
      <c r="K934" t="str">
        <f ca="1">IFERROR(__xludf.DUMMYFUNCTION("""COMPUTED_VALUE"""),"Pru Logistic")</f>
        <v>Pru Logistic</v>
      </c>
      <c r="L934" t="str">
        <f ca="1">IFERROR(__xludf.DUMMYFUNCTION("""COMPUTED_VALUE"""),"Y")</f>
        <v>Y</v>
      </c>
      <c r="M934" t="str">
        <f ca="1">IFERROR(__xludf.DUMMYFUNCTION("""COMPUTED_VALUE"""),"tw-662")</f>
        <v>tw-662</v>
      </c>
    </row>
    <row r="935" spans="1:13" ht="12.5" x14ac:dyDescent="0.25">
      <c r="A935" t="str">
        <f ca="1">IFERROR(__xludf.DUMMYFUNCTION("""COMPUTED_VALUE"""),"Lisa")</f>
        <v>Lisa</v>
      </c>
      <c r="B935" t="str">
        <f ca="1">IFERROR(__xludf.DUMMYFUNCTION("""COMPUTED_VALUE"""),"Padilla")</f>
        <v>Padilla</v>
      </c>
      <c r="C935" t="str">
        <f ca="1">IFERROR(__xludf.DUMMYFUNCTION("""COMPUTED_VALUE"""),"LISA@livex.com")</f>
        <v>LISA@livex.com</v>
      </c>
      <c r="D935" t="str">
        <f ca="1">IFERROR(__xludf.DUMMYFUNCTION("""COMPUTED_VALUE"""),"Tanjungpinang")</f>
        <v>Tanjungpinang</v>
      </c>
      <c r="E935" s="12">
        <f ca="1">IFERROR(__xludf.DUMMYFUNCTION("""COMPUTED_VALUE"""),42390)</f>
        <v>42390</v>
      </c>
      <c r="F935" t="str">
        <f ca="1">IFERROR(__xludf.DUMMYFUNCTION("""COMPUTED_VALUE"""),"KP0750AJ")</f>
        <v>KP0750AJ</v>
      </c>
      <c r="G935" s="11">
        <f ca="1">IFERROR(__xludf.DUMMYFUNCTION("""COMPUTED_VALUE"""),180000000)</f>
        <v>180000000</v>
      </c>
      <c r="H935">
        <f ca="1">IFERROR(__xludf.DUMMYFUNCTION("""COMPUTED_VALUE"""),36843)</f>
        <v>36843</v>
      </c>
      <c r="I935">
        <f ca="1">IFERROR(__xludf.DUMMYFUNCTION("""COMPUTED_VALUE"""),10)</f>
        <v>10</v>
      </c>
      <c r="J935">
        <f ca="1">IFERROR(__xludf.DUMMYFUNCTION("""COMPUTED_VALUE"""),4)</f>
        <v>4</v>
      </c>
      <c r="K935" t="str">
        <f ca="1">IFERROR(__xludf.DUMMYFUNCTION("""COMPUTED_VALUE"""),"JENT")</f>
        <v>JENT</v>
      </c>
      <c r="L935" t="str">
        <f ca="1">IFERROR(__xludf.DUMMYFUNCTION("""COMPUTED_VALUE"""),"Y")</f>
        <v>Y</v>
      </c>
      <c r="M935" t="str">
        <f ca="1">IFERROR(__xludf.DUMMYFUNCTION("""COMPUTED_VALUE"""),"tn-809")</f>
        <v>tn-809</v>
      </c>
    </row>
    <row r="936" spans="1:13" ht="12.5" x14ac:dyDescent="0.25">
      <c r="A936" t="str">
        <f ca="1">IFERROR(__xludf.DUMMYFUNCTION("""COMPUTED_VALUE"""),"Gemilang")</f>
        <v>Gemilang</v>
      </c>
      <c r="B936" t="str">
        <f ca="1">IFERROR(__xludf.DUMMYFUNCTION("""COMPUTED_VALUE"""),"Wardhana")</f>
        <v>Wardhana</v>
      </c>
      <c r="C936" t="str">
        <f ca="1">IFERROR(__xludf.DUMMYFUNCTION("""COMPUTED_VALUE"""),"Gemilang@gmailx.com")</f>
        <v>Gemilang@gmailx.com</v>
      </c>
      <c r="D936" t="str">
        <f ca="1">IFERROR(__xludf.DUMMYFUNCTION("""COMPUTED_VALUE"""),"Pagaralam")</f>
        <v>Pagaralam</v>
      </c>
      <c r="E936" s="12">
        <f ca="1">IFERROR(__xludf.DUMMYFUNCTION("""COMPUTED_VALUE"""),42388)</f>
        <v>42388</v>
      </c>
      <c r="F936" t="str">
        <f ca="1">IFERROR(__xludf.DUMMYFUNCTION("""COMPUTED_VALUE"""),"KP0425CB")</f>
        <v>KP0425CB</v>
      </c>
      <c r="G936" s="11">
        <f ca="1">IFERROR(__xludf.DUMMYFUNCTION("""COMPUTED_VALUE"""),54500000)</f>
        <v>54500000</v>
      </c>
      <c r="H936">
        <f ca="1">IFERROR(__xludf.DUMMYFUNCTION("""COMPUTED_VALUE"""),35833)</f>
        <v>35833</v>
      </c>
      <c r="I936">
        <f ca="1">IFERROR(__xludf.DUMMYFUNCTION("""COMPUTED_VALUE"""),2)</f>
        <v>2</v>
      </c>
      <c r="J936" t="str">
        <f ca="1">IFERROR(__xludf.DUMMYFUNCTION("""COMPUTED_VALUE"""),"N/A")</f>
        <v>N/A</v>
      </c>
      <c r="K936" t="str">
        <f ca="1">IFERROR(__xludf.DUMMYFUNCTION("""COMPUTED_VALUE"""),"JENT")</f>
        <v>JENT</v>
      </c>
      <c r="L936" t="str">
        <f ca="1">IFERROR(__xludf.DUMMYFUNCTION("""COMPUTED_VALUE"""),"Y")</f>
        <v>Y</v>
      </c>
      <c r="M936" t="str">
        <f ca="1">IFERROR(__xludf.DUMMYFUNCTION("""COMPUTED_VALUE"""),"qi-661")</f>
        <v>qi-661</v>
      </c>
    </row>
    <row r="937" spans="1:13" ht="12.5" x14ac:dyDescent="0.25">
      <c r="A937" t="str">
        <f ca="1">IFERROR(__xludf.DUMMYFUNCTION("""COMPUTED_VALUE"""),"Ongkowijoyo")</f>
        <v>Ongkowijoyo</v>
      </c>
      <c r="B937" t="str">
        <f ca="1">IFERROR(__xludf.DUMMYFUNCTION("""COMPUTED_VALUE"""),"Wardhana")</f>
        <v>Wardhana</v>
      </c>
      <c r="C937" t="str">
        <f ca="1">IFERROR(__xludf.DUMMYFUNCTION("""COMPUTED_VALUE"""),"Ongkowijoyo@rocketmailx.com")</f>
        <v>Ongkowijoyo@rocketmailx.com</v>
      </c>
      <c r="D937" t="str">
        <f ca="1">IFERROR(__xludf.DUMMYFUNCTION("""COMPUTED_VALUE"""),"Blitar")</f>
        <v>Blitar</v>
      </c>
      <c r="E937" s="12">
        <f ca="1">IFERROR(__xludf.DUMMYFUNCTION("""COMPUTED_VALUE"""),42387)</f>
        <v>42387</v>
      </c>
      <c r="F937" t="str">
        <f ca="1">IFERROR(__xludf.DUMMYFUNCTION("""COMPUTED_VALUE"""),"KP0625AF")</f>
        <v>KP0625AF</v>
      </c>
      <c r="G937" s="11">
        <f ca="1">IFERROR(__xludf.DUMMYFUNCTION("""COMPUTED_VALUE"""),84000000)</f>
        <v>84000000</v>
      </c>
      <c r="H937">
        <f ca="1">IFERROR(__xludf.DUMMYFUNCTION("""COMPUTED_VALUE"""),36002)</f>
        <v>36002</v>
      </c>
      <c r="I937">
        <f ca="1">IFERROR(__xludf.DUMMYFUNCTION("""COMPUTED_VALUE"""),7)</f>
        <v>7</v>
      </c>
      <c r="J937" t="str">
        <f ca="1">IFERROR(__xludf.DUMMYFUNCTION("""COMPUTED_VALUE"""),"N/A")</f>
        <v>N/A</v>
      </c>
      <c r="K937" t="str">
        <f ca="1">IFERROR(__xludf.DUMMYFUNCTION("""COMPUTED_VALUE"""),"Swift Delivery")</f>
        <v>Swift Delivery</v>
      </c>
      <c r="L937" t="str">
        <f ca="1">IFERROR(__xludf.DUMMYFUNCTION("""COMPUTED_VALUE"""),"N")</f>
        <v>N</v>
      </c>
      <c r="M937" t="str">
        <f ca="1">IFERROR(__xludf.DUMMYFUNCTION("""COMPUTED_VALUE"""),"ij-123")</f>
        <v>ij-123</v>
      </c>
    </row>
    <row r="938" spans="1:13" ht="12.5" x14ac:dyDescent="0.25">
      <c r="A938" t="str">
        <f ca="1">IFERROR(__xludf.DUMMYFUNCTION("""COMPUTED_VALUE"""),"Garibaldi")</f>
        <v>Garibaldi</v>
      </c>
      <c r="B938" t="str">
        <f ca="1">IFERROR(__xludf.DUMMYFUNCTION("""COMPUTED_VALUE"""),"Bhansali")</f>
        <v>Bhansali</v>
      </c>
      <c r="C938" t="str">
        <f ca="1">IFERROR(__xludf.DUMMYFUNCTION("""COMPUTED_VALUE"""),"Bhansali@livex.com")</f>
        <v>Bhansali@livex.com</v>
      </c>
      <c r="D938" t="str">
        <f ca="1">IFERROR(__xludf.DUMMYFUNCTION("""COMPUTED_VALUE"""),"Jakarta Selatan")</f>
        <v>Jakarta Selatan</v>
      </c>
      <c r="E938" s="12">
        <f ca="1">IFERROR(__xludf.DUMMYFUNCTION("""COMPUTED_VALUE"""),42385)</f>
        <v>42385</v>
      </c>
      <c r="F938" t="str">
        <f ca="1">IFERROR(__xludf.DUMMYFUNCTION("""COMPUTED_VALUE"""),"KP0925SG")</f>
        <v>KP0925SG</v>
      </c>
      <c r="G938" s="11">
        <f ca="1">IFERROR(__xludf.DUMMYFUNCTION("""COMPUTED_VALUE"""),45000000)</f>
        <v>45000000</v>
      </c>
      <c r="H938">
        <f ca="1">IFERROR(__xludf.DUMMYFUNCTION("""COMPUTED_VALUE"""),36102)</f>
        <v>36102</v>
      </c>
      <c r="I938">
        <f ca="1">IFERROR(__xludf.DUMMYFUNCTION("""COMPUTED_VALUE"""),3)</f>
        <v>3</v>
      </c>
      <c r="J938" t="str">
        <f ca="1">IFERROR(__xludf.DUMMYFUNCTION("""COMPUTED_VALUE"""),"N/A")</f>
        <v>N/A</v>
      </c>
      <c r="K938" t="str">
        <f ca="1">IFERROR(__xludf.DUMMYFUNCTION("""COMPUTED_VALUE"""),"JENT")</f>
        <v>JENT</v>
      </c>
      <c r="L938" t="str">
        <f ca="1">IFERROR(__xludf.DUMMYFUNCTION("""COMPUTED_VALUE"""),"Y")</f>
        <v>Y</v>
      </c>
      <c r="M938" t="str">
        <f ca="1">IFERROR(__xludf.DUMMYFUNCTION("""COMPUTED_VALUE"""),"ao-333")</f>
        <v>ao-333</v>
      </c>
    </row>
    <row r="939" spans="1:13" ht="12.5" x14ac:dyDescent="0.25">
      <c r="A939" t="str">
        <f ca="1">IFERROR(__xludf.DUMMYFUNCTION("""COMPUTED_VALUE"""),"Enny")</f>
        <v>Enny</v>
      </c>
      <c r="B939" t="str">
        <f ca="1">IFERROR(__xludf.DUMMYFUNCTION("""COMPUTED_VALUE"""),"Management")</f>
        <v>Management</v>
      </c>
      <c r="C939" t="str">
        <f ca="1">IFERROR(__xludf.DUMMYFUNCTION("""COMPUTED_VALUE"""),"Management@icloudx.com")</f>
        <v>Management@icloudx.com</v>
      </c>
      <c r="D939" t="str">
        <f ca="1">IFERROR(__xludf.DUMMYFUNCTION("""COMPUTED_VALUE"""),"Manado")</f>
        <v>Manado</v>
      </c>
      <c r="E939" s="12">
        <f ca="1">IFERROR(__xludf.DUMMYFUNCTION("""COMPUTED_VALUE"""),42384)</f>
        <v>42384</v>
      </c>
      <c r="F939" t="str">
        <f ca="1">IFERROR(__xludf.DUMMYFUNCTION("""COMPUTED_VALUE"""),"KP0625AF")</f>
        <v>KP0625AF</v>
      </c>
      <c r="G939" s="11">
        <f ca="1">IFERROR(__xludf.DUMMYFUNCTION("""COMPUTED_VALUE"""),60000000)</f>
        <v>60000000</v>
      </c>
      <c r="H939">
        <f ca="1">IFERROR(__xludf.DUMMYFUNCTION("""COMPUTED_VALUE"""),36438)</f>
        <v>36438</v>
      </c>
      <c r="I939">
        <f ca="1">IFERROR(__xludf.DUMMYFUNCTION("""COMPUTED_VALUE"""),5)</f>
        <v>5</v>
      </c>
      <c r="J939">
        <f ca="1">IFERROR(__xludf.DUMMYFUNCTION("""COMPUTED_VALUE"""),2)</f>
        <v>2</v>
      </c>
      <c r="K939" t="str">
        <f ca="1">IFERROR(__xludf.DUMMYFUNCTION("""COMPUTED_VALUE"""),"Wakanda Express")</f>
        <v>Wakanda Express</v>
      </c>
      <c r="L939" t="str">
        <f ca="1">IFERROR(__xludf.DUMMYFUNCTION("""COMPUTED_VALUE"""),"Y")</f>
        <v>Y</v>
      </c>
      <c r="M939" t="str">
        <f ca="1">IFERROR(__xludf.DUMMYFUNCTION("""COMPUTED_VALUE"""),"ph-221")</f>
        <v>ph-221</v>
      </c>
    </row>
    <row r="940" spans="1:13" ht="12.5" x14ac:dyDescent="0.25">
      <c r="A940" t="str">
        <f ca="1">IFERROR(__xludf.DUMMYFUNCTION("""COMPUTED_VALUE"""),"Mimin")</f>
        <v>Mimin</v>
      </c>
      <c r="B940" t="str">
        <f ca="1">IFERROR(__xludf.DUMMYFUNCTION("""COMPUTED_VALUE"""),"Wirjawan")</f>
        <v>Wirjawan</v>
      </c>
      <c r="C940" t="str">
        <f ca="1">IFERROR(__xludf.DUMMYFUNCTION("""COMPUTED_VALUE"""),"WIRJAWAN@gmailx.com")</f>
        <v>WIRJAWAN@gmailx.com</v>
      </c>
      <c r="D940" t="str">
        <f ca="1">IFERROR(__xludf.DUMMYFUNCTION("""COMPUTED_VALUE"""),"Pekalongan")</f>
        <v>Pekalongan</v>
      </c>
      <c r="E940" s="12">
        <f ca="1">IFERROR(__xludf.DUMMYFUNCTION("""COMPUTED_VALUE"""),42382)</f>
        <v>42382</v>
      </c>
      <c r="F940" t="str">
        <f ca="1">IFERROR(__xludf.DUMMYFUNCTION("""COMPUTED_VALUE"""),"KP0350CF")</f>
        <v>KP0350CF</v>
      </c>
      <c r="G940" s="11">
        <f ca="1">IFERROR(__xludf.DUMMYFUNCTION("""COMPUTED_VALUE"""),105000000)</f>
        <v>105000000</v>
      </c>
      <c r="H940">
        <f ca="1">IFERROR(__xludf.DUMMYFUNCTION("""COMPUTED_VALUE"""),35608)</f>
        <v>35608</v>
      </c>
      <c r="I940">
        <f ca="1">IFERROR(__xludf.DUMMYFUNCTION("""COMPUTED_VALUE"""),3)</f>
        <v>3</v>
      </c>
      <c r="J940">
        <f ca="1">IFERROR(__xludf.DUMMYFUNCTION("""COMPUTED_VALUE"""),4)</f>
        <v>4</v>
      </c>
      <c r="K940" t="str">
        <f ca="1">IFERROR(__xludf.DUMMYFUNCTION("""COMPUTED_VALUE"""),"Wakanda Express")</f>
        <v>Wakanda Express</v>
      </c>
      <c r="L940" t="str">
        <f ca="1">IFERROR(__xludf.DUMMYFUNCTION("""COMPUTED_VALUE"""),"Y")</f>
        <v>Y</v>
      </c>
      <c r="M940" t="str">
        <f ca="1">IFERROR(__xludf.DUMMYFUNCTION("""COMPUTED_VALUE"""),"mj-410")</f>
        <v>mj-410</v>
      </c>
    </row>
    <row r="941" spans="1:13" ht="12.5" x14ac:dyDescent="0.25">
      <c r="A941" t="str">
        <f ca="1">IFERROR(__xludf.DUMMYFUNCTION("""COMPUTED_VALUE"""),"Sabhnani")</f>
        <v>Sabhnani</v>
      </c>
      <c r="B941" t="str">
        <f ca="1">IFERROR(__xludf.DUMMYFUNCTION("""COMPUTED_VALUE"""),"S.")</f>
        <v>S.</v>
      </c>
      <c r="C941" t="str">
        <f ca="1">IFERROR(__xludf.DUMMYFUNCTION("""COMPUTED_VALUE"""),"SABHNANI@icloudx.com")</f>
        <v>SABHNANI@icloudx.com</v>
      </c>
      <c r="D941" t="str">
        <f ca="1">IFERROR(__xludf.DUMMYFUNCTION("""COMPUTED_VALUE"""),"Blitar")</f>
        <v>Blitar</v>
      </c>
      <c r="E941" s="12">
        <f ca="1">IFERROR(__xludf.DUMMYFUNCTION("""COMPUTED_VALUE"""),42705)</f>
        <v>42705</v>
      </c>
      <c r="F941" t="str">
        <f ca="1">IFERROR(__xludf.DUMMYFUNCTION("""COMPUTED_VALUE"""),"KP0750AJ")</f>
        <v>KP0750AJ</v>
      </c>
      <c r="G941" s="11">
        <f ca="1">IFERROR(__xludf.DUMMYFUNCTION("""COMPUTED_VALUE"""),72000000)</f>
        <v>72000000</v>
      </c>
      <c r="H941">
        <f ca="1">IFERROR(__xludf.DUMMYFUNCTION("""COMPUTED_VALUE"""),36537)</f>
        <v>36537</v>
      </c>
      <c r="I941">
        <f ca="1">IFERROR(__xludf.DUMMYFUNCTION("""COMPUTED_VALUE"""),4)</f>
        <v>4</v>
      </c>
      <c r="J941" t="str">
        <f ca="1">IFERROR(__xludf.DUMMYFUNCTION("""COMPUTED_VALUE"""),"N/A")</f>
        <v>N/A</v>
      </c>
      <c r="K941" t="str">
        <f ca="1">IFERROR(__xludf.DUMMYFUNCTION("""COMPUTED_VALUE"""),"JENT")</f>
        <v>JENT</v>
      </c>
      <c r="L941" t="str">
        <f ca="1">IFERROR(__xludf.DUMMYFUNCTION("""COMPUTED_VALUE"""),"N")</f>
        <v>N</v>
      </c>
      <c r="M941" t="str">
        <f ca="1">IFERROR(__xludf.DUMMYFUNCTION("""COMPUTED_VALUE"""),"mj-123")</f>
        <v>mj-123</v>
      </c>
    </row>
    <row r="942" spans="1:13" ht="12.5" x14ac:dyDescent="0.25">
      <c r="A942" t="str">
        <f ca="1">IFERROR(__xludf.DUMMYFUNCTION("""COMPUTED_VALUE"""),"David")</f>
        <v>David</v>
      </c>
      <c r="B942" t="str">
        <f ca="1">IFERROR(__xludf.DUMMYFUNCTION("""COMPUTED_VALUE"""),"Bruce")</f>
        <v>Bruce</v>
      </c>
      <c r="C942" t="str">
        <f ca="1">IFERROR(__xludf.DUMMYFUNCTION("""COMPUTED_VALUE"""),"Bruce@ymailx.com")</f>
        <v>Bruce@ymailx.com</v>
      </c>
      <c r="D942" t="str">
        <f ca="1">IFERROR(__xludf.DUMMYFUNCTION("""COMPUTED_VALUE"""),"Pematangsiantar")</f>
        <v>Pematangsiantar</v>
      </c>
      <c r="E942" s="12">
        <f ca="1">IFERROR(__xludf.DUMMYFUNCTION("""COMPUTED_VALUE"""),42644)</f>
        <v>42644</v>
      </c>
      <c r="F942" t="str">
        <f ca="1">IFERROR(__xludf.DUMMYFUNCTION("""COMPUTED_VALUE"""),"KP0625AF")</f>
        <v>KP0625AF</v>
      </c>
      <c r="G942" s="11">
        <f ca="1">IFERROR(__xludf.DUMMYFUNCTION("""COMPUTED_VALUE"""),108000000)</f>
        <v>108000000</v>
      </c>
      <c r="H942">
        <f ca="1">IFERROR(__xludf.DUMMYFUNCTION("""COMPUTED_VALUE"""),36547)</f>
        <v>36547</v>
      </c>
      <c r="I942">
        <f ca="1">IFERROR(__xludf.DUMMYFUNCTION("""COMPUTED_VALUE"""),9)</f>
        <v>9</v>
      </c>
      <c r="J942" t="str">
        <f ca="1">IFERROR(__xludf.DUMMYFUNCTION("""COMPUTED_VALUE"""),"N/A")</f>
        <v>N/A</v>
      </c>
      <c r="K942" t="str">
        <f ca="1">IFERROR(__xludf.DUMMYFUNCTION("""COMPUTED_VALUE"""),"JENT")</f>
        <v>JENT</v>
      </c>
      <c r="L942" t="str">
        <f ca="1">IFERROR(__xludf.DUMMYFUNCTION("""COMPUTED_VALUE"""),"Y")</f>
        <v>Y</v>
      </c>
      <c r="M942" t="str">
        <f ca="1">IFERROR(__xludf.DUMMYFUNCTION("""COMPUTED_VALUE"""),"mc-662")</f>
        <v>mc-662</v>
      </c>
    </row>
    <row r="943" spans="1:13" ht="12.5" x14ac:dyDescent="0.25">
      <c r="A943" t="str">
        <f ca="1">IFERROR(__xludf.DUMMYFUNCTION("""COMPUTED_VALUE"""),"Rahmad")</f>
        <v>Rahmad</v>
      </c>
      <c r="B943" t="str">
        <f ca="1">IFERROR(__xludf.DUMMYFUNCTION("""COMPUTED_VALUE"""),"Vinod")</f>
        <v>Vinod</v>
      </c>
      <c r="C943" t="str">
        <f ca="1">IFERROR(__xludf.DUMMYFUNCTION("""COMPUTED_VALUE"""),"Rahmad@outlookx.com")</f>
        <v>Rahmad@outlookx.com</v>
      </c>
      <c r="D943" t="str">
        <f ca="1">IFERROR(__xludf.DUMMYFUNCTION("""COMPUTED_VALUE"""),"Binjai")</f>
        <v>Binjai</v>
      </c>
      <c r="E943" s="12">
        <f ca="1">IFERROR(__xludf.DUMMYFUNCTION("""COMPUTED_VALUE"""),42614)</f>
        <v>42614</v>
      </c>
      <c r="F943" t="str">
        <f ca="1">IFERROR(__xludf.DUMMYFUNCTION("""COMPUTED_VALUE"""),"KP0050AG")</f>
        <v>KP0050AG</v>
      </c>
      <c r="G943" s="11">
        <f ca="1">IFERROR(__xludf.DUMMYFUNCTION("""COMPUTED_VALUE"""),146250000)</f>
        <v>146250000</v>
      </c>
      <c r="H943">
        <f ca="1">IFERROR(__xludf.DUMMYFUNCTION("""COMPUTED_VALUE"""),35545)</f>
        <v>35545</v>
      </c>
      <c r="I943">
        <f ca="1">IFERROR(__xludf.DUMMYFUNCTION("""COMPUTED_VALUE"""),9)</f>
        <v>9</v>
      </c>
      <c r="J943" t="str">
        <f ca="1">IFERROR(__xludf.DUMMYFUNCTION("""COMPUTED_VALUE"""),"N/A")</f>
        <v>N/A</v>
      </c>
      <c r="K943" t="str">
        <f ca="1">IFERROR(__xludf.DUMMYFUNCTION("""COMPUTED_VALUE"""),"Swift Delivery")</f>
        <v>Swift Delivery</v>
      </c>
      <c r="L943" t="str">
        <f ca="1">IFERROR(__xludf.DUMMYFUNCTION("""COMPUTED_VALUE"""),"N")</f>
        <v>N</v>
      </c>
      <c r="M943" t="str">
        <f ca="1">IFERROR(__xludf.DUMMYFUNCTION("""COMPUTED_VALUE"""),"qz-662")</f>
        <v>qz-662</v>
      </c>
    </row>
    <row r="944" spans="1:13" ht="12.5" x14ac:dyDescent="0.25">
      <c r="A944" t="str">
        <f ca="1">IFERROR(__xludf.DUMMYFUNCTION("""COMPUTED_VALUE"""),"Daniel")</f>
        <v>Daniel</v>
      </c>
      <c r="B944" t="str">
        <f ca="1">IFERROR(__xludf.DUMMYFUNCTION("""COMPUTED_VALUE"""),"Jennice")</f>
        <v>Jennice</v>
      </c>
      <c r="C944" t="str">
        <f ca="1">IFERROR(__xludf.DUMMYFUNCTION("""COMPUTED_VALUE"""),"Jennice@livex.com")</f>
        <v>Jennice@livex.com</v>
      </c>
      <c r="D944" t="str">
        <f ca="1">IFERROR(__xludf.DUMMYFUNCTION("""COMPUTED_VALUE"""),"Palembang")</f>
        <v>Palembang</v>
      </c>
      <c r="E944" s="12">
        <f ca="1">IFERROR(__xludf.DUMMYFUNCTION("""COMPUTED_VALUE"""),42614)</f>
        <v>42614</v>
      </c>
      <c r="F944" t="str">
        <f ca="1">IFERROR(__xludf.DUMMYFUNCTION("""COMPUTED_VALUE"""),"KP0425CB")</f>
        <v>KP0425CB</v>
      </c>
      <c r="G944" s="11">
        <f ca="1">IFERROR(__xludf.DUMMYFUNCTION("""COMPUTED_VALUE"""),136250000)</f>
        <v>136250000</v>
      </c>
      <c r="H944">
        <f ca="1">IFERROR(__xludf.DUMMYFUNCTION("""COMPUTED_VALUE"""),35723)</f>
        <v>35723</v>
      </c>
      <c r="I944">
        <f ca="1">IFERROR(__xludf.DUMMYFUNCTION("""COMPUTED_VALUE"""),5)</f>
        <v>5</v>
      </c>
      <c r="J944">
        <f ca="1">IFERROR(__xludf.DUMMYFUNCTION("""COMPUTED_VALUE"""),1)</f>
        <v>1</v>
      </c>
      <c r="K944" t="str">
        <f ca="1">IFERROR(__xludf.DUMMYFUNCTION("""COMPUTED_VALUE"""),"JENT")</f>
        <v>JENT</v>
      </c>
      <c r="L944" t="str">
        <f ca="1">IFERROR(__xludf.DUMMYFUNCTION("""COMPUTED_VALUE"""),"Y")</f>
        <v>Y</v>
      </c>
      <c r="M944" t="str">
        <f ca="1">IFERROR(__xludf.DUMMYFUNCTION("""COMPUTED_VALUE"""),"tj-661")</f>
        <v>tj-661</v>
      </c>
    </row>
    <row r="945" spans="1:13" ht="12.5" x14ac:dyDescent="0.25">
      <c r="A945" t="str">
        <f ca="1">IFERROR(__xludf.DUMMYFUNCTION("""COMPUTED_VALUE"""),"Carlos")</f>
        <v>Carlos</v>
      </c>
      <c r="B945" t="str">
        <f ca="1">IFERROR(__xludf.DUMMYFUNCTION("""COMPUTED_VALUE"""),"Tjen")</f>
        <v>Tjen</v>
      </c>
      <c r="C945" t="str">
        <f ca="1">IFERROR(__xludf.DUMMYFUNCTION("""COMPUTED_VALUE"""),"Carlos@livex.com")</f>
        <v>Carlos@livex.com</v>
      </c>
      <c r="D945" t="str">
        <f ca="1">IFERROR(__xludf.DUMMYFUNCTION("""COMPUTED_VALUE"""),"Pangkalpinang")</f>
        <v>Pangkalpinang</v>
      </c>
      <c r="E945" s="12">
        <f ca="1">IFERROR(__xludf.DUMMYFUNCTION("""COMPUTED_VALUE"""),42583)</f>
        <v>42583</v>
      </c>
      <c r="F945" t="str">
        <f ca="1">IFERROR(__xludf.DUMMYFUNCTION("""COMPUTED_VALUE"""),"KP0925SG")</f>
        <v>KP0925SG</v>
      </c>
      <c r="G945" s="11">
        <f ca="1">IFERROR(__xludf.DUMMYFUNCTION("""COMPUTED_VALUE"""),150000000)</f>
        <v>150000000</v>
      </c>
      <c r="H945">
        <f ca="1">IFERROR(__xludf.DUMMYFUNCTION("""COMPUTED_VALUE"""),36585)</f>
        <v>36585</v>
      </c>
      <c r="I945">
        <f ca="1">IFERROR(__xludf.DUMMYFUNCTION("""COMPUTED_VALUE"""),10)</f>
        <v>10</v>
      </c>
      <c r="J945" t="str">
        <f ca="1">IFERROR(__xludf.DUMMYFUNCTION("""COMPUTED_VALUE"""),"N/A")</f>
        <v>N/A</v>
      </c>
      <c r="K945" t="str">
        <f ca="1">IFERROR(__xludf.DUMMYFUNCTION("""COMPUTED_VALUE"""),"JENT")</f>
        <v>JENT</v>
      </c>
      <c r="L945" t="str">
        <f ca="1">IFERROR(__xludf.DUMMYFUNCTION("""COMPUTED_VALUE"""),"Y")</f>
        <v>Y</v>
      </c>
      <c r="M945" t="str">
        <f ca="1">IFERROR(__xludf.DUMMYFUNCTION("""COMPUTED_VALUE"""),"ei-120")</f>
        <v>ei-120</v>
      </c>
    </row>
    <row r="946" spans="1:13" ht="12.5" x14ac:dyDescent="0.25">
      <c r="A946" t="str">
        <f ca="1">IFERROR(__xludf.DUMMYFUNCTION("""COMPUTED_VALUE"""),"Nila")</f>
        <v>Nila</v>
      </c>
      <c r="B946" t="str">
        <f ca="1">IFERROR(__xludf.DUMMYFUNCTION("""COMPUTED_VALUE"""),"Henry")</f>
        <v>Henry</v>
      </c>
      <c r="C946" t="str">
        <f ca="1">IFERROR(__xludf.DUMMYFUNCTION("""COMPUTED_VALUE"""),"Nila@ymailx.com")</f>
        <v>Nila@ymailx.com</v>
      </c>
      <c r="D946" t="str">
        <f ca="1">IFERROR(__xludf.DUMMYFUNCTION("""COMPUTED_VALUE"""),"Langsa")</f>
        <v>Langsa</v>
      </c>
      <c r="E946" s="12">
        <f ca="1">IFERROR(__xludf.DUMMYFUNCTION("""COMPUTED_VALUE"""),42552)</f>
        <v>42552</v>
      </c>
      <c r="F946" t="str">
        <f ca="1">IFERROR(__xludf.DUMMYFUNCTION("""COMPUTED_VALUE"""),"KP0350CF")</f>
        <v>KP0350CF</v>
      </c>
      <c r="G946" s="11">
        <f ca="1">IFERROR(__xludf.DUMMYFUNCTION("""COMPUTED_VALUE"""),350000000)</f>
        <v>350000000</v>
      </c>
      <c r="H946">
        <f ca="1">IFERROR(__xludf.DUMMYFUNCTION("""COMPUTED_VALUE"""),35784)</f>
        <v>35784</v>
      </c>
      <c r="I946">
        <f ca="1">IFERROR(__xludf.DUMMYFUNCTION("""COMPUTED_VALUE"""),10)</f>
        <v>10</v>
      </c>
      <c r="J946" t="str">
        <f ca="1">IFERROR(__xludf.DUMMYFUNCTION("""COMPUTED_VALUE"""),"N/A")</f>
        <v>N/A</v>
      </c>
      <c r="K946" t="str">
        <f ca="1">IFERROR(__xludf.DUMMYFUNCTION("""COMPUTED_VALUE"""),"Swift Delivery")</f>
        <v>Swift Delivery</v>
      </c>
      <c r="L946" t="str">
        <f ca="1">IFERROR(__xludf.DUMMYFUNCTION("""COMPUTED_VALUE"""),"N")</f>
        <v>N</v>
      </c>
      <c r="M946" t="str">
        <f ca="1">IFERROR(__xludf.DUMMYFUNCTION("""COMPUTED_VALUE"""),"jz-101")</f>
        <v>jz-101</v>
      </c>
    </row>
    <row r="947" spans="1:13" ht="12.5" x14ac:dyDescent="0.25">
      <c r="A947" t="str">
        <f ca="1">IFERROR(__xludf.DUMMYFUNCTION("""COMPUTED_VALUE"""),"Cavalier")</f>
        <v>Cavalier</v>
      </c>
      <c r="B947" t="str">
        <f ca="1">IFERROR(__xludf.DUMMYFUNCTION("""COMPUTED_VALUE"""),"Kiong")</f>
        <v>Kiong</v>
      </c>
      <c r="C947" t="str">
        <f ca="1">IFERROR(__xludf.DUMMYFUNCTION("""COMPUTED_VALUE"""),"Kiong@icloudx.com")</f>
        <v>Kiong@icloudx.com</v>
      </c>
      <c r="D947" t="str">
        <f ca="1">IFERROR(__xludf.DUMMYFUNCTION("""COMPUTED_VALUE"""),"Pekanbaru")</f>
        <v>Pekanbaru</v>
      </c>
      <c r="E947" s="12">
        <f ca="1">IFERROR(__xludf.DUMMYFUNCTION("""COMPUTED_VALUE"""),42461)</f>
        <v>42461</v>
      </c>
      <c r="F947" t="str">
        <f ca="1">IFERROR(__xludf.DUMMYFUNCTION("""COMPUTED_VALUE"""),"KP0750AJ")</f>
        <v>KP0750AJ</v>
      </c>
      <c r="G947" s="11">
        <f ca="1">IFERROR(__xludf.DUMMYFUNCTION("""COMPUTED_VALUE"""),72000000)</f>
        <v>72000000</v>
      </c>
      <c r="H947">
        <f ca="1">IFERROR(__xludf.DUMMYFUNCTION("""COMPUTED_VALUE"""),35593)</f>
        <v>35593</v>
      </c>
      <c r="I947">
        <f ca="1">IFERROR(__xludf.DUMMYFUNCTION("""COMPUTED_VALUE"""),4)</f>
        <v>4</v>
      </c>
      <c r="J947" t="str">
        <f ca="1">IFERROR(__xludf.DUMMYFUNCTION("""COMPUTED_VALUE"""),"N/A")</f>
        <v>N/A</v>
      </c>
      <c r="K947" t="str">
        <f ca="1">IFERROR(__xludf.DUMMYFUNCTION("""COMPUTED_VALUE"""),"JENT")</f>
        <v>JENT</v>
      </c>
      <c r="L947" t="str">
        <f ca="1">IFERROR(__xludf.DUMMYFUNCTION("""COMPUTED_VALUE"""),"Y")</f>
        <v>Y</v>
      </c>
      <c r="M947" t="str">
        <f ca="1">IFERROR(__xludf.DUMMYFUNCTION("""COMPUTED_VALUE"""),"oh-222")</f>
        <v>oh-222</v>
      </c>
    </row>
    <row r="948" spans="1:13" ht="12.5" x14ac:dyDescent="0.25">
      <c r="A948" t="str">
        <f ca="1">IFERROR(__xludf.DUMMYFUNCTION("""COMPUTED_VALUE"""),"Dicky")</f>
        <v>Dicky</v>
      </c>
      <c r="B948" t="str">
        <f ca="1">IFERROR(__xludf.DUMMYFUNCTION("""COMPUTED_VALUE"""),"Sugiarti")</f>
        <v>Sugiarti</v>
      </c>
      <c r="C948" t="str">
        <f ca="1">IFERROR(__xludf.DUMMYFUNCTION("""COMPUTED_VALUE"""),"Sugiarti@livex.com")</f>
        <v>Sugiarti@livex.com</v>
      </c>
      <c r="D948" t="str">
        <f ca="1">IFERROR(__xludf.DUMMYFUNCTION("""COMPUTED_VALUE"""),"Prabumulih")</f>
        <v>Prabumulih</v>
      </c>
      <c r="E948" s="12">
        <f ca="1">IFERROR(__xludf.DUMMYFUNCTION("""COMPUTED_VALUE"""),42461)</f>
        <v>42461</v>
      </c>
      <c r="F948" t="str">
        <f ca="1">IFERROR(__xludf.DUMMYFUNCTION("""COMPUTED_VALUE"""),"KP0425CB")</f>
        <v>KP0425CB</v>
      </c>
      <c r="G948" s="11">
        <f ca="1">IFERROR(__xludf.DUMMYFUNCTION("""COMPUTED_VALUE"""),163500000)</f>
        <v>163500000</v>
      </c>
      <c r="H948">
        <f ca="1">IFERROR(__xludf.DUMMYFUNCTION("""COMPUTED_VALUE"""),35601)</f>
        <v>35601</v>
      </c>
      <c r="I948">
        <f ca="1">IFERROR(__xludf.DUMMYFUNCTION("""COMPUTED_VALUE"""),6)</f>
        <v>6</v>
      </c>
      <c r="J948" t="str">
        <f ca="1">IFERROR(__xludf.DUMMYFUNCTION("""COMPUTED_VALUE"""),"N/A")</f>
        <v>N/A</v>
      </c>
      <c r="K948" t="str">
        <f ca="1">IFERROR(__xludf.DUMMYFUNCTION("""COMPUTED_VALUE"""),"Wakanda Express")</f>
        <v>Wakanda Express</v>
      </c>
      <c r="L948" t="str">
        <f ca="1">IFERROR(__xludf.DUMMYFUNCTION("""COMPUTED_VALUE"""),"Y")</f>
        <v>Y</v>
      </c>
      <c r="M948" t="str">
        <f ca="1">IFERROR(__xludf.DUMMYFUNCTION("""COMPUTED_VALUE"""),"sh-661")</f>
        <v>sh-661</v>
      </c>
    </row>
    <row r="949" spans="1:13" ht="12.5" x14ac:dyDescent="0.25">
      <c r="A949" t="str">
        <f ca="1">IFERROR(__xludf.DUMMYFUNCTION("""COMPUTED_VALUE"""),"Catherine")</f>
        <v>Catherine</v>
      </c>
      <c r="B949" t="str">
        <f ca="1">IFERROR(__xludf.DUMMYFUNCTION("""COMPUTED_VALUE"""),"Widjaja")</f>
        <v>Widjaja</v>
      </c>
      <c r="C949" t="str">
        <f ca="1">IFERROR(__xludf.DUMMYFUNCTION("""COMPUTED_VALUE"""),"WIDJAJA@gmailx.com")</f>
        <v>WIDJAJA@gmailx.com</v>
      </c>
      <c r="D949" t="str">
        <f ca="1">IFERROR(__xludf.DUMMYFUNCTION("""COMPUTED_VALUE"""),"Sabang")</f>
        <v>Sabang</v>
      </c>
      <c r="E949" s="12">
        <f ca="1">IFERROR(__xludf.DUMMYFUNCTION("""COMPUTED_VALUE"""),42401)</f>
        <v>42401</v>
      </c>
      <c r="F949" t="str">
        <f ca="1">IFERROR(__xludf.DUMMYFUNCTION("""COMPUTED_VALUE"""),"KP0625AF")</f>
        <v>KP0625AF</v>
      </c>
      <c r="G949" s="11">
        <f ca="1">IFERROR(__xludf.DUMMYFUNCTION("""COMPUTED_VALUE"""),120000000)</f>
        <v>120000000</v>
      </c>
      <c r="H949">
        <f ca="1">IFERROR(__xludf.DUMMYFUNCTION("""COMPUTED_VALUE"""),35479)</f>
        <v>35479</v>
      </c>
      <c r="I949">
        <f ca="1">IFERROR(__xludf.DUMMYFUNCTION("""COMPUTED_VALUE"""),10)</f>
        <v>10</v>
      </c>
      <c r="J949" t="str">
        <f ca="1">IFERROR(__xludf.DUMMYFUNCTION("""COMPUTED_VALUE"""),"N/A")</f>
        <v>N/A</v>
      </c>
      <c r="K949" t="str">
        <f ca="1">IFERROR(__xludf.DUMMYFUNCTION("""COMPUTED_VALUE"""),"Wakanda Express")</f>
        <v>Wakanda Express</v>
      </c>
      <c r="L949" t="str">
        <f ca="1">IFERROR(__xludf.DUMMYFUNCTION("""COMPUTED_VALUE"""),"Y")</f>
        <v>Y</v>
      </c>
      <c r="M949" t="str">
        <f ca="1">IFERROR(__xludf.DUMMYFUNCTION("""COMPUTED_VALUE"""),"xg-101")</f>
        <v>xg-101</v>
      </c>
    </row>
    <row r="950" spans="1:13" ht="12.5" x14ac:dyDescent="0.25">
      <c r="A950" t="str">
        <f ca="1">IFERROR(__xludf.DUMMYFUNCTION("""COMPUTED_VALUE"""),"Agus")</f>
        <v>Agus</v>
      </c>
      <c r="B950" t="str">
        <f ca="1">IFERROR(__xludf.DUMMYFUNCTION("""COMPUTED_VALUE"""),"Indra")</f>
        <v>Indra</v>
      </c>
      <c r="C950" t="str">
        <f ca="1">IFERROR(__xludf.DUMMYFUNCTION("""COMPUTED_VALUE"""),"Agus@ymailx.com")</f>
        <v>Agus@ymailx.com</v>
      </c>
      <c r="D950" t="str">
        <f ca="1">IFERROR(__xludf.DUMMYFUNCTION("""COMPUTED_VALUE"""),"Kendari")</f>
        <v>Kendari</v>
      </c>
      <c r="E950" s="12">
        <f ca="1">IFERROR(__xludf.DUMMYFUNCTION("""COMPUTED_VALUE"""),42370)</f>
        <v>42370</v>
      </c>
      <c r="F950" t="str">
        <f ca="1">IFERROR(__xludf.DUMMYFUNCTION("""COMPUTED_VALUE"""),"KP0350CF")</f>
        <v>KP0350CF</v>
      </c>
      <c r="G950" s="11">
        <f ca="1">IFERROR(__xludf.DUMMYFUNCTION("""COMPUTED_VALUE"""),210000000)</f>
        <v>210000000</v>
      </c>
      <c r="H950">
        <f ca="1">IFERROR(__xludf.DUMMYFUNCTION("""COMPUTED_VALUE"""),36087)</f>
        <v>36087</v>
      </c>
      <c r="I950">
        <f ca="1">IFERROR(__xludf.DUMMYFUNCTION("""COMPUTED_VALUE"""),6)</f>
        <v>6</v>
      </c>
      <c r="J950">
        <f ca="1">IFERROR(__xludf.DUMMYFUNCTION("""COMPUTED_VALUE"""),4)</f>
        <v>4</v>
      </c>
      <c r="K950" t="str">
        <f ca="1">IFERROR(__xludf.DUMMYFUNCTION("""COMPUTED_VALUE"""),"Pru Logistic")</f>
        <v>Pru Logistic</v>
      </c>
      <c r="L950" t="str">
        <f ca="1">IFERROR(__xludf.DUMMYFUNCTION("""COMPUTED_VALUE"""),"Y")</f>
        <v>Y</v>
      </c>
      <c r="M950" t="str">
        <f ca="1">IFERROR(__xludf.DUMMYFUNCTION("""COMPUTED_VALUE"""),"ds-250")</f>
        <v>ds-250</v>
      </c>
    </row>
    <row r="951" spans="1:13" ht="12.5" x14ac:dyDescent="0.25">
      <c r="A951" t="str">
        <f ca="1">IFERROR(__xludf.DUMMYFUNCTION("""COMPUTED_VALUE"""),"Dicky")</f>
        <v>Dicky</v>
      </c>
      <c r="B951" t="str">
        <f ca="1">IFERROR(__xludf.DUMMYFUNCTION("""COMPUTED_VALUE"""),"Brown")</f>
        <v>Brown</v>
      </c>
      <c r="C951" t="str">
        <f ca="1">IFERROR(__xludf.DUMMYFUNCTION("""COMPUTED_VALUE"""),"Dicky@livex.com")</f>
        <v>Dicky@livex.com</v>
      </c>
      <c r="D951" t="str">
        <f ca="1">IFERROR(__xludf.DUMMYFUNCTION("""COMPUTED_VALUE"""),"Meulaboh")</f>
        <v>Meulaboh</v>
      </c>
      <c r="E951" s="12">
        <f ca="1">IFERROR(__xludf.DUMMYFUNCTION("""COMPUTED_VALUE"""),43155)</f>
        <v>43155</v>
      </c>
      <c r="F951" t="str">
        <f ca="1">IFERROR(__xludf.DUMMYFUNCTION("""COMPUTED_VALUE"""),"KP0425CB")</f>
        <v>KP0425CB</v>
      </c>
      <c r="G951" s="11">
        <f ca="1">IFERROR(__xludf.DUMMYFUNCTION("""COMPUTED_VALUE"""),54500000)</f>
        <v>54500000</v>
      </c>
      <c r="H951">
        <f ca="1">IFERROR(__xludf.DUMMYFUNCTION("""COMPUTED_VALUE"""),37001)</f>
        <v>37001</v>
      </c>
      <c r="I951">
        <f ca="1">IFERROR(__xludf.DUMMYFUNCTION("""COMPUTED_VALUE"""),2)</f>
        <v>2</v>
      </c>
      <c r="J951">
        <f ca="1">IFERROR(__xludf.DUMMYFUNCTION("""COMPUTED_VALUE"""),4)</f>
        <v>4</v>
      </c>
      <c r="K951" t="str">
        <f ca="1">IFERROR(__xludf.DUMMYFUNCTION("""COMPUTED_VALUE"""),"Swift Delivery")</f>
        <v>Swift Delivery</v>
      </c>
      <c r="L951" t="str">
        <f ca="1">IFERROR(__xludf.DUMMYFUNCTION("""COMPUTED_VALUE"""),"Y")</f>
        <v>Y</v>
      </c>
      <c r="M951" t="str">
        <f ca="1">IFERROR(__xludf.DUMMYFUNCTION("""COMPUTED_VALUE"""),"qb-101")</f>
        <v>qb-101</v>
      </c>
    </row>
    <row r="952" spans="1:13" ht="12.5" x14ac:dyDescent="0.25">
      <c r="A952" t="str">
        <f ca="1">IFERROR(__xludf.DUMMYFUNCTION("""COMPUTED_VALUE"""),"Hesye")</f>
        <v>Hesye</v>
      </c>
      <c r="B952" t="str">
        <f ca="1">IFERROR(__xludf.DUMMYFUNCTION("""COMPUTED_VALUE"""),"N.")</f>
        <v>N.</v>
      </c>
      <c r="C952" t="str">
        <f ca="1">IFERROR(__xludf.DUMMYFUNCTION("""COMPUTED_VALUE"""),"N.@gmailx.com")</f>
        <v>N.@gmailx.com</v>
      </c>
      <c r="D952" t="str">
        <f ca="1">IFERROR(__xludf.DUMMYFUNCTION("""COMPUTED_VALUE"""),"Kotamobagu")</f>
        <v>Kotamobagu</v>
      </c>
      <c r="E952" s="12">
        <f ca="1">IFERROR(__xludf.DUMMYFUNCTION("""COMPUTED_VALUE"""),43183)</f>
        <v>43183</v>
      </c>
      <c r="F952" t="str">
        <f ca="1">IFERROR(__xludf.DUMMYFUNCTION("""COMPUTED_VALUE"""),"KP0150BH")</f>
        <v>KP0150BH</v>
      </c>
      <c r="G952" s="11">
        <f ca="1">IFERROR(__xludf.DUMMYFUNCTION("""COMPUTED_VALUE"""),108000000)</f>
        <v>108000000</v>
      </c>
      <c r="H952">
        <f ca="1">IFERROR(__xludf.DUMMYFUNCTION("""COMPUTED_VALUE"""),37002)</f>
        <v>37002</v>
      </c>
      <c r="I952">
        <f ca="1">IFERROR(__xludf.DUMMYFUNCTION("""COMPUTED_VALUE"""),4)</f>
        <v>4</v>
      </c>
      <c r="J952" t="str">
        <f ca="1">IFERROR(__xludf.DUMMYFUNCTION("""COMPUTED_VALUE"""),"N/A")</f>
        <v>N/A</v>
      </c>
      <c r="K952" t="str">
        <f ca="1">IFERROR(__xludf.DUMMYFUNCTION("""COMPUTED_VALUE"""),"Cepat Kirim")</f>
        <v>Cepat Kirim</v>
      </c>
      <c r="L952" t="str">
        <f ca="1">IFERROR(__xludf.DUMMYFUNCTION("""COMPUTED_VALUE"""),"Y")</f>
        <v>Y</v>
      </c>
      <c r="M952" t="str">
        <f ca="1">IFERROR(__xludf.DUMMYFUNCTION("""COMPUTED_VALUE"""),"sq-221")</f>
        <v>sq-221</v>
      </c>
    </row>
    <row r="953" spans="1:13" ht="12.5" x14ac:dyDescent="0.25">
      <c r="A953" t="str">
        <f ca="1">IFERROR(__xludf.DUMMYFUNCTION("""COMPUTED_VALUE"""),"Hendro")</f>
        <v>Hendro</v>
      </c>
      <c r="B953" t="str">
        <f ca="1">IFERROR(__xludf.DUMMYFUNCTION("""COMPUTED_VALUE"""),"Hasjim")</f>
        <v>Hasjim</v>
      </c>
      <c r="C953" t="str">
        <f ca="1">IFERROR(__xludf.DUMMYFUNCTION("""COMPUTED_VALUE"""),"Hendro@gmailx.com")</f>
        <v>Hendro@gmailx.com</v>
      </c>
      <c r="D953" t="str">
        <f ca="1">IFERROR(__xludf.DUMMYFUNCTION("""COMPUTED_VALUE"""),"Bandung")</f>
        <v>Bandung</v>
      </c>
      <c r="E953" s="12">
        <f ca="1">IFERROR(__xludf.DUMMYFUNCTION("""COMPUTED_VALUE"""),43214)</f>
        <v>43214</v>
      </c>
      <c r="F953" t="str">
        <f ca="1">IFERROR(__xludf.DUMMYFUNCTION("""COMPUTED_VALUE"""),"KP0150BH")</f>
        <v>KP0150BH</v>
      </c>
      <c r="G953" s="11">
        <f ca="1">IFERROR(__xludf.DUMMYFUNCTION("""COMPUTED_VALUE"""),81000000)</f>
        <v>81000000</v>
      </c>
      <c r="H953">
        <f ca="1">IFERROR(__xludf.DUMMYFUNCTION("""COMPUTED_VALUE"""),37003)</f>
        <v>37003</v>
      </c>
      <c r="I953">
        <f ca="1">IFERROR(__xludf.DUMMYFUNCTION("""COMPUTED_VALUE"""),3)</f>
        <v>3</v>
      </c>
      <c r="J953" t="str">
        <f ca="1">IFERROR(__xludf.DUMMYFUNCTION("""COMPUTED_VALUE"""),"N/A")</f>
        <v>N/A</v>
      </c>
      <c r="K953" t="str">
        <f ca="1">IFERROR(__xludf.DUMMYFUNCTION("""COMPUTED_VALUE"""),"Wakanda Express")</f>
        <v>Wakanda Express</v>
      </c>
      <c r="L953" t="str">
        <f ca="1">IFERROR(__xludf.DUMMYFUNCTION("""COMPUTED_VALUE"""),"Y")</f>
        <v>Y</v>
      </c>
      <c r="M953" t="str">
        <f ca="1">IFERROR(__xludf.DUMMYFUNCTION("""COMPUTED_VALUE"""),"nc-409")</f>
        <v>nc-409</v>
      </c>
    </row>
    <row r="954" spans="1:13" ht="12.5" x14ac:dyDescent="0.25">
      <c r="A954" t="str">
        <f ca="1">IFERROR(__xludf.DUMMYFUNCTION("""COMPUTED_VALUE"""),"Lambertus")</f>
        <v>Lambertus</v>
      </c>
      <c r="B954" t="str">
        <f ca="1">IFERROR(__xludf.DUMMYFUNCTION("""COMPUTED_VALUE"""),"Singh")</f>
        <v>Singh</v>
      </c>
      <c r="C954" t="str">
        <f ca="1">IFERROR(__xludf.DUMMYFUNCTION("""COMPUTED_VALUE"""),"Singh@livex.com")</f>
        <v>Singh@livex.com</v>
      </c>
      <c r="D954" t="str">
        <f ca="1">IFERROR(__xludf.DUMMYFUNCTION("""COMPUTED_VALUE"""),"Tarakan")</f>
        <v>Tarakan</v>
      </c>
      <c r="E954" s="12">
        <f ca="1">IFERROR(__xludf.DUMMYFUNCTION("""COMPUTED_VALUE"""),43214)</f>
        <v>43214</v>
      </c>
      <c r="F954" t="str">
        <f ca="1">IFERROR(__xludf.DUMMYFUNCTION("""COMPUTED_VALUE"""),"KP0425CB")</f>
        <v>KP0425CB</v>
      </c>
      <c r="G954" s="11">
        <f ca="1">IFERROR(__xludf.DUMMYFUNCTION("""COMPUTED_VALUE"""),190750000)</f>
        <v>190750000</v>
      </c>
      <c r="H954">
        <f ca="1">IFERROR(__xludf.DUMMYFUNCTION("""COMPUTED_VALUE"""),37004)</f>
        <v>37004</v>
      </c>
      <c r="I954">
        <f ca="1">IFERROR(__xludf.DUMMYFUNCTION("""COMPUTED_VALUE"""),7)</f>
        <v>7</v>
      </c>
      <c r="J954">
        <f ca="1">IFERROR(__xludf.DUMMYFUNCTION("""COMPUTED_VALUE"""),4)</f>
        <v>4</v>
      </c>
      <c r="K954" t="str">
        <f ca="1">IFERROR(__xludf.DUMMYFUNCTION("""COMPUTED_VALUE"""),"JENT")</f>
        <v>JENT</v>
      </c>
      <c r="L954" t="str">
        <f ca="1">IFERROR(__xludf.DUMMYFUNCTION("""COMPUTED_VALUE"""),"Y")</f>
        <v>Y</v>
      </c>
      <c r="M954" t="str">
        <f ca="1">IFERROR(__xludf.DUMMYFUNCTION("""COMPUTED_VALUE"""),"dx-994")</f>
        <v>dx-994</v>
      </c>
    </row>
    <row r="955" spans="1:13" ht="12.5" x14ac:dyDescent="0.25">
      <c r="A955" t="str">
        <f ca="1">IFERROR(__xludf.DUMMYFUNCTION("""COMPUTED_VALUE"""),"Safarina")</f>
        <v>Safarina</v>
      </c>
      <c r="B955" t="str">
        <f ca="1">IFERROR(__xludf.DUMMYFUNCTION("""COMPUTED_VALUE"""),"Rossi")</f>
        <v>Rossi</v>
      </c>
      <c r="C955" t="str">
        <f ca="1">IFERROR(__xludf.DUMMYFUNCTION("""COMPUTED_VALUE"""),"Rossi@icloudx.com")</f>
        <v>Rossi@icloudx.com</v>
      </c>
      <c r="D955" t="str">
        <f ca="1">IFERROR(__xludf.DUMMYFUNCTION("""COMPUTED_VALUE"""),"Langsa")</f>
        <v>Langsa</v>
      </c>
      <c r="E955" s="12">
        <f ca="1">IFERROR(__xludf.DUMMYFUNCTION("""COMPUTED_VALUE"""),43214)</f>
        <v>43214</v>
      </c>
      <c r="F955" t="str">
        <f ca="1">IFERROR(__xludf.DUMMYFUNCTION("""COMPUTED_VALUE"""),"KP0150BH")</f>
        <v>KP0150BH</v>
      </c>
      <c r="G955" s="11">
        <f ca="1">IFERROR(__xludf.DUMMYFUNCTION("""COMPUTED_VALUE"""),243000000)</f>
        <v>243000000</v>
      </c>
      <c r="H955">
        <f ca="1">IFERROR(__xludf.DUMMYFUNCTION("""COMPUTED_VALUE"""),37005)</f>
        <v>37005</v>
      </c>
      <c r="I955">
        <f ca="1">IFERROR(__xludf.DUMMYFUNCTION("""COMPUTED_VALUE"""),9)</f>
        <v>9</v>
      </c>
      <c r="J955" t="str">
        <f ca="1">IFERROR(__xludf.DUMMYFUNCTION("""COMPUTED_VALUE"""),"N/A")</f>
        <v>N/A</v>
      </c>
      <c r="K955" t="str">
        <f ca="1">IFERROR(__xludf.DUMMYFUNCTION("""COMPUTED_VALUE"""),"Swift Delivery")</f>
        <v>Swift Delivery</v>
      </c>
      <c r="L955" t="str">
        <f ca="1">IFERROR(__xludf.DUMMYFUNCTION("""COMPUTED_VALUE"""),"N")</f>
        <v>N</v>
      </c>
      <c r="M955" t="str">
        <f ca="1">IFERROR(__xludf.DUMMYFUNCTION("""COMPUTED_VALUE"""),"yp-101")</f>
        <v>yp-101</v>
      </c>
    </row>
    <row r="956" spans="1:13" ht="12.5" x14ac:dyDescent="0.25">
      <c r="A956" t="str">
        <f ca="1">IFERROR(__xludf.DUMMYFUNCTION("""COMPUTED_VALUE"""),"Lim")</f>
        <v>Lim</v>
      </c>
      <c r="B956" t="str">
        <f ca="1">IFERROR(__xludf.DUMMYFUNCTION("""COMPUTED_VALUE"""),"Sik")</f>
        <v>Sik</v>
      </c>
      <c r="C956" t="str">
        <f ca="1">IFERROR(__xludf.DUMMYFUNCTION("""COMPUTED_VALUE"""),"Sik@mex.com")</f>
        <v>Sik@mex.com</v>
      </c>
      <c r="D956" t="str">
        <f ca="1">IFERROR(__xludf.DUMMYFUNCTION("""COMPUTED_VALUE"""),"Kediri")</f>
        <v>Kediri</v>
      </c>
      <c r="E956" s="12">
        <f ca="1">IFERROR(__xludf.DUMMYFUNCTION("""COMPUTED_VALUE"""),43214)</f>
        <v>43214</v>
      </c>
      <c r="F956" t="str">
        <f ca="1">IFERROR(__xludf.DUMMYFUNCTION("""COMPUTED_VALUE"""),"KP0050AG")</f>
        <v>KP0050AG</v>
      </c>
      <c r="G956" s="11">
        <f ca="1">IFERROR(__xludf.DUMMYFUNCTION("""COMPUTED_VALUE"""),97500000)</f>
        <v>97500000</v>
      </c>
      <c r="H956">
        <f ca="1">IFERROR(__xludf.DUMMYFUNCTION("""COMPUTED_VALUE"""),37006)</f>
        <v>37006</v>
      </c>
      <c r="I956">
        <f ca="1">IFERROR(__xludf.DUMMYFUNCTION("""COMPUTED_VALUE"""),6)</f>
        <v>6</v>
      </c>
      <c r="J956">
        <f ca="1">IFERROR(__xludf.DUMMYFUNCTION("""COMPUTED_VALUE"""),4)</f>
        <v>4</v>
      </c>
      <c r="K956" t="str">
        <f ca="1">IFERROR(__xludf.DUMMYFUNCTION("""COMPUTED_VALUE"""),"Wakanda Express")</f>
        <v>Wakanda Express</v>
      </c>
      <c r="L956" t="str">
        <f ca="1">IFERROR(__xludf.DUMMYFUNCTION("""COMPUTED_VALUE"""),"Y")</f>
        <v>Y</v>
      </c>
      <c r="M956" t="str">
        <f ca="1">IFERROR(__xludf.DUMMYFUNCTION("""COMPUTED_VALUE"""),"aj-123")</f>
        <v>aj-123</v>
      </c>
    </row>
    <row r="957" spans="1:13" ht="12.5" x14ac:dyDescent="0.25">
      <c r="A957" t="str">
        <f ca="1">IFERROR(__xludf.DUMMYFUNCTION("""COMPUTED_VALUE"""),"Dina")</f>
        <v>Dina</v>
      </c>
      <c r="B957" t="str">
        <f ca="1">IFERROR(__xludf.DUMMYFUNCTION("""COMPUTED_VALUE"""),"Limited")</f>
        <v>Limited</v>
      </c>
      <c r="C957" t="str">
        <f ca="1">IFERROR(__xludf.DUMMYFUNCTION("""COMPUTED_VALUE"""),"Dina@icloudx.com")</f>
        <v>Dina@icloudx.com</v>
      </c>
      <c r="D957" t="str">
        <f ca="1">IFERROR(__xludf.DUMMYFUNCTION("""COMPUTED_VALUE"""),"Solok")</f>
        <v>Solok</v>
      </c>
      <c r="E957" s="12">
        <f ca="1">IFERROR(__xludf.DUMMYFUNCTION("""COMPUTED_VALUE"""),43244)</f>
        <v>43244</v>
      </c>
      <c r="F957" t="str">
        <f ca="1">IFERROR(__xludf.DUMMYFUNCTION("""COMPUTED_VALUE"""),"KP0350CF")</f>
        <v>KP0350CF</v>
      </c>
      <c r="G957" s="11">
        <f ca="1">IFERROR(__xludf.DUMMYFUNCTION("""COMPUTED_VALUE"""),315000000)</f>
        <v>315000000</v>
      </c>
      <c r="H957">
        <f ca="1">IFERROR(__xludf.DUMMYFUNCTION("""COMPUTED_VALUE"""),37007)</f>
        <v>37007</v>
      </c>
      <c r="I957">
        <f ca="1">IFERROR(__xludf.DUMMYFUNCTION("""COMPUTED_VALUE"""),9)</f>
        <v>9</v>
      </c>
      <c r="J957">
        <f ca="1">IFERROR(__xludf.DUMMYFUNCTION("""COMPUTED_VALUE"""),3)</f>
        <v>3</v>
      </c>
      <c r="K957" t="str">
        <f ca="1">IFERROR(__xludf.DUMMYFUNCTION("""COMPUTED_VALUE"""),"Swift Delivery")</f>
        <v>Swift Delivery</v>
      </c>
      <c r="L957" t="str">
        <f ca="1">IFERROR(__xludf.DUMMYFUNCTION("""COMPUTED_VALUE"""),"Y")</f>
        <v>Y</v>
      </c>
      <c r="M957" t="str">
        <f ca="1">IFERROR(__xludf.DUMMYFUNCTION("""COMPUTED_VALUE"""),"je-559")</f>
        <v>je-559</v>
      </c>
    </row>
    <row r="958" spans="1:13" ht="12.5" x14ac:dyDescent="0.25">
      <c r="A958" t="str">
        <f ca="1">IFERROR(__xludf.DUMMYFUNCTION("""COMPUTED_VALUE"""),"Beatrice")</f>
        <v>Beatrice</v>
      </c>
      <c r="B958" t="str">
        <f ca="1">IFERROR(__xludf.DUMMYFUNCTION("""COMPUTED_VALUE"""),"Tedjajadi")</f>
        <v>Tedjajadi</v>
      </c>
      <c r="C958" t="str">
        <f ca="1">IFERROR(__xludf.DUMMYFUNCTION("""COMPUTED_VALUE"""),"Tedjajadi@gmailx.com")</f>
        <v>Tedjajadi@gmailx.com</v>
      </c>
      <c r="D958" t="str">
        <f ca="1">IFERROR(__xludf.DUMMYFUNCTION("""COMPUTED_VALUE"""),"Blitar")</f>
        <v>Blitar</v>
      </c>
      <c r="E958" s="12">
        <f ca="1">IFERROR(__xludf.DUMMYFUNCTION("""COMPUTED_VALUE"""),43244)</f>
        <v>43244</v>
      </c>
      <c r="F958" t="str">
        <f ca="1">IFERROR(__xludf.DUMMYFUNCTION("""COMPUTED_VALUE"""),"KP0150BH")</f>
        <v>KP0150BH</v>
      </c>
      <c r="G958" s="11">
        <f ca="1">IFERROR(__xludf.DUMMYFUNCTION("""COMPUTED_VALUE"""),162000000)</f>
        <v>162000000</v>
      </c>
      <c r="H958">
        <f ca="1">IFERROR(__xludf.DUMMYFUNCTION("""COMPUTED_VALUE"""),37008)</f>
        <v>37008</v>
      </c>
      <c r="I958">
        <f ca="1">IFERROR(__xludf.DUMMYFUNCTION("""COMPUTED_VALUE"""),6)</f>
        <v>6</v>
      </c>
      <c r="J958" t="str">
        <f ca="1">IFERROR(__xludf.DUMMYFUNCTION("""COMPUTED_VALUE"""),"N/A")</f>
        <v>N/A</v>
      </c>
      <c r="K958" t="str">
        <f ca="1">IFERROR(__xludf.DUMMYFUNCTION("""COMPUTED_VALUE"""),"JENT")</f>
        <v>JENT</v>
      </c>
      <c r="L958" t="str">
        <f ca="1">IFERROR(__xludf.DUMMYFUNCTION("""COMPUTED_VALUE"""),"Y")</f>
        <v>Y</v>
      </c>
      <c r="M958" t="str">
        <f ca="1">IFERROR(__xludf.DUMMYFUNCTION("""COMPUTED_VALUE"""),"wn-123")</f>
        <v>wn-123</v>
      </c>
    </row>
    <row r="959" spans="1:13" ht="12.5" x14ac:dyDescent="0.25">
      <c r="A959" t="str">
        <f ca="1">IFERROR(__xludf.DUMMYFUNCTION("""COMPUTED_VALUE"""),"Junanda")</f>
        <v>Junanda</v>
      </c>
      <c r="B959" t="str">
        <f ca="1">IFERROR(__xludf.DUMMYFUNCTION("""COMPUTED_VALUE"""),"Liani")</f>
        <v>Liani</v>
      </c>
      <c r="C959" t="str">
        <f ca="1">IFERROR(__xludf.DUMMYFUNCTION("""COMPUTED_VALUE"""),"LIANI@gmailx.com")</f>
        <v>LIANI@gmailx.com</v>
      </c>
      <c r="D959" t="str">
        <f ca="1">IFERROR(__xludf.DUMMYFUNCTION("""COMPUTED_VALUE"""),"Pangkalpinang")</f>
        <v>Pangkalpinang</v>
      </c>
      <c r="E959" s="12">
        <f ca="1">IFERROR(__xludf.DUMMYFUNCTION("""COMPUTED_VALUE"""),43275)</f>
        <v>43275</v>
      </c>
      <c r="F959" t="str">
        <f ca="1">IFERROR(__xludf.DUMMYFUNCTION("""COMPUTED_VALUE"""),"KP0225BB")</f>
        <v>KP0225BB</v>
      </c>
      <c r="G959" s="11">
        <f ca="1">IFERROR(__xludf.DUMMYFUNCTION("""COMPUTED_VALUE"""),60000000)</f>
        <v>60000000</v>
      </c>
      <c r="H959">
        <f ca="1">IFERROR(__xludf.DUMMYFUNCTION("""COMPUTED_VALUE"""),37009)</f>
        <v>37009</v>
      </c>
      <c r="I959">
        <f ca="1">IFERROR(__xludf.DUMMYFUNCTION("""COMPUTED_VALUE"""),6)</f>
        <v>6</v>
      </c>
      <c r="J959">
        <f ca="1">IFERROR(__xludf.DUMMYFUNCTION("""COMPUTED_VALUE"""),4)</f>
        <v>4</v>
      </c>
      <c r="K959" t="str">
        <f ca="1">IFERROR(__xludf.DUMMYFUNCTION("""COMPUTED_VALUE"""),"JENT")</f>
        <v>JENT</v>
      </c>
      <c r="L959" t="str">
        <f ca="1">IFERROR(__xludf.DUMMYFUNCTION("""COMPUTED_VALUE"""),"Y")</f>
        <v>Y</v>
      </c>
      <c r="M959" t="str">
        <f ca="1">IFERROR(__xludf.DUMMYFUNCTION("""COMPUTED_VALUE"""),"zx-120")</f>
        <v>zx-120</v>
      </c>
    </row>
    <row r="960" spans="1:13" ht="12.5" x14ac:dyDescent="0.25">
      <c r="A960" t="str">
        <f ca="1">IFERROR(__xludf.DUMMYFUNCTION("""COMPUTED_VALUE"""),"Armedta")</f>
        <v>Armedta</v>
      </c>
      <c r="B960" t="str">
        <f ca="1">IFERROR(__xludf.DUMMYFUNCTION("""COMPUTED_VALUE"""),"Christina")</f>
        <v>Christina</v>
      </c>
      <c r="C960" t="str">
        <f ca="1">IFERROR(__xludf.DUMMYFUNCTION("""COMPUTED_VALUE"""),"Christina@livex.com")</f>
        <v>Christina@livex.com</v>
      </c>
      <c r="D960" t="str">
        <f ca="1">IFERROR(__xludf.DUMMYFUNCTION("""COMPUTED_VALUE"""),"Denpasar")</f>
        <v>Denpasar</v>
      </c>
      <c r="E960" s="12">
        <f ca="1">IFERROR(__xludf.DUMMYFUNCTION("""COMPUTED_VALUE"""),43275)</f>
        <v>43275</v>
      </c>
      <c r="F960" t="str">
        <f ca="1">IFERROR(__xludf.DUMMYFUNCTION("""COMPUTED_VALUE"""),"KP0350CF")</f>
        <v>KP0350CF</v>
      </c>
      <c r="G960" s="11">
        <f ca="1">IFERROR(__xludf.DUMMYFUNCTION("""COMPUTED_VALUE"""),175000000)</f>
        <v>175000000</v>
      </c>
      <c r="H960">
        <f ca="1">IFERROR(__xludf.DUMMYFUNCTION("""COMPUTED_VALUE"""),37010)</f>
        <v>37010</v>
      </c>
      <c r="I960">
        <f ca="1">IFERROR(__xludf.DUMMYFUNCTION("""COMPUTED_VALUE"""),5)</f>
        <v>5</v>
      </c>
      <c r="J960" t="str">
        <f ca="1">IFERROR(__xludf.DUMMYFUNCTION("""COMPUTED_VALUE"""),"N/A")</f>
        <v>N/A</v>
      </c>
      <c r="K960" t="str">
        <f ca="1">IFERROR(__xludf.DUMMYFUNCTION("""COMPUTED_VALUE"""),"Wakanda Express")</f>
        <v>Wakanda Express</v>
      </c>
      <c r="L960" t="str">
        <f ca="1">IFERROR(__xludf.DUMMYFUNCTION("""COMPUTED_VALUE"""),"Y")</f>
        <v>Y</v>
      </c>
      <c r="M960" t="str">
        <f ca="1">IFERROR(__xludf.DUMMYFUNCTION("""COMPUTED_VALUE"""),"ve-201")</f>
        <v>ve-201</v>
      </c>
    </row>
    <row r="961" spans="1:13" ht="12.5" x14ac:dyDescent="0.25">
      <c r="A961" t="str">
        <f ca="1">IFERROR(__xludf.DUMMYFUNCTION("""COMPUTED_VALUE"""),"Anwar")</f>
        <v>Anwar</v>
      </c>
      <c r="B961" t="str">
        <f ca="1">IFERROR(__xludf.DUMMYFUNCTION("""COMPUTED_VALUE"""),"Hendrastiti")</f>
        <v>Hendrastiti</v>
      </c>
      <c r="C961" t="str">
        <f ca="1">IFERROR(__xludf.DUMMYFUNCTION("""COMPUTED_VALUE"""),"Hendrastiti@livex.com")</f>
        <v>Hendrastiti@livex.com</v>
      </c>
      <c r="D961" t="str">
        <f ca="1">IFERROR(__xludf.DUMMYFUNCTION("""COMPUTED_VALUE"""),"Banda Aceh")</f>
        <v>Banda Aceh</v>
      </c>
      <c r="E961" s="12">
        <f ca="1">IFERROR(__xludf.DUMMYFUNCTION("""COMPUTED_VALUE"""),43305)</f>
        <v>43305</v>
      </c>
      <c r="F961" t="str">
        <f ca="1">IFERROR(__xludf.DUMMYFUNCTION("""COMPUTED_VALUE"""),"KP0925SG")</f>
        <v>KP0925SG</v>
      </c>
      <c r="G961" s="11">
        <f ca="1">IFERROR(__xludf.DUMMYFUNCTION("""COMPUTED_VALUE"""),60000000)</f>
        <v>60000000</v>
      </c>
      <c r="H961">
        <f ca="1">IFERROR(__xludf.DUMMYFUNCTION("""COMPUTED_VALUE"""),37011)</f>
        <v>37011</v>
      </c>
      <c r="I961">
        <f ca="1">IFERROR(__xludf.DUMMYFUNCTION("""COMPUTED_VALUE"""),4)</f>
        <v>4</v>
      </c>
      <c r="J961">
        <f ca="1">IFERROR(__xludf.DUMMYFUNCTION("""COMPUTED_VALUE"""),4)</f>
        <v>4</v>
      </c>
      <c r="K961" t="str">
        <f ca="1">IFERROR(__xludf.DUMMYFUNCTION("""COMPUTED_VALUE"""),"JENT")</f>
        <v>JENT</v>
      </c>
      <c r="L961" t="str">
        <f ca="1">IFERROR(__xludf.DUMMYFUNCTION("""COMPUTED_VALUE"""),"Y")</f>
        <v>Y</v>
      </c>
      <c r="M961" t="str">
        <f ca="1">IFERROR(__xludf.DUMMYFUNCTION("""COMPUTED_VALUE"""),"ie-101")</f>
        <v>ie-101</v>
      </c>
    </row>
    <row r="962" spans="1:13" ht="12.5" x14ac:dyDescent="0.25">
      <c r="A962" t="str">
        <f ca="1">IFERROR(__xludf.DUMMYFUNCTION("""COMPUTED_VALUE"""),"Sonal")</f>
        <v>Sonal</v>
      </c>
      <c r="B962" t="str">
        <f ca="1">IFERROR(__xludf.DUMMYFUNCTION("""COMPUTED_VALUE"""),"Tjahyawati")</f>
        <v>Tjahyawati</v>
      </c>
      <c r="C962" t="str">
        <f ca="1">IFERROR(__xludf.DUMMYFUNCTION("""COMPUTED_VALUE"""),"Sonal@mex.com")</f>
        <v>Sonal@mex.com</v>
      </c>
      <c r="D962" t="str">
        <f ca="1">IFERROR(__xludf.DUMMYFUNCTION("""COMPUTED_VALUE"""),"Madiun")</f>
        <v>Madiun</v>
      </c>
      <c r="E962" s="12">
        <f ca="1">IFERROR(__xludf.DUMMYFUNCTION("""COMPUTED_VALUE"""),43305)</f>
        <v>43305</v>
      </c>
      <c r="F962" t="str">
        <f ca="1">IFERROR(__xludf.DUMMYFUNCTION("""COMPUTED_VALUE"""),"KP0750AJ")</f>
        <v>KP0750AJ</v>
      </c>
      <c r="G962" s="11">
        <f ca="1">IFERROR(__xludf.DUMMYFUNCTION("""COMPUTED_VALUE"""),90000000)</f>
        <v>90000000</v>
      </c>
      <c r="H962">
        <f ca="1">IFERROR(__xludf.DUMMYFUNCTION("""COMPUTED_VALUE"""),37012)</f>
        <v>37012</v>
      </c>
      <c r="I962">
        <f ca="1">IFERROR(__xludf.DUMMYFUNCTION("""COMPUTED_VALUE"""),5)</f>
        <v>5</v>
      </c>
      <c r="J962" t="str">
        <f ca="1">IFERROR(__xludf.DUMMYFUNCTION("""COMPUTED_VALUE"""),"N/A")</f>
        <v>N/A</v>
      </c>
      <c r="K962" t="str">
        <f ca="1">IFERROR(__xludf.DUMMYFUNCTION("""COMPUTED_VALUE"""),"Swift Delivery")</f>
        <v>Swift Delivery</v>
      </c>
      <c r="L962" t="str">
        <f ca="1">IFERROR(__xludf.DUMMYFUNCTION("""COMPUTED_VALUE"""),"N")</f>
        <v>N</v>
      </c>
      <c r="M962" t="str">
        <f ca="1">IFERROR(__xludf.DUMMYFUNCTION("""COMPUTED_VALUE"""),"kt-123")</f>
        <v>kt-123</v>
      </c>
    </row>
    <row r="963" spans="1:13" ht="12.5" x14ac:dyDescent="0.25">
      <c r="A963" t="str">
        <f ca="1">IFERROR(__xludf.DUMMYFUNCTION("""COMPUTED_VALUE"""),"Elsa")</f>
        <v>Elsa</v>
      </c>
      <c r="B963" t="str">
        <f ca="1">IFERROR(__xludf.DUMMYFUNCTION("""COMPUTED_VALUE"""),"Mogi")</f>
        <v>Mogi</v>
      </c>
      <c r="C963" t="str">
        <f ca="1">IFERROR(__xludf.DUMMYFUNCTION("""COMPUTED_VALUE"""),"Elsa@livex.com")</f>
        <v>Elsa@livex.com</v>
      </c>
      <c r="D963" t="str">
        <f ca="1">IFERROR(__xludf.DUMMYFUNCTION("""COMPUTED_VALUE"""),"Tanjungbalai")</f>
        <v>Tanjungbalai</v>
      </c>
      <c r="E963" s="12">
        <f ca="1">IFERROR(__xludf.DUMMYFUNCTION("""COMPUTED_VALUE"""),43336)</f>
        <v>43336</v>
      </c>
      <c r="F963" t="str">
        <f ca="1">IFERROR(__xludf.DUMMYFUNCTION("""COMPUTED_VALUE"""),"KP0625AF")</f>
        <v>KP0625AF</v>
      </c>
      <c r="G963" s="11">
        <f ca="1">IFERROR(__xludf.DUMMYFUNCTION("""COMPUTED_VALUE"""),48000000)</f>
        <v>48000000</v>
      </c>
      <c r="H963">
        <f ca="1">IFERROR(__xludf.DUMMYFUNCTION("""COMPUTED_VALUE"""),37013)</f>
        <v>37013</v>
      </c>
      <c r="I963">
        <f ca="1">IFERROR(__xludf.DUMMYFUNCTION("""COMPUTED_VALUE"""),4)</f>
        <v>4</v>
      </c>
      <c r="J963">
        <f ca="1">IFERROR(__xludf.DUMMYFUNCTION("""COMPUTED_VALUE"""),2)</f>
        <v>2</v>
      </c>
      <c r="K963" t="str">
        <f ca="1">IFERROR(__xludf.DUMMYFUNCTION("""COMPUTED_VALUE"""),"Pru Logistic")</f>
        <v>Pru Logistic</v>
      </c>
      <c r="L963" t="str">
        <f ca="1">IFERROR(__xludf.DUMMYFUNCTION("""COMPUTED_VALUE"""),"Y")</f>
        <v>Y</v>
      </c>
      <c r="M963" t="str">
        <f ca="1">IFERROR(__xludf.DUMMYFUNCTION("""COMPUTED_VALUE"""),"Wi-662")</f>
        <v>Wi-662</v>
      </c>
    </row>
    <row r="964" spans="1:13" ht="12.5" x14ac:dyDescent="0.25">
      <c r="A964" t="str">
        <f ca="1">IFERROR(__xludf.DUMMYFUNCTION("""COMPUTED_VALUE"""),"Djoni")</f>
        <v>Djoni</v>
      </c>
      <c r="B964" t="str">
        <f ca="1">IFERROR(__xludf.DUMMYFUNCTION("""COMPUTED_VALUE"""),"Mardova")</f>
        <v>Mardova</v>
      </c>
      <c r="C964" t="str">
        <f ca="1">IFERROR(__xludf.DUMMYFUNCTION("""COMPUTED_VALUE"""),"Djoni@outlookx.com")</f>
        <v>Djoni@outlookx.com</v>
      </c>
      <c r="D964" t="str">
        <f ca="1">IFERROR(__xludf.DUMMYFUNCTION("""COMPUTED_VALUE"""),"Jambi")</f>
        <v>Jambi</v>
      </c>
      <c r="E964" s="12">
        <f ca="1">IFERROR(__xludf.DUMMYFUNCTION("""COMPUTED_VALUE"""),43367)</f>
        <v>43367</v>
      </c>
      <c r="F964" t="str">
        <f ca="1">IFERROR(__xludf.DUMMYFUNCTION("""COMPUTED_VALUE"""),"KP0750AJ")</f>
        <v>KP0750AJ</v>
      </c>
      <c r="G964" s="11">
        <f ca="1">IFERROR(__xludf.DUMMYFUNCTION("""COMPUTED_VALUE"""),144000000)</f>
        <v>144000000</v>
      </c>
      <c r="H964">
        <f ca="1">IFERROR(__xludf.DUMMYFUNCTION("""COMPUTED_VALUE"""),37014)</f>
        <v>37014</v>
      </c>
      <c r="I964">
        <f ca="1">IFERROR(__xludf.DUMMYFUNCTION("""COMPUTED_VALUE"""),8)</f>
        <v>8</v>
      </c>
      <c r="J964" t="str">
        <f ca="1">IFERROR(__xludf.DUMMYFUNCTION("""COMPUTED_VALUE"""),"N/A")</f>
        <v>N/A</v>
      </c>
      <c r="K964" t="str">
        <f ca="1">IFERROR(__xludf.DUMMYFUNCTION("""COMPUTED_VALUE"""),"Wakanda Express")</f>
        <v>Wakanda Express</v>
      </c>
      <c r="L964" t="str">
        <f ca="1">IFERROR(__xludf.DUMMYFUNCTION("""COMPUTED_VALUE"""),"Y")</f>
        <v>Y</v>
      </c>
      <c r="M964" t="str">
        <f ca="1">IFERROR(__xludf.DUMMYFUNCTION("""COMPUTED_VALUE"""),"ph-512")</f>
        <v>ph-512</v>
      </c>
    </row>
    <row r="965" spans="1:13" ht="12.5" x14ac:dyDescent="0.25">
      <c r="A965" t="str">
        <f ca="1">IFERROR(__xludf.DUMMYFUNCTION("""COMPUTED_VALUE"""),"Vijay")</f>
        <v>Vijay</v>
      </c>
      <c r="B965" t="str">
        <f ca="1">IFERROR(__xludf.DUMMYFUNCTION("""COMPUTED_VALUE"""),"Naraindas")</f>
        <v>Naraindas</v>
      </c>
      <c r="C965" t="str">
        <f ca="1">IFERROR(__xludf.DUMMYFUNCTION("""COMPUTED_VALUE"""),"Naraindas@rocketmailx.com")</f>
        <v>Naraindas@rocketmailx.com</v>
      </c>
      <c r="D965" t="str">
        <f ca="1">IFERROR(__xludf.DUMMYFUNCTION("""COMPUTED_VALUE"""),"Sabang")</f>
        <v>Sabang</v>
      </c>
      <c r="E965" s="12">
        <f ca="1">IFERROR(__xludf.DUMMYFUNCTION("""COMPUTED_VALUE"""),43125)</f>
        <v>43125</v>
      </c>
      <c r="F965" t="str">
        <f ca="1">IFERROR(__xludf.DUMMYFUNCTION("""COMPUTED_VALUE"""),"KP0150BH")</f>
        <v>KP0150BH</v>
      </c>
      <c r="G965" s="11">
        <f ca="1">IFERROR(__xludf.DUMMYFUNCTION("""COMPUTED_VALUE"""),108000000)</f>
        <v>108000000</v>
      </c>
      <c r="H965">
        <f ca="1">IFERROR(__xludf.DUMMYFUNCTION("""COMPUTED_VALUE"""),37015)</f>
        <v>37015</v>
      </c>
      <c r="I965">
        <f ca="1">IFERROR(__xludf.DUMMYFUNCTION("""COMPUTED_VALUE"""),4)</f>
        <v>4</v>
      </c>
      <c r="J965">
        <f ca="1">IFERROR(__xludf.DUMMYFUNCTION("""COMPUTED_VALUE"""),4)</f>
        <v>4</v>
      </c>
      <c r="K965" t="str">
        <f ca="1">IFERROR(__xludf.DUMMYFUNCTION("""COMPUTED_VALUE"""),"#N/A")</f>
        <v>#N/A</v>
      </c>
      <c r="L965" t="str">
        <f ca="1">IFERROR(__xludf.DUMMYFUNCTION("""COMPUTED_VALUE"""),"N")</f>
        <v>N</v>
      </c>
      <c r="M965" t="str">
        <f ca="1">IFERROR(__xludf.DUMMYFUNCTION("""COMPUTED_VALUE"""),"av-101")</f>
        <v>av-101</v>
      </c>
    </row>
    <row r="966" spans="1:13" ht="12.5" x14ac:dyDescent="0.25">
      <c r="A966" t="str">
        <f ca="1">IFERROR(__xludf.DUMMYFUNCTION("""COMPUTED_VALUE"""),"Nasir")</f>
        <v>Nasir</v>
      </c>
      <c r="B966" t="str">
        <f ca="1">IFERROR(__xludf.DUMMYFUNCTION("""COMPUTED_VALUE"""),"Esther")</f>
        <v>Esther</v>
      </c>
      <c r="C966" t="str">
        <f ca="1">IFERROR(__xludf.DUMMYFUNCTION("""COMPUTED_VALUE"""),"Nasir@livex.com")</f>
        <v>Nasir@livex.com</v>
      </c>
      <c r="D966" t="str">
        <f ca="1">IFERROR(__xludf.DUMMYFUNCTION("""COMPUTED_VALUE"""),"Jakarta Utara")</f>
        <v>Jakarta Utara</v>
      </c>
      <c r="E966" s="12">
        <f ca="1">IFERROR(__xludf.DUMMYFUNCTION("""COMPUTED_VALUE"""),43125)</f>
        <v>43125</v>
      </c>
      <c r="F966" t="str">
        <f ca="1">IFERROR(__xludf.DUMMYFUNCTION("""COMPUTED_VALUE"""),"KP0625AF")</f>
        <v>KP0625AF</v>
      </c>
      <c r="G966" s="11">
        <f ca="1">IFERROR(__xludf.DUMMYFUNCTION("""COMPUTED_VALUE"""),60000000)</f>
        <v>60000000</v>
      </c>
      <c r="H966">
        <f ca="1">IFERROR(__xludf.DUMMYFUNCTION("""COMPUTED_VALUE"""),37016)</f>
        <v>37016</v>
      </c>
      <c r="I966">
        <f ca="1">IFERROR(__xludf.DUMMYFUNCTION("""COMPUTED_VALUE"""),5)</f>
        <v>5</v>
      </c>
      <c r="J966">
        <f ca="1">IFERROR(__xludf.DUMMYFUNCTION("""COMPUTED_VALUE"""),4)</f>
        <v>4</v>
      </c>
      <c r="K966" t="str">
        <f ca="1">IFERROR(__xludf.DUMMYFUNCTION("""COMPUTED_VALUE"""),"Swift Delivery")</f>
        <v>Swift Delivery</v>
      </c>
      <c r="L966" t="str">
        <f ca="1">IFERROR(__xludf.DUMMYFUNCTION("""COMPUTED_VALUE"""),"N")</f>
        <v>N</v>
      </c>
      <c r="M966" t="str">
        <f ca="1">IFERROR(__xludf.DUMMYFUNCTION("""COMPUTED_VALUE"""),"jm-333")</f>
        <v>jm-333</v>
      </c>
    </row>
    <row r="967" spans="1:13" ht="12.5" x14ac:dyDescent="0.25">
      <c r="A967" t="str">
        <f ca="1">IFERROR(__xludf.DUMMYFUNCTION("""COMPUTED_VALUE"""),"Erwin")</f>
        <v>Erwin</v>
      </c>
      <c r="B967" t="str">
        <f ca="1">IFERROR(__xludf.DUMMYFUNCTION("""COMPUTED_VALUE"""),"Kahar")</f>
        <v>Kahar</v>
      </c>
      <c r="C967" t="str">
        <f ca="1">IFERROR(__xludf.DUMMYFUNCTION("""COMPUTED_VALUE"""),"Erwin@gmailx.com")</f>
        <v>Erwin@gmailx.com</v>
      </c>
      <c r="D967" t="str">
        <f ca="1">IFERROR(__xludf.DUMMYFUNCTION("""COMPUTED_VALUE"""),"Banjarbaru")</f>
        <v>Banjarbaru</v>
      </c>
      <c r="E967" s="12">
        <f ca="1">IFERROR(__xludf.DUMMYFUNCTION("""COMPUTED_VALUE"""),43125)</f>
        <v>43125</v>
      </c>
      <c r="F967" t="str">
        <f ca="1">IFERROR(__xludf.DUMMYFUNCTION("""COMPUTED_VALUE"""),"KP0750AJ")</f>
        <v>KP0750AJ</v>
      </c>
      <c r="G967" s="11">
        <f ca="1">IFERROR(__xludf.DUMMYFUNCTION("""COMPUTED_VALUE"""),90000000)</f>
        <v>90000000</v>
      </c>
      <c r="H967">
        <f ca="1">IFERROR(__xludf.DUMMYFUNCTION("""COMPUTED_VALUE"""),37017)</f>
        <v>37017</v>
      </c>
      <c r="I967">
        <f ca="1">IFERROR(__xludf.DUMMYFUNCTION("""COMPUTED_VALUE"""),5)</f>
        <v>5</v>
      </c>
      <c r="J967" t="str">
        <f ca="1">IFERROR(__xludf.DUMMYFUNCTION("""COMPUTED_VALUE"""),"N/A")</f>
        <v>N/A</v>
      </c>
      <c r="K967" t="str">
        <f ca="1">IFERROR(__xludf.DUMMYFUNCTION("""COMPUTED_VALUE"""),"JENT")</f>
        <v>JENT</v>
      </c>
      <c r="L967" t="str">
        <f ca="1">IFERROR(__xludf.DUMMYFUNCTION("""COMPUTED_VALUE"""),"Y")</f>
        <v>Y</v>
      </c>
      <c r="M967" t="str">
        <f ca="1">IFERROR(__xludf.DUMMYFUNCTION("""COMPUTED_VALUE"""),"rp-991")</f>
        <v>rp-991</v>
      </c>
    </row>
    <row r="968" spans="1:13" ht="12.5" x14ac:dyDescent="0.25">
      <c r="A968" t="str">
        <f ca="1">IFERROR(__xludf.DUMMYFUNCTION("""COMPUTED_VALUE"""),"Aurelia")</f>
        <v>Aurelia</v>
      </c>
      <c r="B968" t="str">
        <f ca="1">IFERROR(__xludf.DUMMYFUNCTION("""COMPUTED_VALUE"""),"Siregar")</f>
        <v>Siregar</v>
      </c>
      <c r="C968" t="str">
        <f ca="1">IFERROR(__xludf.DUMMYFUNCTION("""COMPUTED_VALUE"""),"Aurelia@livex.com")</f>
        <v>Aurelia@livex.com</v>
      </c>
      <c r="D968" t="str">
        <f ca="1">IFERROR(__xludf.DUMMYFUNCTION("""COMPUTED_VALUE"""),"Cilegon")</f>
        <v>Cilegon</v>
      </c>
      <c r="E968" s="12">
        <f ca="1">IFERROR(__xludf.DUMMYFUNCTION("""COMPUTED_VALUE"""),43398)</f>
        <v>43398</v>
      </c>
      <c r="F968" t="str">
        <f ca="1">IFERROR(__xludf.DUMMYFUNCTION("""COMPUTED_VALUE"""),"KP0625AF")</f>
        <v>KP0625AF</v>
      </c>
      <c r="G968" s="11">
        <f ca="1">IFERROR(__xludf.DUMMYFUNCTION("""COMPUTED_VALUE"""),60000000)</f>
        <v>60000000</v>
      </c>
      <c r="H968">
        <f ca="1">IFERROR(__xludf.DUMMYFUNCTION("""COMPUTED_VALUE"""),37018)</f>
        <v>37018</v>
      </c>
      <c r="I968">
        <f ca="1">IFERROR(__xludf.DUMMYFUNCTION("""COMPUTED_VALUE"""),5)</f>
        <v>5</v>
      </c>
      <c r="J968">
        <f ca="1">IFERROR(__xludf.DUMMYFUNCTION("""COMPUTED_VALUE"""),4)</f>
        <v>4</v>
      </c>
      <c r="K968" t="str">
        <f ca="1">IFERROR(__xludf.DUMMYFUNCTION("""COMPUTED_VALUE"""),"Cepat Kirim")</f>
        <v>Cepat Kirim</v>
      </c>
      <c r="L968" t="str">
        <f ca="1">IFERROR(__xludf.DUMMYFUNCTION("""COMPUTED_VALUE"""),"Y")</f>
        <v>Y</v>
      </c>
      <c r="M968" t="str">
        <f ca="1">IFERROR(__xludf.DUMMYFUNCTION("""COMPUTED_VALUE"""),"Iq-500")</f>
        <v>Iq-500</v>
      </c>
    </row>
    <row r="969" spans="1:13" ht="12.5" x14ac:dyDescent="0.25">
      <c r="A969" t="str">
        <f ca="1">IFERROR(__xludf.DUMMYFUNCTION("""COMPUTED_VALUE"""),"Lee")</f>
        <v>Lee</v>
      </c>
      <c r="B969" t="str">
        <f ca="1">IFERROR(__xludf.DUMMYFUNCTION("""COMPUTED_VALUE"""),"Faizal")</f>
        <v>Faizal</v>
      </c>
      <c r="C969" t="str">
        <f ca="1">IFERROR(__xludf.DUMMYFUNCTION("""COMPUTED_VALUE"""),"Lee@livex.com")</f>
        <v>Lee@livex.com</v>
      </c>
      <c r="D969" t="str">
        <f ca="1">IFERROR(__xludf.DUMMYFUNCTION("""COMPUTED_VALUE"""),"Mojokerto")</f>
        <v>Mojokerto</v>
      </c>
      <c r="E969" s="12">
        <f ca="1">IFERROR(__xludf.DUMMYFUNCTION("""COMPUTED_VALUE"""),43429)</f>
        <v>43429</v>
      </c>
      <c r="F969" t="str">
        <f ca="1">IFERROR(__xludf.DUMMYFUNCTION("""COMPUTED_VALUE"""),"KP0850FB")</f>
        <v>KP0850FB</v>
      </c>
      <c r="G969" s="11">
        <f ca="1">IFERROR(__xludf.DUMMYFUNCTION("""COMPUTED_VALUE"""),84000000)</f>
        <v>84000000</v>
      </c>
      <c r="H969">
        <f ca="1">IFERROR(__xludf.DUMMYFUNCTION("""COMPUTED_VALUE"""),37019)</f>
        <v>37019</v>
      </c>
      <c r="I969">
        <f ca="1">IFERROR(__xludf.DUMMYFUNCTION("""COMPUTED_VALUE"""),4)</f>
        <v>4</v>
      </c>
      <c r="J969" t="str">
        <f ca="1">IFERROR(__xludf.DUMMYFUNCTION("""COMPUTED_VALUE"""),"N/A")</f>
        <v>N/A</v>
      </c>
      <c r="K969" t="str">
        <f ca="1">IFERROR(__xludf.DUMMYFUNCTION("""COMPUTED_VALUE"""),"JENT")</f>
        <v>JENT</v>
      </c>
      <c r="L969" t="str">
        <f ca="1">IFERROR(__xludf.DUMMYFUNCTION("""COMPUTED_VALUE"""),"Y")</f>
        <v>Y</v>
      </c>
      <c r="M969" t="str">
        <f ca="1">IFERROR(__xludf.DUMMYFUNCTION("""COMPUTED_VALUE"""),"Zb-123")</f>
        <v>Zb-123</v>
      </c>
    </row>
    <row r="970" spans="1:13" ht="12.5" x14ac:dyDescent="0.25">
      <c r="A970" t="str">
        <f ca="1">IFERROR(__xludf.DUMMYFUNCTION("""COMPUTED_VALUE"""),"Setia")</f>
        <v>Setia</v>
      </c>
      <c r="B970" t="str">
        <f ca="1">IFERROR(__xludf.DUMMYFUNCTION("""COMPUTED_VALUE"""),"Harijanto")</f>
        <v>Harijanto</v>
      </c>
      <c r="C970" t="str">
        <f ca="1">IFERROR(__xludf.DUMMYFUNCTION("""COMPUTED_VALUE"""),"Harijanto@rocketmailx.com")</f>
        <v>Harijanto@rocketmailx.com</v>
      </c>
      <c r="D970" t="str">
        <f ca="1">IFERROR(__xludf.DUMMYFUNCTION("""COMPUTED_VALUE"""),"Madiun")</f>
        <v>Madiun</v>
      </c>
      <c r="E970" s="12">
        <f ca="1">IFERROR(__xludf.DUMMYFUNCTION("""COMPUTED_VALUE"""),43215)</f>
        <v>43215</v>
      </c>
      <c r="F970" t="str">
        <f ca="1">IFERROR(__xludf.DUMMYFUNCTION("""COMPUTED_VALUE"""),"KP0150BH")</f>
        <v>KP0150BH</v>
      </c>
      <c r="G970" s="11">
        <f ca="1">IFERROR(__xludf.DUMMYFUNCTION("""COMPUTED_VALUE"""),108000000)</f>
        <v>108000000</v>
      </c>
      <c r="H970">
        <f ca="1">IFERROR(__xludf.DUMMYFUNCTION("""COMPUTED_VALUE"""),37020)</f>
        <v>37020</v>
      </c>
      <c r="I970">
        <f ca="1">IFERROR(__xludf.DUMMYFUNCTION("""COMPUTED_VALUE"""),4)</f>
        <v>4</v>
      </c>
      <c r="J970" t="str">
        <f ca="1">IFERROR(__xludf.DUMMYFUNCTION("""COMPUTED_VALUE"""),"N/A")</f>
        <v>N/A</v>
      </c>
      <c r="K970" t="str">
        <f ca="1">IFERROR(__xludf.DUMMYFUNCTION("""COMPUTED_VALUE"""),"Cepat Kirim")</f>
        <v>Cepat Kirim</v>
      </c>
      <c r="L970" t="str">
        <f ca="1">IFERROR(__xludf.DUMMYFUNCTION("""COMPUTED_VALUE"""),"N")</f>
        <v>N</v>
      </c>
      <c r="M970" t="str">
        <f ca="1">IFERROR(__xludf.DUMMYFUNCTION("""COMPUTED_VALUE"""),"nv-123")</f>
        <v>nv-123</v>
      </c>
    </row>
    <row r="971" spans="1:13" ht="12.5" x14ac:dyDescent="0.25">
      <c r="A971" t="str">
        <f ca="1">IFERROR(__xludf.DUMMYFUNCTION("""COMPUTED_VALUE"""),"Daniel")</f>
        <v>Daniel</v>
      </c>
      <c r="B971" t="str">
        <f ca="1">IFERROR(__xludf.DUMMYFUNCTION("""COMPUTED_VALUE"""),"International")</f>
        <v>International</v>
      </c>
      <c r="C971" t="str">
        <f ca="1">IFERROR(__xludf.DUMMYFUNCTION("""COMPUTED_VALUE"""),"International@livex.com")</f>
        <v>International@livex.com</v>
      </c>
      <c r="D971" t="str">
        <f ca="1">IFERROR(__xludf.DUMMYFUNCTION("""COMPUTED_VALUE"""),"Jakarta Barat")</f>
        <v>Jakarta Barat</v>
      </c>
      <c r="E971" s="12">
        <f ca="1">IFERROR(__xludf.DUMMYFUNCTION("""COMPUTED_VALUE"""),43215)</f>
        <v>43215</v>
      </c>
      <c r="F971" t="str">
        <f ca="1">IFERROR(__xludf.DUMMYFUNCTION("""COMPUTED_VALUE"""),"KP0925SG")</f>
        <v>KP0925SG</v>
      </c>
      <c r="G971" s="11">
        <f ca="1">IFERROR(__xludf.DUMMYFUNCTION("""COMPUTED_VALUE"""),105000000)</f>
        <v>105000000</v>
      </c>
      <c r="H971">
        <f ca="1">IFERROR(__xludf.DUMMYFUNCTION("""COMPUTED_VALUE"""),37021)</f>
        <v>37021</v>
      </c>
      <c r="I971">
        <f ca="1">IFERROR(__xludf.DUMMYFUNCTION("""COMPUTED_VALUE"""),7)</f>
        <v>7</v>
      </c>
      <c r="J971" t="str">
        <f ca="1">IFERROR(__xludf.DUMMYFUNCTION("""COMPUTED_VALUE"""),"N/A")</f>
        <v>N/A</v>
      </c>
      <c r="K971" t="str">
        <f ca="1">IFERROR(__xludf.DUMMYFUNCTION("""COMPUTED_VALUE"""),"JENT")</f>
        <v>JENT</v>
      </c>
      <c r="L971" t="str">
        <f ca="1">IFERROR(__xludf.DUMMYFUNCTION("""COMPUTED_VALUE"""),"Y")</f>
        <v>Y</v>
      </c>
      <c r="M971" t="str">
        <f ca="1">IFERROR(__xludf.DUMMYFUNCTION("""COMPUTED_VALUE"""),"sx-333")</f>
        <v>sx-333</v>
      </c>
    </row>
    <row r="972" spans="1:13" ht="12.5" x14ac:dyDescent="0.25">
      <c r="A972" t="str">
        <f ca="1">IFERROR(__xludf.DUMMYFUNCTION("""COMPUTED_VALUE"""),"Maria")</f>
        <v>Maria</v>
      </c>
      <c r="B972" t="str">
        <f ca="1">IFERROR(__xludf.DUMMYFUNCTION("""COMPUTED_VALUE"""),"Diana")</f>
        <v>Diana</v>
      </c>
      <c r="C972" t="str">
        <f ca="1">IFERROR(__xludf.DUMMYFUNCTION("""COMPUTED_VALUE"""),"Diana@icloudx.com")</f>
        <v>Diana@icloudx.com</v>
      </c>
      <c r="D972" t="str">
        <f ca="1">IFERROR(__xludf.DUMMYFUNCTION("""COMPUTED_VALUE"""),"Sibolga")</f>
        <v>Sibolga</v>
      </c>
      <c r="E972" s="12">
        <f ca="1">IFERROR(__xludf.DUMMYFUNCTION("""COMPUTED_VALUE"""),43215)</f>
        <v>43215</v>
      </c>
      <c r="F972" t="str">
        <f ca="1">IFERROR(__xludf.DUMMYFUNCTION("""COMPUTED_VALUE"""),"KP0050AG")</f>
        <v>KP0050AG</v>
      </c>
      <c r="G972" s="11">
        <f ca="1">IFERROR(__xludf.DUMMYFUNCTION("""COMPUTED_VALUE"""),113750000)</f>
        <v>113750000</v>
      </c>
      <c r="H972">
        <f ca="1">IFERROR(__xludf.DUMMYFUNCTION("""COMPUTED_VALUE"""),37022)</f>
        <v>37022</v>
      </c>
      <c r="I972">
        <f ca="1">IFERROR(__xludf.DUMMYFUNCTION("""COMPUTED_VALUE"""),7)</f>
        <v>7</v>
      </c>
      <c r="J972">
        <f ca="1">IFERROR(__xludf.DUMMYFUNCTION("""COMPUTED_VALUE"""),5)</f>
        <v>5</v>
      </c>
      <c r="K972" t="str">
        <f ca="1">IFERROR(__xludf.DUMMYFUNCTION("""COMPUTED_VALUE"""),"Cepat Kirim")</f>
        <v>Cepat Kirim</v>
      </c>
      <c r="L972" t="str">
        <f ca="1">IFERROR(__xludf.DUMMYFUNCTION("""COMPUTED_VALUE"""),"Y")</f>
        <v>Y</v>
      </c>
      <c r="M972" t="str">
        <f ca="1">IFERROR(__xludf.DUMMYFUNCTION("""COMPUTED_VALUE"""),"gk-662")</f>
        <v>gk-662</v>
      </c>
    </row>
    <row r="973" spans="1:13" ht="12.5" x14ac:dyDescent="0.25">
      <c r="A973" t="str">
        <f ca="1">IFERROR(__xludf.DUMMYFUNCTION("""COMPUTED_VALUE"""),"Petrus")</f>
        <v>Petrus</v>
      </c>
      <c r="B973" t="str">
        <f ca="1">IFERROR(__xludf.DUMMYFUNCTION("""COMPUTED_VALUE"""),"Hugh")</f>
        <v>Hugh</v>
      </c>
      <c r="C973" t="str">
        <f ca="1">IFERROR(__xludf.DUMMYFUNCTION("""COMPUTED_VALUE"""),"Hugh@livex.com")</f>
        <v>Hugh@livex.com</v>
      </c>
      <c r="D973" t="str">
        <f ca="1">IFERROR(__xludf.DUMMYFUNCTION("""COMPUTED_VALUE"""),"Bandung")</f>
        <v>Bandung</v>
      </c>
      <c r="E973" s="12">
        <f ca="1">IFERROR(__xludf.DUMMYFUNCTION("""COMPUTED_VALUE"""),43245)</f>
        <v>43245</v>
      </c>
      <c r="F973" t="str">
        <f ca="1">IFERROR(__xludf.DUMMYFUNCTION("""COMPUTED_VALUE"""),"KP0925SG")</f>
        <v>KP0925SG</v>
      </c>
      <c r="G973" s="11">
        <f ca="1">IFERROR(__xludf.DUMMYFUNCTION("""COMPUTED_VALUE"""),60000000)</f>
        <v>60000000</v>
      </c>
      <c r="H973">
        <f ca="1">IFERROR(__xludf.DUMMYFUNCTION("""COMPUTED_VALUE"""),37023)</f>
        <v>37023</v>
      </c>
      <c r="I973">
        <f ca="1">IFERROR(__xludf.DUMMYFUNCTION("""COMPUTED_VALUE"""),4)</f>
        <v>4</v>
      </c>
      <c r="J973">
        <f ca="1">IFERROR(__xludf.DUMMYFUNCTION("""COMPUTED_VALUE"""),4)</f>
        <v>4</v>
      </c>
      <c r="K973" t="str">
        <f ca="1">IFERROR(__xludf.DUMMYFUNCTION("""COMPUTED_VALUE"""),"Pru Logistic")</f>
        <v>Pru Logistic</v>
      </c>
      <c r="L973" t="str">
        <f ca="1">IFERROR(__xludf.DUMMYFUNCTION("""COMPUTED_VALUE"""),"N")</f>
        <v>N</v>
      </c>
      <c r="M973" t="str">
        <f ca="1">IFERROR(__xludf.DUMMYFUNCTION("""COMPUTED_VALUE"""),"en-409")</f>
        <v>en-409</v>
      </c>
    </row>
    <row r="974" spans="1:13" ht="12.5" x14ac:dyDescent="0.25">
      <c r="A974" t="str">
        <f ca="1">IFERROR(__xludf.DUMMYFUNCTION("""COMPUTED_VALUE"""),"Gaitini")</f>
        <v>Gaitini</v>
      </c>
      <c r="B974" t="str">
        <f ca="1">IFERROR(__xludf.DUMMYFUNCTION("""COMPUTED_VALUE"""),"Vincent")</f>
        <v>Vincent</v>
      </c>
      <c r="C974" t="str">
        <f ca="1">IFERROR(__xludf.DUMMYFUNCTION("""COMPUTED_VALUE"""),"Gaitini@livex.com")</f>
        <v>Gaitini@livex.com</v>
      </c>
      <c r="D974" t="str">
        <f ca="1">IFERROR(__xludf.DUMMYFUNCTION("""COMPUTED_VALUE"""),"Sawahlunto")</f>
        <v>Sawahlunto</v>
      </c>
      <c r="E974" s="12">
        <f ca="1">IFERROR(__xludf.DUMMYFUNCTION("""COMPUTED_VALUE"""),43276)</f>
        <v>43276</v>
      </c>
      <c r="F974" t="str">
        <f ca="1">IFERROR(__xludf.DUMMYFUNCTION("""COMPUTED_VALUE"""),"KP0850FB")</f>
        <v>KP0850FB</v>
      </c>
      <c r="G974" s="11">
        <f ca="1">IFERROR(__xludf.DUMMYFUNCTION("""COMPUTED_VALUE"""),147000000)</f>
        <v>147000000</v>
      </c>
      <c r="H974">
        <f ca="1">IFERROR(__xludf.DUMMYFUNCTION("""COMPUTED_VALUE"""),37024)</f>
        <v>37024</v>
      </c>
      <c r="I974">
        <f ca="1">IFERROR(__xludf.DUMMYFUNCTION("""COMPUTED_VALUE"""),7)</f>
        <v>7</v>
      </c>
      <c r="J974">
        <f ca="1">IFERROR(__xludf.DUMMYFUNCTION("""COMPUTED_VALUE"""),4)</f>
        <v>4</v>
      </c>
      <c r="K974" t="str">
        <f ca="1">IFERROR(__xludf.DUMMYFUNCTION("""COMPUTED_VALUE"""),"Pru Logistic")</f>
        <v>Pru Logistic</v>
      </c>
      <c r="L974" t="str">
        <f ca="1">IFERROR(__xludf.DUMMYFUNCTION("""COMPUTED_VALUE"""),"Y")</f>
        <v>Y</v>
      </c>
      <c r="M974" t="str">
        <f ca="1">IFERROR(__xludf.DUMMYFUNCTION("""COMPUTED_VALUE"""),"yc-559")</f>
        <v>yc-559</v>
      </c>
    </row>
    <row r="975" spans="1:13" ht="12.5" x14ac:dyDescent="0.25">
      <c r="A975" t="str">
        <f ca="1">IFERROR(__xludf.DUMMYFUNCTION("""COMPUTED_VALUE"""),"Victor")</f>
        <v>Victor</v>
      </c>
      <c r="B975" t="str">
        <f ca="1">IFERROR(__xludf.DUMMYFUNCTION("""COMPUTED_VALUE"""),"Luhur")</f>
        <v>Luhur</v>
      </c>
      <c r="C975" t="str">
        <f ca="1">IFERROR(__xludf.DUMMYFUNCTION("""COMPUTED_VALUE"""),"Luhur@icloudx.com")</f>
        <v>Luhur@icloudx.com</v>
      </c>
      <c r="D975" t="str">
        <f ca="1">IFERROR(__xludf.DUMMYFUNCTION("""COMPUTED_VALUE"""),"Magelang")</f>
        <v>Magelang</v>
      </c>
      <c r="E975" s="12">
        <f ca="1">IFERROR(__xludf.DUMMYFUNCTION("""COMPUTED_VALUE"""),43276)</f>
        <v>43276</v>
      </c>
      <c r="F975" t="str">
        <f ca="1">IFERROR(__xludf.DUMMYFUNCTION("""COMPUTED_VALUE"""),"KP0150BH")</f>
        <v>KP0150BH</v>
      </c>
      <c r="G975" s="11">
        <f ca="1">IFERROR(__xludf.DUMMYFUNCTION("""COMPUTED_VALUE"""),162000000)</f>
        <v>162000000</v>
      </c>
      <c r="H975">
        <f ca="1">IFERROR(__xludf.DUMMYFUNCTION("""COMPUTED_VALUE"""),37025)</f>
        <v>37025</v>
      </c>
      <c r="I975">
        <f ca="1">IFERROR(__xludf.DUMMYFUNCTION("""COMPUTED_VALUE"""),6)</f>
        <v>6</v>
      </c>
      <c r="J975">
        <f ca="1">IFERROR(__xludf.DUMMYFUNCTION("""COMPUTED_VALUE"""),4)</f>
        <v>4</v>
      </c>
      <c r="K975" t="str">
        <f ca="1">IFERROR(__xludf.DUMMYFUNCTION("""COMPUTED_VALUE"""),"#N/A")</f>
        <v>#N/A</v>
      </c>
      <c r="L975" t="str">
        <f ca="1">IFERROR(__xludf.DUMMYFUNCTION("""COMPUTED_VALUE"""),"N")</f>
        <v>N</v>
      </c>
      <c r="M975" t="str">
        <f ca="1">IFERROR(__xludf.DUMMYFUNCTION("""COMPUTED_VALUE"""),"rm-410")</f>
        <v>rm-410</v>
      </c>
    </row>
    <row r="976" spans="1:13" ht="12.5" x14ac:dyDescent="0.25">
      <c r="A976" t="str">
        <f ca="1">IFERROR(__xludf.DUMMYFUNCTION("""COMPUTED_VALUE"""),"Gita")</f>
        <v>Gita</v>
      </c>
      <c r="B976" t="str">
        <f ca="1">IFERROR(__xludf.DUMMYFUNCTION("""COMPUTED_VALUE"""),"Group")</f>
        <v>Group</v>
      </c>
      <c r="C976" t="str">
        <f ca="1">IFERROR(__xludf.DUMMYFUNCTION("""COMPUTED_VALUE"""),"GITA@ymailx.com")</f>
        <v>GITA@ymailx.com</v>
      </c>
      <c r="D976" t="str">
        <f ca="1">IFERROR(__xludf.DUMMYFUNCTION("""COMPUTED_VALUE"""),"Lubuklinggau")</f>
        <v>Lubuklinggau</v>
      </c>
      <c r="E976" s="12">
        <f ca="1">IFERROR(__xludf.DUMMYFUNCTION("""COMPUTED_VALUE"""),43276)</f>
        <v>43276</v>
      </c>
      <c r="F976" t="str">
        <f ca="1">IFERROR(__xludf.DUMMYFUNCTION("""COMPUTED_VALUE"""),"KP0625AF")</f>
        <v>KP0625AF</v>
      </c>
      <c r="G976" s="11">
        <f ca="1">IFERROR(__xludf.DUMMYFUNCTION("""COMPUTED_VALUE"""),60000000)</f>
        <v>60000000</v>
      </c>
      <c r="H976">
        <f ca="1">IFERROR(__xludf.DUMMYFUNCTION("""COMPUTED_VALUE"""),37026)</f>
        <v>37026</v>
      </c>
      <c r="I976">
        <f ca="1">IFERROR(__xludf.DUMMYFUNCTION("""COMPUTED_VALUE"""),5)</f>
        <v>5</v>
      </c>
      <c r="J976" t="str">
        <f ca="1">IFERROR(__xludf.DUMMYFUNCTION("""COMPUTED_VALUE"""),"N/A")</f>
        <v>N/A</v>
      </c>
      <c r="K976" t="str">
        <f ca="1">IFERROR(__xludf.DUMMYFUNCTION("""COMPUTED_VALUE"""),"Swift Delivery")</f>
        <v>Swift Delivery</v>
      </c>
      <c r="L976" t="str">
        <f ca="1">IFERROR(__xludf.DUMMYFUNCTION("""COMPUTED_VALUE"""),"Y")</f>
        <v>Y</v>
      </c>
      <c r="M976" t="str">
        <f ca="1">IFERROR(__xludf.DUMMYFUNCTION("""COMPUTED_VALUE"""),"Dv-661")</f>
        <v>Dv-661</v>
      </c>
    </row>
    <row r="977" spans="1:13" ht="12.5" x14ac:dyDescent="0.25">
      <c r="A977" t="str">
        <f ca="1">IFERROR(__xludf.DUMMYFUNCTION("""COMPUTED_VALUE"""),"Herry")</f>
        <v>Herry</v>
      </c>
      <c r="B977" t="str">
        <f ca="1">IFERROR(__xludf.DUMMYFUNCTION("""COMPUTED_VALUE"""),"Soegiarto")</f>
        <v>Soegiarto</v>
      </c>
      <c r="C977" t="str">
        <f ca="1">IFERROR(__xludf.DUMMYFUNCTION("""COMPUTED_VALUE"""),"Soegiarto@gmailx.com")</f>
        <v>Soegiarto@gmailx.com</v>
      </c>
      <c r="D977" t="str">
        <f ca="1">IFERROR(__xludf.DUMMYFUNCTION("""COMPUTED_VALUE"""),"Metro")</f>
        <v>Metro</v>
      </c>
      <c r="E977" s="12">
        <f ca="1">IFERROR(__xludf.DUMMYFUNCTION("""COMPUTED_VALUE"""),43306)</f>
        <v>43306</v>
      </c>
      <c r="F977" t="str">
        <f ca="1">IFERROR(__xludf.DUMMYFUNCTION("""COMPUTED_VALUE"""),"KP0625AF")</f>
        <v>KP0625AF</v>
      </c>
      <c r="G977" s="11">
        <f ca="1">IFERROR(__xludf.DUMMYFUNCTION("""COMPUTED_VALUE"""),60000000)</f>
        <v>60000000</v>
      </c>
      <c r="H977">
        <f ca="1">IFERROR(__xludf.DUMMYFUNCTION("""COMPUTED_VALUE"""),37027)</f>
        <v>37027</v>
      </c>
      <c r="I977">
        <f ca="1">IFERROR(__xludf.DUMMYFUNCTION("""COMPUTED_VALUE"""),5)</f>
        <v>5</v>
      </c>
      <c r="J977">
        <f ca="1">IFERROR(__xludf.DUMMYFUNCTION("""COMPUTED_VALUE"""),4)</f>
        <v>4</v>
      </c>
      <c r="K977" t="str">
        <f ca="1">IFERROR(__xludf.DUMMYFUNCTION("""COMPUTED_VALUE"""),"Wakanda Express")</f>
        <v>Wakanda Express</v>
      </c>
      <c r="L977" t="str">
        <f ca="1">IFERROR(__xludf.DUMMYFUNCTION("""COMPUTED_VALUE"""),"Y")</f>
        <v>Y</v>
      </c>
      <c r="M977" t="str">
        <f ca="1">IFERROR(__xludf.DUMMYFUNCTION("""COMPUTED_VALUE"""),"Pv-150")</f>
        <v>Pv-150</v>
      </c>
    </row>
    <row r="978" spans="1:13" ht="12.5" x14ac:dyDescent="0.25">
      <c r="A978" t="str">
        <f ca="1">IFERROR(__xludf.DUMMYFUNCTION("""COMPUTED_VALUE"""),"Roger")</f>
        <v>Roger</v>
      </c>
      <c r="B978" t="str">
        <f ca="1">IFERROR(__xludf.DUMMYFUNCTION("""COMPUTED_VALUE"""),"Suliawan")</f>
        <v>Suliawan</v>
      </c>
      <c r="C978" t="str">
        <f ca="1">IFERROR(__xludf.DUMMYFUNCTION("""COMPUTED_VALUE"""),"Roger@ymailx.com")</f>
        <v>Roger@ymailx.com</v>
      </c>
      <c r="D978" t="str">
        <f ca="1">IFERROR(__xludf.DUMMYFUNCTION("""COMPUTED_VALUE"""),"Jakarta Pusat")</f>
        <v>Jakarta Pusat</v>
      </c>
      <c r="E978" s="12">
        <f ca="1">IFERROR(__xludf.DUMMYFUNCTION("""COMPUTED_VALUE"""),43337)</f>
        <v>43337</v>
      </c>
      <c r="F978" t="str">
        <f ca="1">IFERROR(__xludf.DUMMYFUNCTION("""COMPUTED_VALUE"""),"KP0425CB")</f>
        <v>KP0425CB</v>
      </c>
      <c r="G978" s="11">
        <f ca="1">IFERROR(__xludf.DUMMYFUNCTION("""COMPUTED_VALUE"""),163500000)</f>
        <v>163500000</v>
      </c>
      <c r="H978">
        <f ca="1">IFERROR(__xludf.DUMMYFUNCTION("""COMPUTED_VALUE"""),37028)</f>
        <v>37028</v>
      </c>
      <c r="I978">
        <f ca="1">IFERROR(__xludf.DUMMYFUNCTION("""COMPUTED_VALUE"""),6)</f>
        <v>6</v>
      </c>
      <c r="J978">
        <f ca="1">IFERROR(__xludf.DUMMYFUNCTION("""COMPUTED_VALUE"""),4)</f>
        <v>4</v>
      </c>
      <c r="K978" t="str">
        <f ca="1">IFERROR(__xludf.DUMMYFUNCTION("""COMPUTED_VALUE"""),"Cepat Kirim")</f>
        <v>Cepat Kirim</v>
      </c>
      <c r="L978" t="str">
        <f ca="1">IFERROR(__xludf.DUMMYFUNCTION("""COMPUTED_VALUE"""),"N")</f>
        <v>N</v>
      </c>
      <c r="M978" t="str">
        <f ca="1">IFERROR(__xludf.DUMMYFUNCTION("""COMPUTED_VALUE"""),"Bj-333")</f>
        <v>Bj-333</v>
      </c>
    </row>
    <row r="979" spans="1:13" ht="12.5" x14ac:dyDescent="0.25">
      <c r="A979" t="str">
        <f ca="1">IFERROR(__xludf.DUMMYFUNCTION("""COMPUTED_VALUE"""),"Herman")</f>
        <v>Herman</v>
      </c>
      <c r="B979" t="str">
        <f ca="1">IFERROR(__xludf.DUMMYFUNCTION("""COMPUTED_VALUE"""),"Hambali")</f>
        <v>Hambali</v>
      </c>
      <c r="C979" t="str">
        <f ca="1">IFERROR(__xludf.DUMMYFUNCTION("""COMPUTED_VALUE"""),"Hambali@ymailx.com")</f>
        <v>Hambali@ymailx.com</v>
      </c>
      <c r="D979" t="str">
        <f ca="1">IFERROR(__xludf.DUMMYFUNCTION("""COMPUTED_VALUE"""),"Jayapura")</f>
        <v>Jayapura</v>
      </c>
      <c r="E979" s="12">
        <f ca="1">IFERROR(__xludf.DUMMYFUNCTION("""COMPUTED_VALUE"""),43368)</f>
        <v>43368</v>
      </c>
      <c r="F979" t="str">
        <f ca="1">IFERROR(__xludf.DUMMYFUNCTION("""COMPUTED_VALUE"""),"KP0425CB")</f>
        <v>KP0425CB</v>
      </c>
      <c r="G979" s="11">
        <f ca="1">IFERROR(__xludf.DUMMYFUNCTION("""COMPUTED_VALUE"""),190750000)</f>
        <v>190750000</v>
      </c>
      <c r="H979">
        <f ca="1">IFERROR(__xludf.DUMMYFUNCTION("""COMPUTED_VALUE"""),37029)</f>
        <v>37029</v>
      </c>
      <c r="I979">
        <f ca="1">IFERROR(__xludf.DUMMYFUNCTION("""COMPUTED_VALUE"""),7)</f>
        <v>7</v>
      </c>
      <c r="J979">
        <f ca="1">IFERROR(__xludf.DUMMYFUNCTION("""COMPUTED_VALUE"""),3)</f>
        <v>3</v>
      </c>
      <c r="K979" t="str">
        <f ca="1">IFERROR(__xludf.DUMMYFUNCTION("""COMPUTED_VALUE"""),"Cepat Kirim")</f>
        <v>Cepat Kirim</v>
      </c>
      <c r="L979" t="str">
        <f ca="1">IFERROR(__xludf.DUMMYFUNCTION("""COMPUTED_VALUE"""),"Y")</f>
        <v>Y</v>
      </c>
      <c r="M979" t="str">
        <f ca="1">IFERROR(__xludf.DUMMYFUNCTION("""COMPUTED_VALUE"""),"Ti-990")</f>
        <v>Ti-990</v>
      </c>
    </row>
    <row r="980" spans="1:13" ht="12.5" x14ac:dyDescent="0.25">
      <c r="A980" t="str">
        <f ca="1">IFERROR(__xludf.DUMMYFUNCTION("""COMPUTED_VALUE"""),"Lovri")</f>
        <v>Lovri</v>
      </c>
      <c r="B980" t="str">
        <f ca="1">IFERROR(__xludf.DUMMYFUNCTION("""COMPUTED_VALUE"""),"Nelson")</f>
        <v>Nelson</v>
      </c>
      <c r="C980" t="str">
        <f ca="1">IFERROR(__xludf.DUMMYFUNCTION("""COMPUTED_VALUE"""),"Lovri@livex.com")</f>
        <v>Lovri@livex.com</v>
      </c>
      <c r="D980" t="str">
        <f ca="1">IFERROR(__xludf.DUMMYFUNCTION("""COMPUTED_VALUE"""),"Gorontalo")</f>
        <v>Gorontalo</v>
      </c>
      <c r="E980" s="12">
        <f ca="1">IFERROR(__xludf.DUMMYFUNCTION("""COMPUTED_VALUE"""),43368)</f>
        <v>43368</v>
      </c>
      <c r="F980" t="str">
        <f ca="1">IFERROR(__xludf.DUMMYFUNCTION("""COMPUTED_VALUE"""),"KP0850FB")</f>
        <v>KP0850FB</v>
      </c>
      <c r="G980" s="11">
        <f ca="1">IFERROR(__xludf.DUMMYFUNCTION("""COMPUTED_VALUE"""),168000000)</f>
        <v>168000000</v>
      </c>
      <c r="H980">
        <f ca="1">IFERROR(__xludf.DUMMYFUNCTION("""COMPUTED_VALUE"""),37030)</f>
        <v>37030</v>
      </c>
      <c r="I980">
        <f ca="1">IFERROR(__xludf.DUMMYFUNCTION("""COMPUTED_VALUE"""),8)</f>
        <v>8</v>
      </c>
      <c r="J980">
        <f ca="1">IFERROR(__xludf.DUMMYFUNCTION("""COMPUTED_VALUE"""),4)</f>
        <v>4</v>
      </c>
      <c r="K980" t="str">
        <f ca="1">IFERROR(__xludf.DUMMYFUNCTION("""COMPUTED_VALUE"""),"Swift Delivery")</f>
        <v>Swift Delivery</v>
      </c>
      <c r="L980" t="str">
        <f ca="1">IFERROR(__xludf.DUMMYFUNCTION("""COMPUTED_VALUE"""),"Y")</f>
        <v>Y</v>
      </c>
      <c r="M980" t="str">
        <f ca="1">IFERROR(__xludf.DUMMYFUNCTION("""COMPUTED_VALUE"""),"Sv-983")</f>
        <v>Sv-983</v>
      </c>
    </row>
    <row r="981" spans="1:13" ht="12.5" x14ac:dyDescent="0.25">
      <c r="A981" t="str">
        <f ca="1">IFERROR(__xludf.DUMMYFUNCTION("""COMPUTED_VALUE"""),"Ferdinand")</f>
        <v>Ferdinand</v>
      </c>
      <c r="B981" t="str">
        <f ca="1">IFERROR(__xludf.DUMMYFUNCTION("""COMPUTED_VALUE"""),"Mirza")</f>
        <v>Mirza</v>
      </c>
      <c r="C981" t="str">
        <f ca="1">IFERROR(__xludf.DUMMYFUNCTION("""COMPUTED_VALUE"""),"Mirza@ymailx.com")</f>
        <v>Mirza@ymailx.com</v>
      </c>
      <c r="D981" t="str">
        <f ca="1">IFERROR(__xludf.DUMMYFUNCTION("""COMPUTED_VALUE"""),"Tasikmalaya")</f>
        <v>Tasikmalaya</v>
      </c>
      <c r="E981" s="12">
        <f ca="1">IFERROR(__xludf.DUMMYFUNCTION("""COMPUTED_VALUE"""),43126)</f>
        <v>43126</v>
      </c>
      <c r="F981" t="str">
        <f ca="1">IFERROR(__xludf.DUMMYFUNCTION("""COMPUTED_VALUE"""),"KP0850FB")</f>
        <v>KP0850FB</v>
      </c>
      <c r="G981" s="11">
        <f ca="1">IFERROR(__xludf.DUMMYFUNCTION("""COMPUTED_VALUE"""),189000000)</f>
        <v>189000000</v>
      </c>
      <c r="H981">
        <f ca="1">IFERROR(__xludf.DUMMYFUNCTION("""COMPUTED_VALUE"""),37031)</f>
        <v>37031</v>
      </c>
      <c r="I981">
        <f ca="1">IFERROR(__xludf.DUMMYFUNCTION("""COMPUTED_VALUE"""),9)</f>
        <v>9</v>
      </c>
      <c r="J981">
        <f ca="1">IFERROR(__xludf.DUMMYFUNCTION("""COMPUTED_VALUE"""),5)</f>
        <v>5</v>
      </c>
      <c r="K981" t="str">
        <f ca="1">IFERROR(__xludf.DUMMYFUNCTION("""COMPUTED_VALUE"""),"JENT")</f>
        <v>JENT</v>
      </c>
      <c r="L981" t="str">
        <f ca="1">IFERROR(__xludf.DUMMYFUNCTION("""COMPUTED_VALUE"""),"Y")</f>
        <v>Y</v>
      </c>
      <c r="M981" t="str">
        <f ca="1">IFERROR(__xludf.DUMMYFUNCTION("""COMPUTED_VALUE"""),"tg-409")</f>
        <v>tg-409</v>
      </c>
    </row>
    <row r="982" spans="1:13" ht="12.5" x14ac:dyDescent="0.25">
      <c r="A982" t="str">
        <f ca="1">IFERROR(__xludf.DUMMYFUNCTION("""COMPUTED_VALUE"""),"Solihin")</f>
        <v>Solihin</v>
      </c>
      <c r="B982" t="str">
        <f ca="1">IFERROR(__xludf.DUMMYFUNCTION("""COMPUTED_VALUE"""),"Patra")</f>
        <v>Patra</v>
      </c>
      <c r="C982" t="str">
        <f ca="1">IFERROR(__xludf.DUMMYFUNCTION("""COMPUTED_VALUE"""),"Patra@mex.com")</f>
        <v>Patra@mex.com</v>
      </c>
      <c r="D982" t="str">
        <f ca="1">IFERROR(__xludf.DUMMYFUNCTION("""COMPUTED_VALUE"""),"Gorontalo")</f>
        <v>Gorontalo</v>
      </c>
      <c r="E982" s="12">
        <f ca="1">IFERROR(__xludf.DUMMYFUNCTION("""COMPUTED_VALUE"""),43399)</f>
        <v>43399</v>
      </c>
      <c r="F982" t="str">
        <f ca="1">IFERROR(__xludf.DUMMYFUNCTION("""COMPUTED_VALUE"""),"KP0750AJ")</f>
        <v>KP0750AJ</v>
      </c>
      <c r="G982" s="11">
        <f ca="1">IFERROR(__xludf.DUMMYFUNCTION("""COMPUTED_VALUE"""),72000000)</f>
        <v>72000000</v>
      </c>
      <c r="H982">
        <f ca="1">IFERROR(__xludf.DUMMYFUNCTION("""COMPUTED_VALUE"""),37032)</f>
        <v>37032</v>
      </c>
      <c r="I982">
        <f ca="1">IFERROR(__xludf.DUMMYFUNCTION("""COMPUTED_VALUE"""),4)</f>
        <v>4</v>
      </c>
      <c r="J982">
        <f ca="1">IFERROR(__xludf.DUMMYFUNCTION("""COMPUTED_VALUE"""),2)</f>
        <v>2</v>
      </c>
      <c r="K982" t="str">
        <f ca="1">IFERROR(__xludf.DUMMYFUNCTION("""COMPUTED_VALUE"""),"JENT")</f>
        <v>JENT</v>
      </c>
      <c r="L982" t="str">
        <f ca="1">IFERROR(__xludf.DUMMYFUNCTION("""COMPUTED_VALUE"""),"N")</f>
        <v>N</v>
      </c>
      <c r="M982" t="str">
        <f ca="1">IFERROR(__xludf.DUMMYFUNCTION("""COMPUTED_VALUE"""),"ac-983")</f>
        <v>ac-983</v>
      </c>
    </row>
    <row r="983" spans="1:13" ht="12.5" x14ac:dyDescent="0.25">
      <c r="A983" t="str">
        <f ca="1">IFERROR(__xludf.DUMMYFUNCTION("""COMPUTED_VALUE"""),"Calvin")</f>
        <v>Calvin</v>
      </c>
      <c r="B983" t="str">
        <f ca="1">IFERROR(__xludf.DUMMYFUNCTION("""COMPUTED_VALUE"""),"Carmen")</f>
        <v>Carmen</v>
      </c>
      <c r="C983" t="str">
        <f ca="1">IFERROR(__xludf.DUMMYFUNCTION("""COMPUTED_VALUE"""),"Calvin@icloudx.com")</f>
        <v>Calvin@icloudx.com</v>
      </c>
      <c r="D983" t="str">
        <f ca="1">IFERROR(__xludf.DUMMYFUNCTION("""COMPUTED_VALUE"""),"Pariaman")</f>
        <v>Pariaman</v>
      </c>
      <c r="E983" s="12">
        <f ca="1">IFERROR(__xludf.DUMMYFUNCTION("""COMPUTED_VALUE"""),43399)</f>
        <v>43399</v>
      </c>
      <c r="F983" t="str">
        <f ca="1">IFERROR(__xludf.DUMMYFUNCTION("""COMPUTED_VALUE"""),"KP0750AJ")</f>
        <v>KP0750AJ</v>
      </c>
      <c r="G983" s="11">
        <f ca="1">IFERROR(__xludf.DUMMYFUNCTION("""COMPUTED_VALUE"""),144000000)</f>
        <v>144000000</v>
      </c>
      <c r="H983">
        <f ca="1">IFERROR(__xludf.DUMMYFUNCTION("""COMPUTED_VALUE"""),37033)</f>
        <v>37033</v>
      </c>
      <c r="I983">
        <f ca="1">IFERROR(__xludf.DUMMYFUNCTION("""COMPUTED_VALUE"""),8)</f>
        <v>8</v>
      </c>
      <c r="J983" t="str">
        <f ca="1">IFERROR(__xludf.DUMMYFUNCTION("""COMPUTED_VALUE"""),"N/A")</f>
        <v>N/A</v>
      </c>
      <c r="K983" t="str">
        <f ca="1">IFERROR(__xludf.DUMMYFUNCTION("""COMPUTED_VALUE"""),"Cepat Kirim")</f>
        <v>Cepat Kirim</v>
      </c>
      <c r="L983" t="str">
        <f ca="1">IFERROR(__xludf.DUMMYFUNCTION("""COMPUTED_VALUE"""),"Y")</f>
        <v>Y</v>
      </c>
      <c r="M983" t="str">
        <f ca="1">IFERROR(__xludf.DUMMYFUNCTION("""COMPUTED_VALUE"""),"Hm-559")</f>
        <v>Hm-559</v>
      </c>
    </row>
    <row r="984" spans="1:13" ht="12.5" x14ac:dyDescent="0.25">
      <c r="A984" t="str">
        <f ca="1">IFERROR(__xludf.DUMMYFUNCTION("""COMPUTED_VALUE"""),"Henking")</f>
        <v>Henking</v>
      </c>
      <c r="B984" t="str">
        <f ca="1">IFERROR(__xludf.DUMMYFUNCTION("""COMPUTED_VALUE"""),"Ikbal")</f>
        <v>Ikbal</v>
      </c>
      <c r="C984" t="str">
        <f ca="1">IFERROR(__xludf.DUMMYFUNCTION("""COMPUTED_VALUE"""),"Ikbal@ymailx.com")</f>
        <v>Ikbal@ymailx.com</v>
      </c>
      <c r="D984" t="str">
        <f ca="1">IFERROR(__xludf.DUMMYFUNCTION("""COMPUTED_VALUE"""),"Pontianak")</f>
        <v>Pontianak</v>
      </c>
      <c r="E984" s="12">
        <f ca="1">IFERROR(__xludf.DUMMYFUNCTION("""COMPUTED_VALUE"""),43430)</f>
        <v>43430</v>
      </c>
      <c r="F984" t="str">
        <f ca="1">IFERROR(__xludf.DUMMYFUNCTION("""COMPUTED_VALUE"""),"KP0050AG")</f>
        <v>KP0050AG</v>
      </c>
      <c r="G984" s="11">
        <f ca="1">IFERROR(__xludf.DUMMYFUNCTION("""COMPUTED_VALUE"""),162500000)</f>
        <v>162500000</v>
      </c>
      <c r="H984">
        <f ca="1">IFERROR(__xludf.DUMMYFUNCTION("""COMPUTED_VALUE"""),37034)</f>
        <v>37034</v>
      </c>
      <c r="I984">
        <f ca="1">IFERROR(__xludf.DUMMYFUNCTION("""COMPUTED_VALUE"""),10)</f>
        <v>10</v>
      </c>
      <c r="J984" t="str">
        <f ca="1">IFERROR(__xludf.DUMMYFUNCTION("""COMPUTED_VALUE"""),"N/A")</f>
        <v>N/A</v>
      </c>
      <c r="K984" t="str">
        <f ca="1">IFERROR(__xludf.DUMMYFUNCTION("""COMPUTED_VALUE"""),"JENT")</f>
        <v>JENT</v>
      </c>
      <c r="L984" t="str">
        <f ca="1">IFERROR(__xludf.DUMMYFUNCTION("""COMPUTED_VALUE"""),"Y")</f>
        <v>Y</v>
      </c>
      <c r="M984" t="str">
        <f ca="1">IFERROR(__xludf.DUMMYFUNCTION("""COMPUTED_VALUE"""),"Hq-880")</f>
        <v>Hq-880</v>
      </c>
    </row>
    <row r="985" spans="1:13" ht="12.5" x14ac:dyDescent="0.25">
      <c r="A985" t="str">
        <f ca="1">IFERROR(__xludf.DUMMYFUNCTION("""COMPUTED_VALUE"""),"Kiki")</f>
        <v>Kiki</v>
      </c>
      <c r="B985" t="str">
        <f ca="1">IFERROR(__xludf.DUMMYFUNCTION("""COMPUTED_VALUE"""),"Utomo")</f>
        <v>Utomo</v>
      </c>
      <c r="C985" t="str">
        <f ca="1">IFERROR(__xludf.DUMMYFUNCTION("""COMPUTED_VALUE"""),"Utomo@ymailx.com")</f>
        <v>Utomo@ymailx.com</v>
      </c>
      <c r="D985" t="str">
        <f ca="1">IFERROR(__xludf.DUMMYFUNCTION("""COMPUTED_VALUE"""),"Yogyakarta")</f>
        <v>Yogyakarta</v>
      </c>
      <c r="E985" s="12">
        <f ca="1">IFERROR(__xludf.DUMMYFUNCTION("""COMPUTED_VALUE"""),43460)</f>
        <v>43460</v>
      </c>
      <c r="F985" t="str">
        <f ca="1">IFERROR(__xludf.DUMMYFUNCTION("""COMPUTED_VALUE"""),"KP0750AJ")</f>
        <v>KP0750AJ</v>
      </c>
      <c r="G985" s="11">
        <f ca="1">IFERROR(__xludf.DUMMYFUNCTION("""COMPUTED_VALUE"""),90000000)</f>
        <v>90000000</v>
      </c>
      <c r="H985">
        <f ca="1">IFERROR(__xludf.DUMMYFUNCTION("""COMPUTED_VALUE"""),37035)</f>
        <v>37035</v>
      </c>
      <c r="I985">
        <f ca="1">IFERROR(__xludf.DUMMYFUNCTION("""COMPUTED_VALUE"""),5)</f>
        <v>5</v>
      </c>
      <c r="J985">
        <f ca="1">IFERROR(__xludf.DUMMYFUNCTION("""COMPUTED_VALUE"""),4)</f>
        <v>4</v>
      </c>
      <c r="K985" t="str">
        <f ca="1">IFERROR(__xludf.DUMMYFUNCTION("""COMPUTED_VALUE"""),"JENT")</f>
        <v>JENT</v>
      </c>
      <c r="L985" t="str">
        <f ca="1">IFERROR(__xludf.DUMMYFUNCTION("""COMPUTED_VALUE"""),"Y")</f>
        <v>Y</v>
      </c>
      <c r="M985" t="str">
        <f ca="1">IFERROR(__xludf.DUMMYFUNCTION("""COMPUTED_VALUE"""),"hd-444")</f>
        <v>hd-444</v>
      </c>
    </row>
    <row r="986" spans="1:13" ht="12.5" x14ac:dyDescent="0.25">
      <c r="A986" t="str">
        <f ca="1">IFERROR(__xludf.DUMMYFUNCTION("""COMPUTED_VALUE"""),"Baldeo")</f>
        <v>Baldeo</v>
      </c>
      <c r="B986" t="str">
        <f ca="1">IFERROR(__xludf.DUMMYFUNCTION("""COMPUTED_VALUE"""),"Agil")</f>
        <v>Agil</v>
      </c>
      <c r="C986" t="str">
        <f ca="1">IFERROR(__xludf.DUMMYFUNCTION("""COMPUTED_VALUE"""),"Baldeo@ymailx.com")</f>
        <v>Baldeo@ymailx.com</v>
      </c>
      <c r="D986" t="str">
        <f ca="1">IFERROR(__xludf.DUMMYFUNCTION("""COMPUTED_VALUE"""),"Tomohon")</f>
        <v>Tomohon</v>
      </c>
      <c r="E986" s="12">
        <f ca="1">IFERROR(__xludf.DUMMYFUNCTION("""COMPUTED_VALUE"""),43460)</f>
        <v>43460</v>
      </c>
      <c r="F986" t="str">
        <f ca="1">IFERROR(__xludf.DUMMYFUNCTION("""COMPUTED_VALUE"""),"KP0050AG")</f>
        <v>KP0050AG</v>
      </c>
      <c r="G986" s="11">
        <f ca="1">IFERROR(__xludf.DUMMYFUNCTION("""COMPUTED_VALUE"""),113750000)</f>
        <v>113750000</v>
      </c>
      <c r="H986">
        <f ca="1">IFERROR(__xludf.DUMMYFUNCTION("""COMPUTED_VALUE"""),37036)</f>
        <v>37036</v>
      </c>
      <c r="I986">
        <f ca="1">IFERROR(__xludf.DUMMYFUNCTION("""COMPUTED_VALUE"""),7)</f>
        <v>7</v>
      </c>
      <c r="J986" t="str">
        <f ca="1">IFERROR(__xludf.DUMMYFUNCTION("""COMPUTED_VALUE"""),"N/A")</f>
        <v>N/A</v>
      </c>
      <c r="K986" t="str">
        <f ca="1">IFERROR(__xludf.DUMMYFUNCTION("""COMPUTED_VALUE"""),"JENT")</f>
        <v>JENT</v>
      </c>
      <c r="L986" t="str">
        <f ca="1">IFERROR(__xludf.DUMMYFUNCTION("""COMPUTED_VALUE"""),"Y")</f>
        <v>Y</v>
      </c>
      <c r="M986" t="str">
        <f ca="1">IFERROR(__xludf.DUMMYFUNCTION("""COMPUTED_VALUE"""),"Uj-221")</f>
        <v>Uj-221</v>
      </c>
    </row>
    <row r="987" spans="1:13" ht="12.5" x14ac:dyDescent="0.25">
      <c r="A987" t="str">
        <f ca="1">IFERROR(__xludf.DUMMYFUNCTION("""COMPUTED_VALUE"""),"Adji")</f>
        <v>Adji</v>
      </c>
      <c r="B987" t="str">
        <f ca="1">IFERROR(__xludf.DUMMYFUNCTION("""COMPUTED_VALUE"""),"Widjojo")</f>
        <v>Widjojo</v>
      </c>
      <c r="C987" t="str">
        <f ca="1">IFERROR(__xludf.DUMMYFUNCTION("""COMPUTED_VALUE"""),"Adji@livex.com")</f>
        <v>Adji@livex.com</v>
      </c>
      <c r="D987" t="str">
        <f ca="1">IFERROR(__xludf.DUMMYFUNCTION("""COMPUTED_VALUE"""),"Tarakan")</f>
        <v>Tarakan</v>
      </c>
      <c r="E987" s="12">
        <f ca="1">IFERROR(__xludf.DUMMYFUNCTION("""COMPUTED_VALUE"""),43460)</f>
        <v>43460</v>
      </c>
      <c r="F987" t="str">
        <f ca="1">IFERROR(__xludf.DUMMYFUNCTION("""COMPUTED_VALUE"""),"KP0850FB")</f>
        <v>KP0850FB</v>
      </c>
      <c r="G987" s="11">
        <f ca="1">IFERROR(__xludf.DUMMYFUNCTION("""COMPUTED_VALUE"""),126000000)</f>
        <v>126000000</v>
      </c>
      <c r="H987">
        <f ca="1">IFERROR(__xludf.DUMMYFUNCTION("""COMPUTED_VALUE"""),37037)</f>
        <v>37037</v>
      </c>
      <c r="I987">
        <f ca="1">IFERROR(__xludf.DUMMYFUNCTION("""COMPUTED_VALUE"""),6)</f>
        <v>6</v>
      </c>
      <c r="J987" t="str">
        <f ca="1">IFERROR(__xludf.DUMMYFUNCTION("""COMPUTED_VALUE"""),"N/A")</f>
        <v>N/A</v>
      </c>
      <c r="K987" t="str">
        <f ca="1">IFERROR(__xludf.DUMMYFUNCTION("""COMPUTED_VALUE"""),"Cepat Kirim")</f>
        <v>Cepat Kirim</v>
      </c>
      <c r="L987" t="str">
        <f ca="1">IFERROR(__xludf.DUMMYFUNCTION("""COMPUTED_VALUE"""),"Y")</f>
        <v>Y</v>
      </c>
      <c r="M987" t="str">
        <f ca="1">IFERROR(__xludf.DUMMYFUNCTION("""COMPUTED_VALUE"""),"Ak-994")</f>
        <v>Ak-994</v>
      </c>
    </row>
    <row r="988" spans="1:13" ht="12.5" x14ac:dyDescent="0.25">
      <c r="A988" t="str">
        <f ca="1">IFERROR(__xludf.DUMMYFUNCTION("""COMPUTED_VALUE"""),"Agus")</f>
        <v>Agus</v>
      </c>
      <c r="B988" t="str">
        <f ca="1">IFERROR(__xludf.DUMMYFUNCTION("""COMPUTED_VALUE"""),"Nittyyudo")</f>
        <v>Nittyyudo</v>
      </c>
      <c r="C988" t="str">
        <f ca="1">IFERROR(__xludf.DUMMYFUNCTION("""COMPUTED_VALUE"""),"Agus@ymailx.com")</f>
        <v>Agus@ymailx.com</v>
      </c>
      <c r="D988" t="str">
        <f ca="1">IFERROR(__xludf.DUMMYFUNCTION("""COMPUTED_VALUE"""),"Jakarta Utara")</f>
        <v>Jakarta Utara</v>
      </c>
      <c r="E988" s="12">
        <f ca="1">IFERROR(__xludf.DUMMYFUNCTION("""COMPUTED_VALUE"""),43157)</f>
        <v>43157</v>
      </c>
      <c r="F988" t="str">
        <f ca="1">IFERROR(__xludf.DUMMYFUNCTION("""COMPUTED_VALUE"""),"KP0750AJ")</f>
        <v>KP0750AJ</v>
      </c>
      <c r="G988" s="11">
        <f ca="1">IFERROR(__xludf.DUMMYFUNCTION("""COMPUTED_VALUE"""),180000000)</f>
        <v>180000000</v>
      </c>
      <c r="H988">
        <f ca="1">IFERROR(__xludf.DUMMYFUNCTION("""COMPUTED_VALUE"""),37038)</f>
        <v>37038</v>
      </c>
      <c r="I988">
        <f ca="1">IFERROR(__xludf.DUMMYFUNCTION("""COMPUTED_VALUE"""),10)</f>
        <v>10</v>
      </c>
      <c r="J988" t="str">
        <f ca="1">IFERROR(__xludf.DUMMYFUNCTION("""COMPUTED_VALUE"""),"N/A")</f>
        <v>N/A</v>
      </c>
      <c r="K988" t="str">
        <f ca="1">IFERROR(__xludf.DUMMYFUNCTION("""COMPUTED_VALUE"""),"JENT")</f>
        <v>JENT</v>
      </c>
      <c r="L988" t="str">
        <f ca="1">IFERROR(__xludf.DUMMYFUNCTION("""COMPUTED_VALUE"""),"Y")</f>
        <v>Y</v>
      </c>
      <c r="M988" t="str">
        <f ca="1">IFERROR(__xludf.DUMMYFUNCTION("""COMPUTED_VALUE"""),"oa-333")</f>
        <v>oa-333</v>
      </c>
    </row>
    <row r="989" spans="1:13" ht="12.5" x14ac:dyDescent="0.25">
      <c r="A989" t="str">
        <f ca="1">IFERROR(__xludf.DUMMYFUNCTION("""COMPUTED_VALUE"""),"Kirk")</f>
        <v>Kirk</v>
      </c>
      <c r="B989" t="str">
        <f ca="1">IFERROR(__xludf.DUMMYFUNCTION("""COMPUTED_VALUE"""),"Harsono")</f>
        <v>Harsono</v>
      </c>
      <c r="C989" t="str">
        <f ca="1">IFERROR(__xludf.DUMMYFUNCTION("""COMPUTED_VALUE"""),"Harsono@gmailx.com")</f>
        <v>Harsono@gmailx.com</v>
      </c>
      <c r="D989" t="str">
        <f ca="1">IFERROR(__xludf.DUMMYFUNCTION("""COMPUTED_VALUE"""),"Tomohon")</f>
        <v>Tomohon</v>
      </c>
      <c r="E989" s="12">
        <f ca="1">IFERROR(__xludf.DUMMYFUNCTION("""COMPUTED_VALUE"""),43157)</f>
        <v>43157</v>
      </c>
      <c r="F989" t="str">
        <f ca="1">IFERROR(__xludf.DUMMYFUNCTION("""COMPUTED_VALUE"""),"KP0750AJ")</f>
        <v>KP0750AJ</v>
      </c>
      <c r="G989" s="11">
        <f ca="1">IFERROR(__xludf.DUMMYFUNCTION("""COMPUTED_VALUE"""),162000000)</f>
        <v>162000000</v>
      </c>
      <c r="H989">
        <f ca="1">IFERROR(__xludf.DUMMYFUNCTION("""COMPUTED_VALUE"""),37039)</f>
        <v>37039</v>
      </c>
      <c r="I989">
        <f ca="1">IFERROR(__xludf.DUMMYFUNCTION("""COMPUTED_VALUE"""),9)</f>
        <v>9</v>
      </c>
      <c r="J989" t="str">
        <f ca="1">IFERROR(__xludf.DUMMYFUNCTION("""COMPUTED_VALUE"""),"N/A")</f>
        <v>N/A</v>
      </c>
      <c r="K989" t="str">
        <f ca="1">IFERROR(__xludf.DUMMYFUNCTION("""COMPUTED_VALUE"""),"JENT")</f>
        <v>JENT</v>
      </c>
      <c r="L989" t="str">
        <f ca="1">IFERROR(__xludf.DUMMYFUNCTION("""COMPUTED_VALUE"""),"Y")</f>
        <v>Y</v>
      </c>
      <c r="M989" t="str">
        <f ca="1">IFERROR(__xludf.DUMMYFUNCTION("""COMPUTED_VALUE"""),"ge-221")</f>
        <v>ge-221</v>
      </c>
    </row>
    <row r="990" spans="1:13" ht="12.5" x14ac:dyDescent="0.25">
      <c r="A990" t="str">
        <f ca="1">IFERROR(__xludf.DUMMYFUNCTION("""COMPUTED_VALUE"""),"Kusuma")</f>
        <v>Kusuma</v>
      </c>
      <c r="B990" t="str">
        <f ca="1">IFERROR(__xludf.DUMMYFUNCTION("""COMPUTED_VALUE"""),"Ongsoredjo")</f>
        <v>Ongsoredjo</v>
      </c>
      <c r="C990" t="str">
        <f ca="1">IFERROR(__xludf.DUMMYFUNCTION("""COMPUTED_VALUE"""),"Ongsoredjo@gmailx.com")</f>
        <v>Ongsoredjo@gmailx.com</v>
      </c>
      <c r="D990" t="str">
        <f ca="1">IFERROR(__xludf.DUMMYFUNCTION("""COMPUTED_VALUE"""),"Langsa")</f>
        <v>Langsa</v>
      </c>
      <c r="E990" s="12">
        <f ca="1">IFERROR(__xludf.DUMMYFUNCTION("""COMPUTED_VALUE"""),43185)</f>
        <v>43185</v>
      </c>
      <c r="F990" t="str">
        <f ca="1">IFERROR(__xludf.DUMMYFUNCTION("""COMPUTED_VALUE"""),"KP0925SG")</f>
        <v>KP0925SG</v>
      </c>
      <c r="G990" s="11">
        <f ca="1">IFERROR(__xludf.DUMMYFUNCTION("""COMPUTED_VALUE"""),150000000)</f>
        <v>150000000</v>
      </c>
      <c r="H990">
        <f ca="1">IFERROR(__xludf.DUMMYFUNCTION("""COMPUTED_VALUE"""),37040)</f>
        <v>37040</v>
      </c>
      <c r="I990">
        <f ca="1">IFERROR(__xludf.DUMMYFUNCTION("""COMPUTED_VALUE"""),10)</f>
        <v>10</v>
      </c>
      <c r="J990">
        <f ca="1">IFERROR(__xludf.DUMMYFUNCTION("""COMPUTED_VALUE"""),2)</f>
        <v>2</v>
      </c>
      <c r="K990" t="str">
        <f ca="1">IFERROR(__xludf.DUMMYFUNCTION("""COMPUTED_VALUE"""),"Swift Delivery")</f>
        <v>Swift Delivery</v>
      </c>
      <c r="L990" t="str">
        <f ca="1">IFERROR(__xludf.DUMMYFUNCTION("""COMPUTED_VALUE"""),"Y")</f>
        <v>Y</v>
      </c>
      <c r="M990" t="str">
        <f ca="1">IFERROR(__xludf.DUMMYFUNCTION("""COMPUTED_VALUE"""),"jj-101")</f>
        <v>jj-101</v>
      </c>
    </row>
    <row r="991" spans="1:13" ht="12.5" x14ac:dyDescent="0.25">
      <c r="A991" t="str">
        <f ca="1">IFERROR(__xludf.DUMMYFUNCTION("""COMPUTED_VALUE"""),"Ignanto")</f>
        <v>Ignanto</v>
      </c>
      <c r="B991" t="str">
        <f ca="1">IFERROR(__xludf.DUMMYFUNCTION("""COMPUTED_VALUE"""),"Hadikusumo")</f>
        <v>Hadikusumo</v>
      </c>
      <c r="C991" t="str">
        <f ca="1">IFERROR(__xludf.DUMMYFUNCTION("""COMPUTED_VALUE"""),"Ignanto@gmailx.com")</f>
        <v>Ignanto@gmailx.com</v>
      </c>
      <c r="D991" t="str">
        <f ca="1">IFERROR(__xludf.DUMMYFUNCTION("""COMPUTED_VALUE"""),"Tidore Kepulauan")</f>
        <v>Tidore Kepulauan</v>
      </c>
      <c r="E991" s="12">
        <f ca="1">IFERROR(__xludf.DUMMYFUNCTION("""COMPUTED_VALUE"""),43185)</f>
        <v>43185</v>
      </c>
      <c r="F991" t="str">
        <f ca="1">IFERROR(__xludf.DUMMYFUNCTION("""COMPUTED_VALUE"""),"KP0350CF")</f>
        <v>KP0350CF</v>
      </c>
      <c r="G991" s="11">
        <f ca="1">IFERROR(__xludf.DUMMYFUNCTION("""COMPUTED_VALUE"""),350000000)</f>
        <v>350000000</v>
      </c>
      <c r="H991">
        <f ca="1">IFERROR(__xludf.DUMMYFUNCTION("""COMPUTED_VALUE"""),37041)</f>
        <v>37041</v>
      </c>
      <c r="I991">
        <f ca="1">IFERROR(__xludf.DUMMYFUNCTION("""COMPUTED_VALUE"""),10)</f>
        <v>10</v>
      </c>
      <c r="J991" t="str">
        <f ca="1">IFERROR(__xludf.DUMMYFUNCTION("""COMPUTED_VALUE"""),"N/A")</f>
        <v>N/A</v>
      </c>
      <c r="K991" t="str">
        <f ca="1">IFERROR(__xludf.DUMMYFUNCTION("""COMPUTED_VALUE"""),"Cepat Kirim")</f>
        <v>Cepat Kirim</v>
      </c>
      <c r="L991" t="str">
        <f ca="1">IFERROR(__xludf.DUMMYFUNCTION("""COMPUTED_VALUE"""),"Y")</f>
        <v>Y</v>
      </c>
      <c r="M991" t="str">
        <f ca="1">IFERROR(__xludf.DUMMYFUNCTION("""COMPUTED_VALUE"""),"gv-160")</f>
        <v>gv-160</v>
      </c>
    </row>
    <row r="992" spans="1:13" ht="12.5" x14ac:dyDescent="0.25">
      <c r="A992" t="str">
        <f ca="1">IFERROR(__xludf.DUMMYFUNCTION("""COMPUTED_VALUE"""),"Ang")</f>
        <v>Ang</v>
      </c>
      <c r="B992" t="str">
        <f ca="1">IFERROR(__xludf.DUMMYFUNCTION("""COMPUTED_VALUE"""),"Suo")</f>
        <v>Suo</v>
      </c>
      <c r="C992" t="str">
        <f ca="1">IFERROR(__xludf.DUMMYFUNCTION("""COMPUTED_VALUE"""),"Ang@livex.com")</f>
        <v>Ang@livex.com</v>
      </c>
      <c r="D992" t="str">
        <f ca="1">IFERROR(__xludf.DUMMYFUNCTION("""COMPUTED_VALUE"""),"Jambi")</f>
        <v>Jambi</v>
      </c>
      <c r="E992" s="12">
        <f ca="1">IFERROR(__xludf.DUMMYFUNCTION("""COMPUTED_VALUE"""),43216)</f>
        <v>43216</v>
      </c>
      <c r="F992" t="str">
        <f ca="1">IFERROR(__xludf.DUMMYFUNCTION("""COMPUTED_VALUE"""),"KP0625AF")</f>
        <v>KP0625AF</v>
      </c>
      <c r="G992" s="11">
        <f ca="1">IFERROR(__xludf.DUMMYFUNCTION("""COMPUTED_VALUE"""),84000000)</f>
        <v>84000000</v>
      </c>
      <c r="H992">
        <f ca="1">IFERROR(__xludf.DUMMYFUNCTION("""COMPUTED_VALUE"""),37042)</f>
        <v>37042</v>
      </c>
      <c r="I992">
        <f ca="1">IFERROR(__xludf.DUMMYFUNCTION("""COMPUTED_VALUE"""),7)</f>
        <v>7</v>
      </c>
      <c r="J992">
        <f ca="1">IFERROR(__xludf.DUMMYFUNCTION("""COMPUTED_VALUE"""),4)</f>
        <v>4</v>
      </c>
      <c r="K992" t="str">
        <f ca="1">IFERROR(__xludf.DUMMYFUNCTION("""COMPUTED_VALUE"""),"Cepat Kirim")</f>
        <v>Cepat Kirim</v>
      </c>
      <c r="L992" t="str">
        <f ca="1">IFERROR(__xludf.DUMMYFUNCTION("""COMPUTED_VALUE"""),"Y")</f>
        <v>Y</v>
      </c>
      <c r="M992" t="str">
        <f ca="1">IFERROR(__xludf.DUMMYFUNCTION("""COMPUTED_VALUE"""),"oc-512")</f>
        <v>oc-512</v>
      </c>
    </row>
    <row r="993" spans="1:13" ht="12.5" x14ac:dyDescent="0.25">
      <c r="A993" t="str">
        <f ca="1">IFERROR(__xludf.DUMMYFUNCTION("""COMPUTED_VALUE"""),"Matthew")</f>
        <v>Matthew</v>
      </c>
      <c r="B993" t="str">
        <f ca="1">IFERROR(__xludf.DUMMYFUNCTION("""COMPUTED_VALUE"""),"Akbar")</f>
        <v>Akbar</v>
      </c>
      <c r="C993" t="str">
        <f ca="1">IFERROR(__xludf.DUMMYFUNCTION("""COMPUTED_VALUE"""),"Matthew@icloudx.com")</f>
        <v>Matthew@icloudx.com</v>
      </c>
      <c r="D993" t="str">
        <f ca="1">IFERROR(__xludf.DUMMYFUNCTION("""COMPUTED_VALUE"""),"Sungai Penuh")</f>
        <v>Sungai Penuh</v>
      </c>
      <c r="E993" s="12">
        <f ca="1">IFERROR(__xludf.DUMMYFUNCTION("""COMPUTED_VALUE"""),43216)</f>
        <v>43216</v>
      </c>
      <c r="F993" t="str">
        <f ca="1">IFERROR(__xludf.DUMMYFUNCTION("""COMPUTED_VALUE"""),"KP0050AG")</f>
        <v>KP0050AG</v>
      </c>
      <c r="G993" s="11">
        <f ca="1">IFERROR(__xludf.DUMMYFUNCTION("""COMPUTED_VALUE"""),97500000)</f>
        <v>97500000</v>
      </c>
      <c r="H993">
        <f ca="1">IFERROR(__xludf.DUMMYFUNCTION("""COMPUTED_VALUE"""),37043)</f>
        <v>37043</v>
      </c>
      <c r="I993">
        <f ca="1">IFERROR(__xludf.DUMMYFUNCTION("""COMPUTED_VALUE"""),6)</f>
        <v>6</v>
      </c>
      <c r="J993">
        <f ca="1">IFERROR(__xludf.DUMMYFUNCTION("""COMPUTED_VALUE"""),4)</f>
        <v>4</v>
      </c>
      <c r="K993" t="str">
        <f ca="1">IFERROR(__xludf.DUMMYFUNCTION("""COMPUTED_VALUE"""),"Wakanda Express")</f>
        <v>Wakanda Express</v>
      </c>
      <c r="L993" t="str">
        <f ca="1">IFERROR(__xludf.DUMMYFUNCTION("""COMPUTED_VALUE"""),"Y")</f>
        <v>Y</v>
      </c>
      <c r="M993" t="str">
        <f ca="1">IFERROR(__xludf.DUMMYFUNCTION("""COMPUTED_VALUE"""),"pl-512")</f>
        <v>pl-512</v>
      </c>
    </row>
    <row r="994" spans="1:13" ht="12.5" x14ac:dyDescent="0.25">
      <c r="A994" t="str">
        <f ca="1">IFERROR(__xludf.DUMMYFUNCTION("""COMPUTED_VALUE"""),"Indrawati")</f>
        <v>Indrawati</v>
      </c>
      <c r="B994" t="str">
        <f ca="1">IFERROR(__xludf.DUMMYFUNCTION("""COMPUTED_VALUE"""),"R.")</f>
        <v>R.</v>
      </c>
      <c r="C994" t="str">
        <f ca="1">IFERROR(__xludf.DUMMYFUNCTION("""COMPUTED_VALUE"""),"Indrawati@ymailx.com")</f>
        <v>Indrawati@ymailx.com</v>
      </c>
      <c r="D994" t="str">
        <f ca="1">IFERROR(__xludf.DUMMYFUNCTION("""COMPUTED_VALUE"""),"Jakarta Utara")</f>
        <v>Jakarta Utara</v>
      </c>
      <c r="E994" s="12">
        <f ca="1">IFERROR(__xludf.DUMMYFUNCTION("""COMPUTED_VALUE"""),43216)</f>
        <v>43216</v>
      </c>
      <c r="F994" t="str">
        <f ca="1">IFERROR(__xludf.DUMMYFUNCTION("""COMPUTED_VALUE"""),"KP0625AF")</f>
        <v>KP0625AF</v>
      </c>
      <c r="G994" s="11">
        <f ca="1">IFERROR(__xludf.DUMMYFUNCTION("""COMPUTED_VALUE"""),96000000)</f>
        <v>96000000</v>
      </c>
      <c r="H994">
        <f ca="1">IFERROR(__xludf.DUMMYFUNCTION("""COMPUTED_VALUE"""),37044)</f>
        <v>37044</v>
      </c>
      <c r="I994">
        <f ca="1">IFERROR(__xludf.DUMMYFUNCTION("""COMPUTED_VALUE"""),8)</f>
        <v>8</v>
      </c>
      <c r="J994" t="str">
        <f ca="1">IFERROR(__xludf.DUMMYFUNCTION("""COMPUTED_VALUE"""),"N/A")</f>
        <v>N/A</v>
      </c>
      <c r="K994" t="str">
        <f ca="1">IFERROR(__xludf.DUMMYFUNCTION("""COMPUTED_VALUE"""),"Cepat Kirim")</f>
        <v>Cepat Kirim</v>
      </c>
      <c r="L994" t="str">
        <f ca="1">IFERROR(__xludf.DUMMYFUNCTION("""COMPUTED_VALUE"""),"Y")</f>
        <v>Y</v>
      </c>
      <c r="M994" t="str">
        <f ca="1">IFERROR(__xludf.DUMMYFUNCTION("""COMPUTED_VALUE"""),"rq-333")</f>
        <v>rq-333</v>
      </c>
    </row>
    <row r="995" spans="1:13" ht="12.5" x14ac:dyDescent="0.25">
      <c r="A995" t="str">
        <f ca="1">IFERROR(__xludf.DUMMYFUNCTION("""COMPUTED_VALUE"""),"Pradeep")</f>
        <v>Pradeep</v>
      </c>
      <c r="B995" t="str">
        <f ca="1">IFERROR(__xludf.DUMMYFUNCTION("""COMPUTED_VALUE"""),"Sinto")</f>
        <v>Sinto</v>
      </c>
      <c r="C995" t="str">
        <f ca="1">IFERROR(__xludf.DUMMYFUNCTION("""COMPUTED_VALUE"""),"Sinto@livex.com")</f>
        <v>Sinto@livex.com</v>
      </c>
      <c r="D995" t="str">
        <f ca="1">IFERROR(__xludf.DUMMYFUNCTION("""COMPUTED_VALUE"""),"Pagaralam")</f>
        <v>Pagaralam</v>
      </c>
      <c r="E995" s="12">
        <f ca="1">IFERROR(__xludf.DUMMYFUNCTION("""COMPUTED_VALUE"""),43216)</f>
        <v>43216</v>
      </c>
      <c r="F995" t="str">
        <f ca="1">IFERROR(__xludf.DUMMYFUNCTION("""COMPUTED_VALUE"""),"KP0750AJ")</f>
        <v>KP0750AJ</v>
      </c>
      <c r="G995" s="11">
        <f ca="1">IFERROR(__xludf.DUMMYFUNCTION("""COMPUTED_VALUE"""),162000000)</f>
        <v>162000000</v>
      </c>
      <c r="H995">
        <f ca="1">IFERROR(__xludf.DUMMYFUNCTION("""COMPUTED_VALUE"""),37045)</f>
        <v>37045</v>
      </c>
      <c r="I995">
        <f ca="1">IFERROR(__xludf.DUMMYFUNCTION("""COMPUTED_VALUE"""),9)</f>
        <v>9</v>
      </c>
      <c r="J995" t="str">
        <f ca="1">IFERROR(__xludf.DUMMYFUNCTION("""COMPUTED_VALUE"""),"N/A")</f>
        <v>N/A</v>
      </c>
      <c r="K995" t="str">
        <f ca="1">IFERROR(__xludf.DUMMYFUNCTION("""COMPUTED_VALUE"""),"JENT")</f>
        <v>JENT</v>
      </c>
      <c r="L995" t="str">
        <f ca="1">IFERROR(__xludf.DUMMYFUNCTION("""COMPUTED_VALUE"""),"N")</f>
        <v>N</v>
      </c>
      <c r="M995" t="str">
        <f ca="1">IFERROR(__xludf.DUMMYFUNCTION("""COMPUTED_VALUE"""),"di-661")</f>
        <v>di-661</v>
      </c>
    </row>
    <row r="996" spans="1:13" ht="12.5" x14ac:dyDescent="0.25">
      <c r="A996" t="str">
        <f ca="1">IFERROR(__xludf.DUMMYFUNCTION("""COMPUTED_VALUE"""),"Doreen")</f>
        <v>Doreen</v>
      </c>
      <c r="B996" t="str">
        <f ca="1">IFERROR(__xludf.DUMMYFUNCTION("""COMPUTED_VALUE"""),"Kong")</f>
        <v>Kong</v>
      </c>
      <c r="C996" t="str">
        <f ca="1">IFERROR(__xludf.DUMMYFUNCTION("""COMPUTED_VALUE"""),"Kong@livex.com")</f>
        <v>Kong@livex.com</v>
      </c>
      <c r="D996" t="str">
        <f ca="1">IFERROR(__xludf.DUMMYFUNCTION("""COMPUTED_VALUE"""),"Palembang")</f>
        <v>Palembang</v>
      </c>
      <c r="E996" s="12">
        <f ca="1">IFERROR(__xludf.DUMMYFUNCTION("""COMPUTED_VALUE"""),43246)</f>
        <v>43246</v>
      </c>
      <c r="F996" t="str">
        <f ca="1">IFERROR(__xludf.DUMMYFUNCTION("""COMPUTED_VALUE"""),"KP0750AJ")</f>
        <v>KP0750AJ</v>
      </c>
      <c r="G996" s="11">
        <f ca="1">IFERROR(__xludf.DUMMYFUNCTION("""COMPUTED_VALUE"""),54000000)</f>
        <v>54000000</v>
      </c>
      <c r="H996">
        <f ca="1">IFERROR(__xludf.DUMMYFUNCTION("""COMPUTED_VALUE"""),37046)</f>
        <v>37046</v>
      </c>
      <c r="I996">
        <f ca="1">IFERROR(__xludf.DUMMYFUNCTION("""COMPUTED_VALUE"""),3)</f>
        <v>3</v>
      </c>
      <c r="J996">
        <f ca="1">IFERROR(__xludf.DUMMYFUNCTION("""COMPUTED_VALUE"""),4)</f>
        <v>4</v>
      </c>
      <c r="K996" t="str">
        <f ca="1">IFERROR(__xludf.DUMMYFUNCTION("""COMPUTED_VALUE"""),"JENT")</f>
        <v>JENT</v>
      </c>
      <c r="L996" t="str">
        <f ca="1">IFERROR(__xludf.DUMMYFUNCTION("""COMPUTED_VALUE"""),"Y")</f>
        <v>Y</v>
      </c>
      <c r="M996" t="str">
        <f ca="1">IFERROR(__xludf.DUMMYFUNCTION("""COMPUTED_VALUE"""),"np-661")</f>
        <v>np-661</v>
      </c>
    </row>
    <row r="997" spans="1:13" ht="12.5" x14ac:dyDescent="0.25">
      <c r="A997" t="str">
        <f ca="1">IFERROR(__xludf.DUMMYFUNCTION("""COMPUTED_VALUE"""),"Hanson")</f>
        <v>Hanson</v>
      </c>
      <c r="B997" t="str">
        <f ca="1">IFERROR(__xludf.DUMMYFUNCTION("""COMPUTED_VALUE"""),"Wargana")</f>
        <v>Wargana</v>
      </c>
      <c r="C997" t="str">
        <f ca="1">IFERROR(__xludf.DUMMYFUNCTION("""COMPUTED_VALUE"""),"Wargana@gmailx.com")</f>
        <v>Wargana@gmailx.com</v>
      </c>
      <c r="D997" t="str">
        <f ca="1">IFERROR(__xludf.DUMMYFUNCTION("""COMPUTED_VALUE"""),"Prabumulih")</f>
        <v>Prabumulih</v>
      </c>
      <c r="E997" s="12">
        <f ca="1">IFERROR(__xludf.DUMMYFUNCTION("""COMPUTED_VALUE"""),43246)</f>
        <v>43246</v>
      </c>
      <c r="F997" t="str">
        <f ca="1">IFERROR(__xludf.DUMMYFUNCTION("""COMPUTED_VALUE"""),"KP0625AF")</f>
        <v>KP0625AF</v>
      </c>
      <c r="G997" s="11">
        <f ca="1">IFERROR(__xludf.DUMMYFUNCTION("""COMPUTED_VALUE"""),48000000)</f>
        <v>48000000</v>
      </c>
      <c r="H997">
        <f ca="1">IFERROR(__xludf.DUMMYFUNCTION("""COMPUTED_VALUE"""),37047)</f>
        <v>37047</v>
      </c>
      <c r="I997">
        <f ca="1">IFERROR(__xludf.DUMMYFUNCTION("""COMPUTED_VALUE"""),4)</f>
        <v>4</v>
      </c>
      <c r="J997">
        <f ca="1">IFERROR(__xludf.DUMMYFUNCTION("""COMPUTED_VALUE"""),4)</f>
        <v>4</v>
      </c>
      <c r="K997" t="str">
        <f ca="1">IFERROR(__xludf.DUMMYFUNCTION("""COMPUTED_VALUE"""),"Swift Delivery")</f>
        <v>Swift Delivery</v>
      </c>
      <c r="L997" t="str">
        <f ca="1">IFERROR(__xludf.DUMMYFUNCTION("""COMPUTED_VALUE"""),"Y")</f>
        <v>Y</v>
      </c>
      <c r="M997" t="str">
        <f ca="1">IFERROR(__xludf.DUMMYFUNCTION("""COMPUTED_VALUE"""),"xp-661")</f>
        <v>xp-661</v>
      </c>
    </row>
    <row r="998" spans="1:13" ht="12.5" x14ac:dyDescent="0.25">
      <c r="A998" t="str">
        <f ca="1">IFERROR(__xludf.DUMMYFUNCTION("""COMPUTED_VALUE"""),"Adelina")</f>
        <v>Adelina</v>
      </c>
      <c r="B998" t="str">
        <f ca="1">IFERROR(__xludf.DUMMYFUNCTION("""COMPUTED_VALUE"""),"Bowden")</f>
        <v>Bowden</v>
      </c>
      <c r="C998" t="str">
        <f ca="1">IFERROR(__xludf.DUMMYFUNCTION("""COMPUTED_VALUE"""),"BOWDEN@gmailx.com")</f>
        <v>BOWDEN@gmailx.com</v>
      </c>
      <c r="D998" t="str">
        <f ca="1">IFERROR(__xludf.DUMMYFUNCTION("""COMPUTED_VALUE"""),"Cirebon")</f>
        <v>Cirebon</v>
      </c>
      <c r="E998" s="12">
        <f ca="1">IFERROR(__xludf.DUMMYFUNCTION("""COMPUTED_VALUE"""),43246)</f>
        <v>43246</v>
      </c>
      <c r="F998" t="str">
        <f ca="1">IFERROR(__xludf.DUMMYFUNCTION("""COMPUTED_VALUE"""),"KP0750AJ")</f>
        <v>KP0750AJ</v>
      </c>
      <c r="G998" s="11">
        <f ca="1">IFERROR(__xludf.DUMMYFUNCTION("""COMPUTED_VALUE"""),90000000)</f>
        <v>90000000</v>
      </c>
      <c r="H998">
        <f ca="1">IFERROR(__xludf.DUMMYFUNCTION("""COMPUTED_VALUE"""),37048)</f>
        <v>37048</v>
      </c>
      <c r="I998">
        <f ca="1">IFERROR(__xludf.DUMMYFUNCTION("""COMPUTED_VALUE"""),5)</f>
        <v>5</v>
      </c>
      <c r="J998">
        <f ca="1">IFERROR(__xludf.DUMMYFUNCTION("""COMPUTED_VALUE"""),1)</f>
        <v>1</v>
      </c>
      <c r="K998" t="str">
        <f ca="1">IFERROR(__xludf.DUMMYFUNCTION("""COMPUTED_VALUE"""),"Swift Delivery")</f>
        <v>Swift Delivery</v>
      </c>
      <c r="L998" t="str">
        <f ca="1">IFERROR(__xludf.DUMMYFUNCTION("""COMPUTED_VALUE"""),"Y")</f>
        <v>Y</v>
      </c>
      <c r="M998" t="str">
        <f ca="1">IFERROR(__xludf.DUMMYFUNCTION("""COMPUTED_VALUE"""),"ft-409")</f>
        <v>ft-409</v>
      </c>
    </row>
    <row r="999" spans="1:13" ht="12.5" x14ac:dyDescent="0.25">
      <c r="A999" t="str">
        <f ca="1">IFERROR(__xludf.DUMMYFUNCTION("""COMPUTED_VALUE"""),"Djoni")</f>
        <v>Djoni</v>
      </c>
      <c r="B999" t="str">
        <f ca="1">IFERROR(__xludf.DUMMYFUNCTION("""COMPUTED_VALUE"""),"Kusumawati")</f>
        <v>Kusumawati</v>
      </c>
      <c r="C999" t="str">
        <f ca="1">IFERROR(__xludf.DUMMYFUNCTION("""COMPUTED_VALUE"""),"Djoni@ymailx.com")</f>
        <v>Djoni@ymailx.com</v>
      </c>
      <c r="D999" t="str">
        <f ca="1">IFERROR(__xludf.DUMMYFUNCTION("""COMPUTED_VALUE"""),"Bogor")</f>
        <v>Bogor</v>
      </c>
      <c r="E999" s="12">
        <f ca="1">IFERROR(__xludf.DUMMYFUNCTION("""COMPUTED_VALUE"""),43307)</f>
        <v>43307</v>
      </c>
      <c r="F999" t="str">
        <f ca="1">IFERROR(__xludf.DUMMYFUNCTION("""COMPUTED_VALUE"""),"KP0925SG")</f>
        <v>KP0925SG</v>
      </c>
      <c r="G999" s="11">
        <f ca="1">IFERROR(__xludf.DUMMYFUNCTION("""COMPUTED_VALUE"""),150000000)</f>
        <v>150000000</v>
      </c>
      <c r="H999">
        <f ca="1">IFERROR(__xludf.DUMMYFUNCTION("""COMPUTED_VALUE"""),37049)</f>
        <v>37049</v>
      </c>
      <c r="I999">
        <f ca="1">IFERROR(__xludf.DUMMYFUNCTION("""COMPUTED_VALUE"""),10)</f>
        <v>10</v>
      </c>
      <c r="J999" t="str">
        <f ca="1">IFERROR(__xludf.DUMMYFUNCTION("""COMPUTED_VALUE"""),"N/A")</f>
        <v>N/A</v>
      </c>
      <c r="K999" t="str">
        <f ca="1">IFERROR(__xludf.DUMMYFUNCTION("""COMPUTED_VALUE"""),"JENT")</f>
        <v>JENT</v>
      </c>
      <c r="L999" t="str">
        <f ca="1">IFERROR(__xludf.DUMMYFUNCTION("""COMPUTED_VALUE"""),"Y")</f>
        <v>Y</v>
      </c>
      <c r="M999" t="str">
        <f ca="1">IFERROR(__xludf.DUMMYFUNCTION("""COMPUTED_VALUE"""),"Js-409")</f>
        <v>Js-409</v>
      </c>
    </row>
    <row r="1000" spans="1:13" ht="12.5" x14ac:dyDescent="0.25">
      <c r="A1000" t="str">
        <f ca="1">IFERROR(__xludf.DUMMYFUNCTION("""COMPUTED_VALUE"""),"Chander")</f>
        <v>Chander</v>
      </c>
      <c r="B1000" t="str">
        <f ca="1">IFERROR(__xludf.DUMMYFUNCTION("""COMPUTED_VALUE"""),"Gobel")</f>
        <v>Gobel</v>
      </c>
      <c r="C1000" t="str">
        <f ca="1">IFERROR(__xludf.DUMMYFUNCTION("""COMPUTED_VALUE"""),"Gobel@livex.com")</f>
        <v>Gobel@livex.com</v>
      </c>
      <c r="D1000" t="str">
        <f ca="1">IFERROR(__xludf.DUMMYFUNCTION("""COMPUTED_VALUE"""),"Bima")</f>
        <v>Bima</v>
      </c>
      <c r="E1000" s="12">
        <f ca="1">IFERROR(__xludf.DUMMYFUNCTION("""COMPUTED_VALUE"""),43338)</f>
        <v>43338</v>
      </c>
      <c r="F1000" t="str">
        <f ca="1">IFERROR(__xludf.DUMMYFUNCTION("""COMPUTED_VALUE"""),"KP0150BH")</f>
        <v>KP0150BH</v>
      </c>
      <c r="G1000" s="11">
        <f ca="1">IFERROR(__xludf.DUMMYFUNCTION("""COMPUTED_VALUE"""),54000000)</f>
        <v>54000000</v>
      </c>
      <c r="H1000">
        <f ca="1">IFERROR(__xludf.DUMMYFUNCTION("""COMPUTED_VALUE"""),37050)</f>
        <v>37050</v>
      </c>
      <c r="I1000">
        <f ca="1">IFERROR(__xludf.DUMMYFUNCTION("""COMPUTED_VALUE"""),2)</f>
        <v>2</v>
      </c>
      <c r="J1000">
        <f ca="1">IFERROR(__xludf.DUMMYFUNCTION("""COMPUTED_VALUE"""),4)</f>
        <v>4</v>
      </c>
      <c r="K1000" t="str">
        <f ca="1">IFERROR(__xludf.DUMMYFUNCTION("""COMPUTED_VALUE"""),"Cepat Kirim")</f>
        <v>Cepat Kirim</v>
      </c>
      <c r="L1000" t="str">
        <f ca="1">IFERROR(__xludf.DUMMYFUNCTION("""COMPUTED_VALUE"""),"Y")</f>
        <v>Y</v>
      </c>
      <c r="M1000" t="str">
        <f ca="1">IFERROR(__xludf.DUMMYFUNCTION("""COMPUTED_VALUE"""),"xe-183")</f>
        <v>xe-183</v>
      </c>
    </row>
    <row r="1001" spans="1:13" ht="12.5" x14ac:dyDescent="0.25">
      <c r="A1001" t="str">
        <f ca="1">IFERROR(__xludf.DUMMYFUNCTION("""COMPUTED_VALUE"""),"Cindy")</f>
        <v>Cindy</v>
      </c>
      <c r="B1001" t="str">
        <f ca="1">IFERROR(__xludf.DUMMYFUNCTION("""COMPUTED_VALUE"""),"Lestari")</f>
        <v>Lestari</v>
      </c>
      <c r="C1001" t="str">
        <f ca="1">IFERROR(__xludf.DUMMYFUNCTION("""COMPUTED_VALUE"""),"Lestari@gmailx.com")</f>
        <v>Lestari@gmailx.com</v>
      </c>
      <c r="D1001" t="str">
        <f ca="1">IFERROR(__xludf.DUMMYFUNCTION("""COMPUTED_VALUE"""),"Magelang")</f>
        <v>Magelang</v>
      </c>
      <c r="E1001" s="12">
        <f ca="1">IFERROR(__xludf.DUMMYFUNCTION("""COMPUTED_VALUE"""),43338)</f>
        <v>43338</v>
      </c>
      <c r="F1001" t="str">
        <f ca="1">IFERROR(__xludf.DUMMYFUNCTION("""COMPUTED_VALUE"""),"KP0925SG")</f>
        <v>KP0925SG</v>
      </c>
      <c r="G1001" s="11">
        <f ca="1">IFERROR(__xludf.DUMMYFUNCTION("""COMPUTED_VALUE"""),105000000)</f>
        <v>105000000</v>
      </c>
      <c r="H1001">
        <f ca="1">IFERROR(__xludf.DUMMYFUNCTION("""COMPUTED_VALUE"""),37051)</f>
        <v>37051</v>
      </c>
      <c r="I1001">
        <f ca="1">IFERROR(__xludf.DUMMYFUNCTION("""COMPUTED_VALUE"""),7)</f>
        <v>7</v>
      </c>
      <c r="J1001" t="str">
        <f ca="1">IFERROR(__xludf.DUMMYFUNCTION("""COMPUTED_VALUE"""),"N/A")</f>
        <v>N/A</v>
      </c>
      <c r="K1001" t="str">
        <f ca="1">IFERROR(__xludf.DUMMYFUNCTION("""COMPUTED_VALUE"""),"Swift Delivery")</f>
        <v>Swift Delivery</v>
      </c>
      <c r="L1001" t="str">
        <f ca="1">IFERROR(__xludf.DUMMYFUNCTION("""COMPUTED_VALUE"""),"Y")</f>
        <v>Y</v>
      </c>
      <c r="M1001" t="str">
        <f ca="1">IFERROR(__xludf.DUMMYFUNCTION("""COMPUTED_VALUE"""),"wy-410")</f>
        <v>wy-410</v>
      </c>
    </row>
    <row r="1002" spans="1:13" ht="12.5" x14ac:dyDescent="0.25">
      <c r="A1002" t="str">
        <f ca="1">IFERROR(__xludf.DUMMYFUNCTION("""COMPUTED_VALUE"""),"Jeffrey")</f>
        <v>Jeffrey</v>
      </c>
      <c r="B1002" t="str">
        <f ca="1">IFERROR(__xludf.DUMMYFUNCTION("""COMPUTED_VALUE"""),"Suwarno")</f>
        <v>Suwarno</v>
      </c>
      <c r="C1002" t="str">
        <f ca="1">IFERROR(__xludf.DUMMYFUNCTION("""COMPUTED_VALUE"""),"Jeffrey@ymailx.com")</f>
        <v>Jeffrey@ymailx.com</v>
      </c>
      <c r="D1002" t="str">
        <f ca="1">IFERROR(__xludf.DUMMYFUNCTION("""COMPUTED_VALUE"""),"Pangkalpinang")</f>
        <v>Pangkalpinang</v>
      </c>
      <c r="E1002" s="12">
        <f ca="1">IFERROR(__xludf.DUMMYFUNCTION("""COMPUTED_VALUE"""),43338)</f>
        <v>43338</v>
      </c>
      <c r="F1002" t="str">
        <f ca="1">IFERROR(__xludf.DUMMYFUNCTION("""COMPUTED_VALUE"""),"KP0050AG")</f>
        <v>KP0050AG</v>
      </c>
      <c r="G1002" s="11">
        <f ca="1">IFERROR(__xludf.DUMMYFUNCTION("""COMPUTED_VALUE"""),48750000)</f>
        <v>48750000</v>
      </c>
      <c r="H1002">
        <f ca="1">IFERROR(__xludf.DUMMYFUNCTION("""COMPUTED_VALUE"""),37052)</f>
        <v>37052</v>
      </c>
      <c r="I1002">
        <f ca="1">IFERROR(__xludf.DUMMYFUNCTION("""COMPUTED_VALUE"""),3)</f>
        <v>3</v>
      </c>
      <c r="J1002" t="str">
        <f ca="1">IFERROR(__xludf.DUMMYFUNCTION("""COMPUTED_VALUE"""),"N/A")</f>
        <v>N/A</v>
      </c>
      <c r="K1002" t="str">
        <f ca="1">IFERROR(__xludf.DUMMYFUNCTION("""COMPUTED_VALUE"""),"Wakanda Express")</f>
        <v>Wakanda Express</v>
      </c>
      <c r="L1002" t="str">
        <f ca="1">IFERROR(__xludf.DUMMYFUNCTION("""COMPUTED_VALUE"""),"Y")</f>
        <v>Y</v>
      </c>
      <c r="M1002" t="str">
        <f ca="1">IFERROR(__xludf.DUMMYFUNCTION("""COMPUTED_VALUE"""),"el-120")</f>
        <v>el-120</v>
      </c>
    </row>
    <row r="1003" spans="1:13" ht="12.5" x14ac:dyDescent="0.25">
      <c r="A1003" t="str">
        <f ca="1">IFERROR(__xludf.DUMMYFUNCTION("""COMPUTED_VALUE"""),"Madampath")</f>
        <v>Madampath</v>
      </c>
      <c r="B1003" t="str">
        <f ca="1">IFERROR(__xludf.DUMMYFUNCTION("""COMPUTED_VALUE"""),"Arief")</f>
        <v>Arief</v>
      </c>
      <c r="C1003" t="str">
        <f ca="1">IFERROR(__xludf.DUMMYFUNCTION("""COMPUTED_VALUE"""),"Madampath@icloudx.com")</f>
        <v>Madampath@icloudx.com</v>
      </c>
      <c r="D1003" t="str">
        <f ca="1">IFERROR(__xludf.DUMMYFUNCTION("""COMPUTED_VALUE"""),"Yogyakarta")</f>
        <v>Yogyakarta</v>
      </c>
      <c r="E1003" s="12">
        <f ca="1">IFERROR(__xludf.DUMMYFUNCTION("""COMPUTED_VALUE"""),43338)</f>
        <v>43338</v>
      </c>
      <c r="F1003" t="str">
        <f ca="1">IFERROR(__xludf.DUMMYFUNCTION("""COMPUTED_VALUE"""),"KP0625AF")</f>
        <v>KP0625AF</v>
      </c>
      <c r="G1003" s="11">
        <f ca="1">IFERROR(__xludf.DUMMYFUNCTION("""COMPUTED_VALUE"""),120000000)</f>
        <v>120000000</v>
      </c>
      <c r="H1003">
        <f ca="1">IFERROR(__xludf.DUMMYFUNCTION("""COMPUTED_VALUE"""),37053)</f>
        <v>37053</v>
      </c>
      <c r="I1003">
        <f ca="1">IFERROR(__xludf.DUMMYFUNCTION("""COMPUTED_VALUE"""),10)</f>
        <v>10</v>
      </c>
      <c r="J1003">
        <f ca="1">IFERROR(__xludf.DUMMYFUNCTION("""COMPUTED_VALUE"""),4)</f>
        <v>4</v>
      </c>
      <c r="K1003" t="str">
        <f ca="1">IFERROR(__xludf.DUMMYFUNCTION("""COMPUTED_VALUE"""),"Pru Logistic")</f>
        <v>Pru Logistic</v>
      </c>
      <c r="L1003" t="str">
        <f ca="1">IFERROR(__xludf.DUMMYFUNCTION("""COMPUTED_VALUE"""),"Y")</f>
        <v>Y</v>
      </c>
      <c r="M1003" t="str">
        <f ca="1">IFERROR(__xludf.DUMMYFUNCTION("""COMPUTED_VALUE"""),"Aq-444")</f>
        <v>Aq-444</v>
      </c>
    </row>
    <row r="1004" spans="1:13" ht="12.5" x14ac:dyDescent="0.25">
      <c r="A1004" t="str">
        <f ca="1">IFERROR(__xludf.DUMMYFUNCTION("""COMPUTED_VALUE"""),"Virendra")</f>
        <v>Virendra</v>
      </c>
      <c r="B1004" t="str">
        <f ca="1">IFERROR(__xludf.DUMMYFUNCTION("""COMPUTED_VALUE"""),"Prakash")</f>
        <v>Prakash</v>
      </c>
      <c r="C1004" t="str">
        <f ca="1">IFERROR(__xludf.DUMMYFUNCTION("""COMPUTED_VALUE"""),"Virendra@gmailx.com")</f>
        <v>Virendra@gmailx.com</v>
      </c>
      <c r="D1004" t="str">
        <f ca="1">IFERROR(__xludf.DUMMYFUNCTION("""COMPUTED_VALUE"""),"Banjarbaru")</f>
        <v>Banjarbaru</v>
      </c>
      <c r="E1004" s="12">
        <f ca="1">IFERROR(__xludf.DUMMYFUNCTION("""COMPUTED_VALUE"""),43369)</f>
        <v>43369</v>
      </c>
      <c r="F1004" t="str">
        <f ca="1">IFERROR(__xludf.DUMMYFUNCTION("""COMPUTED_VALUE"""),"KP0150BH")</f>
        <v>KP0150BH</v>
      </c>
      <c r="G1004" s="11">
        <f ca="1">IFERROR(__xludf.DUMMYFUNCTION("""COMPUTED_VALUE"""),162000000)</f>
        <v>162000000</v>
      </c>
      <c r="H1004">
        <f ca="1">IFERROR(__xludf.DUMMYFUNCTION("""COMPUTED_VALUE"""),37054)</f>
        <v>37054</v>
      </c>
      <c r="I1004">
        <f ca="1">IFERROR(__xludf.DUMMYFUNCTION("""COMPUTED_VALUE"""),6)</f>
        <v>6</v>
      </c>
      <c r="J1004">
        <f ca="1">IFERROR(__xludf.DUMMYFUNCTION("""COMPUTED_VALUE"""),4)</f>
        <v>4</v>
      </c>
      <c r="K1004" t="str">
        <f ca="1">IFERROR(__xludf.DUMMYFUNCTION("""COMPUTED_VALUE"""),"#N/A")</f>
        <v>#N/A</v>
      </c>
      <c r="L1004" t="str">
        <f ca="1">IFERROR(__xludf.DUMMYFUNCTION("""COMPUTED_VALUE"""),"N")</f>
        <v>N</v>
      </c>
      <c r="M1004" t="str">
        <f ca="1">IFERROR(__xludf.DUMMYFUNCTION("""COMPUTED_VALUE"""),"vu-991")</f>
        <v>vu-991</v>
      </c>
    </row>
    <row r="1005" spans="1:13" ht="12.5" x14ac:dyDescent="0.25">
      <c r="A1005" t="str">
        <f ca="1">IFERROR(__xludf.DUMMYFUNCTION("""COMPUTED_VALUE"""),"Roberto")</f>
        <v>Roberto</v>
      </c>
      <c r="B1005" t="str">
        <f ca="1">IFERROR(__xludf.DUMMYFUNCTION("""COMPUTED_VALUE"""),"Arpan")</f>
        <v>Arpan</v>
      </c>
      <c r="C1005" t="str">
        <f ca="1">IFERROR(__xludf.DUMMYFUNCTION("""COMPUTED_VALUE"""),"Roberto@gmailx.com")</f>
        <v>Roberto@gmailx.com</v>
      </c>
      <c r="D1005" t="str">
        <f ca="1">IFERROR(__xludf.DUMMYFUNCTION("""COMPUTED_VALUE"""),"Pasuruan")</f>
        <v>Pasuruan</v>
      </c>
      <c r="E1005" s="12">
        <f ca="1">IFERROR(__xludf.DUMMYFUNCTION("""COMPUTED_VALUE"""),43369)</f>
        <v>43369</v>
      </c>
      <c r="F1005" t="str">
        <f ca="1">IFERROR(__xludf.DUMMYFUNCTION("""COMPUTED_VALUE"""),"KP0750AJ")</f>
        <v>KP0750AJ</v>
      </c>
      <c r="G1005" s="11">
        <f ca="1">IFERROR(__xludf.DUMMYFUNCTION("""COMPUTED_VALUE"""),144000000)</f>
        <v>144000000</v>
      </c>
      <c r="H1005">
        <f ca="1">IFERROR(__xludf.DUMMYFUNCTION("""COMPUTED_VALUE"""),37055)</f>
        <v>37055</v>
      </c>
      <c r="I1005">
        <f ca="1">IFERROR(__xludf.DUMMYFUNCTION("""COMPUTED_VALUE"""),8)</f>
        <v>8</v>
      </c>
      <c r="J1005">
        <f ca="1">IFERROR(__xludf.DUMMYFUNCTION("""COMPUTED_VALUE"""),5)</f>
        <v>5</v>
      </c>
      <c r="K1005" t="str">
        <f ca="1">IFERROR(__xludf.DUMMYFUNCTION("""COMPUTED_VALUE"""),"Pru Logistic")</f>
        <v>Pru Logistic</v>
      </c>
      <c r="L1005" t="str">
        <f ca="1">IFERROR(__xludf.DUMMYFUNCTION("""COMPUTED_VALUE"""),"N")</f>
        <v>N</v>
      </c>
      <c r="M1005" t="str">
        <f ca="1">IFERROR(__xludf.DUMMYFUNCTION("""COMPUTED_VALUE"""),"Ej-123")</f>
        <v>Ej-123</v>
      </c>
    </row>
    <row r="1006" spans="1:13" ht="12.5" x14ac:dyDescent="0.25">
      <c r="A1006" t="str">
        <f ca="1">IFERROR(__xludf.DUMMYFUNCTION("""COMPUTED_VALUE"""),"Raymond")</f>
        <v>Raymond</v>
      </c>
      <c r="B1006" t="str">
        <f ca="1">IFERROR(__xludf.DUMMYFUNCTION("""COMPUTED_VALUE"""),"Sapta")</f>
        <v>Sapta</v>
      </c>
      <c r="C1006" t="str">
        <f ca="1">IFERROR(__xludf.DUMMYFUNCTION("""COMPUTED_VALUE"""),"Raymond@icloudx.com")</f>
        <v>Raymond@icloudx.com</v>
      </c>
      <c r="D1006" t="str">
        <f ca="1">IFERROR(__xludf.DUMMYFUNCTION("""COMPUTED_VALUE"""),"Bukittinggi")</f>
        <v>Bukittinggi</v>
      </c>
      <c r="E1006" s="12">
        <f ca="1">IFERROR(__xludf.DUMMYFUNCTION("""COMPUTED_VALUE"""),43369)</f>
        <v>43369</v>
      </c>
      <c r="F1006" t="str">
        <f ca="1">IFERROR(__xludf.DUMMYFUNCTION("""COMPUTED_VALUE"""),"KP0850FB")</f>
        <v>KP0850FB</v>
      </c>
      <c r="G1006" s="11">
        <f ca="1">IFERROR(__xludf.DUMMYFUNCTION("""COMPUTED_VALUE"""),147000000)</f>
        <v>147000000</v>
      </c>
      <c r="H1006">
        <f ca="1">IFERROR(__xludf.DUMMYFUNCTION("""COMPUTED_VALUE"""),37056)</f>
        <v>37056</v>
      </c>
      <c r="I1006">
        <f ca="1">IFERROR(__xludf.DUMMYFUNCTION("""COMPUTED_VALUE"""),7)</f>
        <v>7</v>
      </c>
      <c r="J1006">
        <f ca="1">IFERROR(__xludf.DUMMYFUNCTION("""COMPUTED_VALUE"""),5)</f>
        <v>5</v>
      </c>
      <c r="K1006" t="str">
        <f ca="1">IFERROR(__xludf.DUMMYFUNCTION("""COMPUTED_VALUE"""),"Wakanda Express")</f>
        <v>Wakanda Express</v>
      </c>
      <c r="L1006" t="str">
        <f ca="1">IFERROR(__xludf.DUMMYFUNCTION("""COMPUTED_VALUE"""),"N")</f>
        <v>N</v>
      </c>
      <c r="M1006" t="str">
        <f ca="1">IFERROR(__xludf.DUMMYFUNCTION("""COMPUTED_VALUE"""),"Yx-559")</f>
        <v>Yx-559</v>
      </c>
    </row>
    <row r="1007" spans="1:13" ht="12.5" x14ac:dyDescent="0.25">
      <c r="A1007" t="str">
        <f ca="1">IFERROR(__xludf.DUMMYFUNCTION("""COMPUTED_VALUE"""),"Frank")</f>
        <v>Frank</v>
      </c>
      <c r="B1007" t="str">
        <f ca="1">IFERROR(__xludf.DUMMYFUNCTION("""COMPUTED_VALUE"""),"Koeshandery")</f>
        <v>Koeshandery</v>
      </c>
      <c r="C1007" t="str">
        <f ca="1">IFERROR(__xludf.DUMMYFUNCTION("""COMPUTED_VALUE"""),"Frank@gmailx.com")</f>
        <v>Frank@gmailx.com</v>
      </c>
      <c r="D1007" t="str">
        <f ca="1">IFERROR(__xludf.DUMMYFUNCTION("""COMPUTED_VALUE"""),"Padangpanjang")</f>
        <v>Padangpanjang</v>
      </c>
      <c r="E1007" s="12">
        <f ca="1">IFERROR(__xludf.DUMMYFUNCTION("""COMPUTED_VALUE"""),43400)</f>
        <v>43400</v>
      </c>
      <c r="F1007" t="str">
        <f ca="1">IFERROR(__xludf.DUMMYFUNCTION("""COMPUTED_VALUE"""),"KP0850FB")</f>
        <v>KP0850FB</v>
      </c>
      <c r="G1007" s="11">
        <f ca="1">IFERROR(__xludf.DUMMYFUNCTION("""COMPUTED_VALUE"""),42000000)</f>
        <v>42000000</v>
      </c>
      <c r="H1007">
        <f ca="1">IFERROR(__xludf.DUMMYFUNCTION("""COMPUTED_VALUE"""),37057)</f>
        <v>37057</v>
      </c>
      <c r="I1007">
        <f ca="1">IFERROR(__xludf.DUMMYFUNCTION("""COMPUTED_VALUE"""),2)</f>
        <v>2</v>
      </c>
      <c r="J1007" t="str">
        <f ca="1">IFERROR(__xludf.DUMMYFUNCTION("""COMPUTED_VALUE"""),"N/A")</f>
        <v>N/A</v>
      </c>
      <c r="K1007" t="str">
        <f ca="1">IFERROR(__xludf.DUMMYFUNCTION("""COMPUTED_VALUE"""),"JENT")</f>
        <v>JENT</v>
      </c>
      <c r="L1007" t="str">
        <f ca="1">IFERROR(__xludf.DUMMYFUNCTION("""COMPUTED_VALUE"""),"Y")</f>
        <v>Y</v>
      </c>
      <c r="M1007" t="str">
        <f ca="1">IFERROR(__xludf.DUMMYFUNCTION("""COMPUTED_VALUE"""),"rd-559")</f>
        <v>rd-559</v>
      </c>
    </row>
    <row r="1008" spans="1:13" ht="12.5" x14ac:dyDescent="0.25">
      <c r="A1008" t="str">
        <f ca="1">IFERROR(__xludf.DUMMYFUNCTION("""COMPUTED_VALUE"""),"Abu")</f>
        <v>Abu</v>
      </c>
      <c r="B1008" t="str">
        <f ca="1">IFERROR(__xludf.DUMMYFUNCTION("""COMPUTED_VALUE"""),"Sally,")</f>
        <v>Sally,</v>
      </c>
      <c r="C1008" t="str">
        <f ca="1">IFERROR(__xludf.DUMMYFUNCTION("""COMPUTED_VALUE"""),"Abu@ymailx.com")</f>
        <v>Abu@ymailx.com</v>
      </c>
      <c r="D1008" t="str">
        <f ca="1">IFERROR(__xludf.DUMMYFUNCTION("""COMPUTED_VALUE"""),"Balikpapan")</f>
        <v>Balikpapan</v>
      </c>
      <c r="E1008" s="12">
        <f ca="1">IFERROR(__xludf.DUMMYFUNCTION("""COMPUTED_VALUE"""),43400)</f>
        <v>43400</v>
      </c>
      <c r="F1008" t="str">
        <f ca="1">IFERROR(__xludf.DUMMYFUNCTION("""COMPUTED_VALUE"""),"KP0350CF")</f>
        <v>KP0350CF</v>
      </c>
      <c r="G1008" s="11">
        <f ca="1">IFERROR(__xludf.DUMMYFUNCTION("""COMPUTED_VALUE"""),245000000)</f>
        <v>245000000</v>
      </c>
      <c r="H1008">
        <f ca="1">IFERROR(__xludf.DUMMYFUNCTION("""COMPUTED_VALUE"""),37058)</f>
        <v>37058</v>
      </c>
      <c r="I1008" t="str">
        <f ca="1">IFERROR(__xludf.DUMMYFUNCTION("""COMPUTED_VALUE"""),"7")</f>
        <v>7</v>
      </c>
      <c r="J1008" t="str">
        <f ca="1">IFERROR(__xludf.DUMMYFUNCTION("""COMPUTED_VALUE"""),"N/A")</f>
        <v>N/A</v>
      </c>
      <c r="K1008" t="str">
        <f ca="1">IFERROR(__xludf.DUMMYFUNCTION("""COMPUTED_VALUE"""),"Cepat Kirim")</f>
        <v>Cepat Kirim</v>
      </c>
      <c r="L1008" t="str">
        <f ca="1">IFERROR(__xludf.DUMMYFUNCTION("""COMPUTED_VALUE"""),"Y")</f>
        <v>Y</v>
      </c>
      <c r="M1008" t="str">
        <f ca="1">IFERROR(__xludf.DUMMYFUNCTION("""COMPUTED_VALUE"""),"Qc-993")</f>
        <v>Qc-993</v>
      </c>
    </row>
    <row r="1009" spans="1:13" ht="12.5" x14ac:dyDescent="0.25">
      <c r="A1009" t="str">
        <f ca="1">IFERROR(__xludf.DUMMYFUNCTION("""COMPUTED_VALUE"""),"Alexandra")</f>
        <v>Alexandra</v>
      </c>
      <c r="B1009" t="str">
        <f ca="1">IFERROR(__xludf.DUMMYFUNCTION("""COMPUTED_VALUE"""),"Muljo")</f>
        <v>Muljo</v>
      </c>
      <c r="C1009" t="str">
        <f ca="1">IFERROR(__xludf.DUMMYFUNCTION("""COMPUTED_VALUE"""),"Alexandra@ymailx.com")</f>
        <v>Alexandra@ymailx.com</v>
      </c>
      <c r="D1009" t="str">
        <f ca="1">IFERROR(__xludf.DUMMYFUNCTION("""COMPUTED_VALUE"""),"Mojokerto")</f>
        <v>Mojokerto</v>
      </c>
      <c r="E1009" s="12">
        <f ca="1">IFERROR(__xludf.DUMMYFUNCTION("""COMPUTED_VALUE"""),43400)</f>
        <v>43400</v>
      </c>
      <c r="F1009" t="str">
        <f ca="1">IFERROR(__xludf.DUMMYFUNCTION("""COMPUTED_VALUE"""),"KP0625AF")</f>
        <v>KP0625AF</v>
      </c>
      <c r="G1009" s="11">
        <f ca="1">IFERROR(__xludf.DUMMYFUNCTION("""COMPUTED_VALUE"""),108000000)</f>
        <v>108000000</v>
      </c>
      <c r="H1009">
        <f ca="1">IFERROR(__xludf.DUMMYFUNCTION("""COMPUTED_VALUE"""),37059)</f>
        <v>37059</v>
      </c>
      <c r="I1009">
        <f ca="1">IFERROR(__xludf.DUMMYFUNCTION("""COMPUTED_VALUE"""),9)</f>
        <v>9</v>
      </c>
      <c r="J1009" t="str">
        <f ca="1">IFERROR(__xludf.DUMMYFUNCTION("""COMPUTED_VALUE"""),"N/A")</f>
        <v>N/A</v>
      </c>
      <c r="K1009" t="str">
        <f ca="1">IFERROR(__xludf.DUMMYFUNCTION("""COMPUTED_VALUE"""),"Cepat Kirim")</f>
        <v>Cepat Kirim</v>
      </c>
      <c r="L1009" t="str">
        <f ca="1">IFERROR(__xludf.DUMMYFUNCTION("""COMPUTED_VALUE"""),"Y")</f>
        <v>Y</v>
      </c>
      <c r="M1009" t="str">
        <f ca="1">IFERROR(__xludf.DUMMYFUNCTION("""COMPUTED_VALUE"""),"Pi-123")</f>
        <v>Pi-123</v>
      </c>
    </row>
    <row r="1010" spans="1:13" ht="12.5" x14ac:dyDescent="0.25">
      <c r="A1010" t="str">
        <f ca="1">IFERROR(__xludf.DUMMYFUNCTION("""COMPUTED_VALUE"""),"Lilys")</f>
        <v>Lilys</v>
      </c>
      <c r="B1010" t="str">
        <f ca="1">IFERROR(__xludf.DUMMYFUNCTION("""COMPUTED_VALUE"""),"Riady")</f>
        <v>Riady</v>
      </c>
      <c r="C1010" t="str">
        <f ca="1">IFERROR(__xludf.DUMMYFUNCTION("""COMPUTED_VALUE"""),"Lilys@ymailx.com")</f>
        <v>Lilys@ymailx.com</v>
      </c>
      <c r="D1010" t="str">
        <f ca="1">IFERROR(__xludf.DUMMYFUNCTION("""COMPUTED_VALUE"""),"Jakarta Pusat")</f>
        <v>Jakarta Pusat</v>
      </c>
      <c r="E1010" s="12">
        <f ca="1">IFERROR(__xludf.DUMMYFUNCTION("""COMPUTED_VALUE"""),43461)</f>
        <v>43461</v>
      </c>
      <c r="F1010" t="str">
        <f ca="1">IFERROR(__xludf.DUMMYFUNCTION("""COMPUTED_VALUE"""),"KP0750AJ")</f>
        <v>KP0750AJ</v>
      </c>
      <c r="G1010" s="11">
        <f ca="1">IFERROR(__xludf.DUMMYFUNCTION("""COMPUTED_VALUE"""),144000000)</f>
        <v>144000000</v>
      </c>
      <c r="H1010">
        <f ca="1">IFERROR(__xludf.DUMMYFUNCTION("""COMPUTED_VALUE"""),37060)</f>
        <v>37060</v>
      </c>
      <c r="I1010">
        <f ca="1">IFERROR(__xludf.DUMMYFUNCTION("""COMPUTED_VALUE"""),8)</f>
        <v>8</v>
      </c>
      <c r="J1010">
        <f ca="1">IFERROR(__xludf.DUMMYFUNCTION("""COMPUTED_VALUE"""),4)</f>
        <v>4</v>
      </c>
      <c r="K1010" t="str">
        <f ca="1">IFERROR(__xludf.DUMMYFUNCTION("""COMPUTED_VALUE"""),"JENT")</f>
        <v>JENT</v>
      </c>
      <c r="L1010" t="str">
        <f ca="1">IFERROR(__xludf.DUMMYFUNCTION("""COMPUTED_VALUE"""),"Y")</f>
        <v>Y</v>
      </c>
      <c r="M1010" t="str">
        <f ca="1">IFERROR(__xludf.DUMMYFUNCTION("""COMPUTED_VALUE"""),"ik-333")</f>
        <v>ik-333</v>
      </c>
    </row>
    <row r="1011" spans="1:13" ht="12.5" x14ac:dyDescent="0.25">
      <c r="A1011" t="str">
        <f ca="1">IFERROR(__xludf.DUMMYFUNCTION("""COMPUTED_VALUE"""),"Rori")</f>
        <v>Rori</v>
      </c>
      <c r="B1011" t="str">
        <f ca="1">IFERROR(__xludf.DUMMYFUNCTION("""COMPUTED_VALUE"""),"Group")</f>
        <v>Group</v>
      </c>
      <c r="C1011" t="str">
        <f ca="1">IFERROR(__xludf.DUMMYFUNCTION("""COMPUTED_VALUE"""),"Group@ymailx.com")</f>
        <v>Group@ymailx.com</v>
      </c>
      <c r="D1011" t="str">
        <f ca="1">IFERROR(__xludf.DUMMYFUNCTION("""COMPUTED_VALUE"""),"Pariaman")</f>
        <v>Pariaman</v>
      </c>
      <c r="E1011" s="12">
        <f ca="1">IFERROR(__xludf.DUMMYFUNCTION("""COMPUTED_VALUE"""),43461)</f>
        <v>43461</v>
      </c>
      <c r="F1011" t="str">
        <f ca="1">IFERROR(__xludf.DUMMYFUNCTION("""COMPUTED_VALUE"""),"KP0750AJ")</f>
        <v>KP0750AJ</v>
      </c>
      <c r="G1011" s="11">
        <f ca="1">IFERROR(__xludf.DUMMYFUNCTION("""COMPUTED_VALUE"""),144000000)</f>
        <v>144000000</v>
      </c>
      <c r="H1011">
        <f ca="1">IFERROR(__xludf.DUMMYFUNCTION("""COMPUTED_VALUE"""),37061)</f>
        <v>37061</v>
      </c>
      <c r="I1011">
        <f ca="1">IFERROR(__xludf.DUMMYFUNCTION("""COMPUTED_VALUE"""),8)</f>
        <v>8</v>
      </c>
      <c r="J1011" t="str">
        <f ca="1">IFERROR(__xludf.DUMMYFUNCTION("""COMPUTED_VALUE"""),"N/A")</f>
        <v>N/A</v>
      </c>
      <c r="K1011" t="str">
        <f ca="1">IFERROR(__xludf.DUMMYFUNCTION("""COMPUTED_VALUE"""),"JENT")</f>
        <v>JENT</v>
      </c>
      <c r="L1011" t="str">
        <f ca="1">IFERROR(__xludf.DUMMYFUNCTION("""COMPUTED_VALUE"""),"N")</f>
        <v>N</v>
      </c>
      <c r="M1011" t="str">
        <f ca="1">IFERROR(__xludf.DUMMYFUNCTION("""COMPUTED_VALUE"""),"Rh-559")</f>
        <v>Rh-559</v>
      </c>
    </row>
    <row r="1012" spans="1:13" ht="12.5" x14ac:dyDescent="0.25">
      <c r="A1012" t="str">
        <f ca="1">IFERROR(__xludf.DUMMYFUNCTION("""COMPUTED_VALUE"""),"Andrew")</f>
        <v>Andrew</v>
      </c>
      <c r="B1012" t="str">
        <f ca="1">IFERROR(__xludf.DUMMYFUNCTION("""COMPUTED_VALUE"""),"Eddy")</f>
        <v>Eddy</v>
      </c>
      <c r="C1012" t="str">
        <f ca="1">IFERROR(__xludf.DUMMYFUNCTION("""COMPUTED_VALUE"""),"Andrew@ymailx.com")</f>
        <v>Andrew@ymailx.com</v>
      </c>
      <c r="D1012" t="str">
        <f ca="1">IFERROR(__xludf.DUMMYFUNCTION("""COMPUTED_VALUE"""),"Manado")</f>
        <v>Manado</v>
      </c>
      <c r="E1012" s="12">
        <f ca="1">IFERROR(__xludf.DUMMYFUNCTION("""COMPUTED_VALUE"""),43461)</f>
        <v>43461</v>
      </c>
      <c r="F1012" t="str">
        <f ca="1">IFERROR(__xludf.DUMMYFUNCTION("""COMPUTED_VALUE"""),"KP0350CF")</f>
        <v>KP0350CF</v>
      </c>
      <c r="G1012" s="11">
        <f ca="1">IFERROR(__xludf.DUMMYFUNCTION("""COMPUTED_VALUE"""),210000000)</f>
        <v>210000000</v>
      </c>
      <c r="H1012">
        <f ca="1">IFERROR(__xludf.DUMMYFUNCTION("""COMPUTED_VALUE"""),37062)</f>
        <v>37062</v>
      </c>
      <c r="I1012">
        <f ca="1">IFERROR(__xludf.DUMMYFUNCTION("""COMPUTED_VALUE"""),6)</f>
        <v>6</v>
      </c>
      <c r="J1012">
        <f ca="1">IFERROR(__xludf.DUMMYFUNCTION("""COMPUTED_VALUE"""),4)</f>
        <v>4</v>
      </c>
      <c r="K1012" t="str">
        <f ca="1">IFERROR(__xludf.DUMMYFUNCTION("""COMPUTED_VALUE"""),"Swift Delivery")</f>
        <v>Swift Delivery</v>
      </c>
      <c r="L1012" t="str">
        <f ca="1">IFERROR(__xludf.DUMMYFUNCTION("""COMPUTED_VALUE"""),"Y")</f>
        <v>Y</v>
      </c>
      <c r="M1012" t="str">
        <f ca="1">IFERROR(__xludf.DUMMYFUNCTION("""COMPUTED_VALUE"""),"Qo-221")</f>
        <v>Qo-221</v>
      </c>
    </row>
    <row r="1013" spans="1:13" ht="12.5" x14ac:dyDescent="0.25">
      <c r="A1013" t="str">
        <f ca="1">IFERROR(__xludf.DUMMYFUNCTION("""COMPUTED_VALUE"""),"Rustiyan")</f>
        <v>Rustiyan</v>
      </c>
      <c r="B1013" t="str">
        <f ca="1">IFERROR(__xludf.DUMMYFUNCTION("""COMPUTED_VALUE"""),"Muchtar")</f>
        <v>Muchtar</v>
      </c>
      <c r="C1013" t="str">
        <f ca="1">IFERROR(__xludf.DUMMYFUNCTION("""COMPUTED_VALUE"""),"Rustiyan@outlookx.com")</f>
        <v>Rustiyan@outlookx.com</v>
      </c>
      <c r="D1013" t="str">
        <f ca="1">IFERROR(__xludf.DUMMYFUNCTION("""COMPUTED_VALUE"""),"Semarang")</f>
        <v>Semarang</v>
      </c>
      <c r="E1013" s="12">
        <f ca="1">IFERROR(__xludf.DUMMYFUNCTION("""COMPUTED_VALUE"""),43186)</f>
        <v>43186</v>
      </c>
      <c r="F1013" t="str">
        <f ca="1">IFERROR(__xludf.DUMMYFUNCTION("""COMPUTED_VALUE"""),"KP0925SG")</f>
        <v>KP0925SG</v>
      </c>
      <c r="G1013" s="11">
        <f ca="1">IFERROR(__xludf.DUMMYFUNCTION("""COMPUTED_VALUE"""),75000000)</f>
        <v>75000000</v>
      </c>
      <c r="H1013">
        <f ca="1">IFERROR(__xludf.DUMMYFUNCTION("""COMPUTED_VALUE"""),37063)</f>
        <v>37063</v>
      </c>
      <c r="I1013">
        <f ca="1">IFERROR(__xludf.DUMMYFUNCTION("""COMPUTED_VALUE"""),5)</f>
        <v>5</v>
      </c>
      <c r="J1013" t="str">
        <f ca="1">IFERROR(__xludf.DUMMYFUNCTION("""COMPUTED_VALUE"""),"N/A")</f>
        <v>N/A</v>
      </c>
      <c r="K1013" t="str">
        <f ca="1">IFERROR(__xludf.DUMMYFUNCTION("""COMPUTED_VALUE"""),"Wakanda Express")</f>
        <v>Wakanda Express</v>
      </c>
      <c r="L1013" t="str">
        <f ca="1">IFERROR(__xludf.DUMMYFUNCTION("""COMPUTED_VALUE"""),"N")</f>
        <v>N</v>
      </c>
      <c r="M1013" t="str">
        <f ca="1">IFERROR(__xludf.DUMMYFUNCTION("""COMPUTED_VALUE"""),"gf-410")</f>
        <v>gf-410</v>
      </c>
    </row>
    <row r="1014" spans="1:13" ht="12.5" x14ac:dyDescent="0.25">
      <c r="A1014" t="str">
        <f ca="1">IFERROR(__xludf.DUMMYFUNCTION("""COMPUTED_VALUE"""),"Kusumo")</f>
        <v>Kusumo</v>
      </c>
      <c r="B1014" t="str">
        <f ca="1">IFERROR(__xludf.DUMMYFUNCTION("""COMPUTED_VALUE"""),"Halim")</f>
        <v>Halim</v>
      </c>
      <c r="C1014" t="str">
        <f ca="1">IFERROR(__xludf.DUMMYFUNCTION("""COMPUTED_VALUE"""),"Kusumo@gmailx.com")</f>
        <v>Kusumo@gmailx.com</v>
      </c>
      <c r="D1014" t="str">
        <f ca="1">IFERROR(__xludf.DUMMYFUNCTION("""COMPUTED_VALUE"""),"Tegal")</f>
        <v>Tegal</v>
      </c>
      <c r="E1014" s="12">
        <f ca="1">IFERROR(__xludf.DUMMYFUNCTION("""COMPUTED_VALUE"""),43186)</f>
        <v>43186</v>
      </c>
      <c r="F1014" t="str">
        <f ca="1">IFERROR(__xludf.DUMMYFUNCTION("""COMPUTED_VALUE"""),"KP0150BH")</f>
        <v>KP0150BH</v>
      </c>
      <c r="G1014" s="11">
        <f ca="1">IFERROR(__xludf.DUMMYFUNCTION("""COMPUTED_VALUE"""),243000000)</f>
        <v>243000000</v>
      </c>
      <c r="H1014">
        <f ca="1">IFERROR(__xludf.DUMMYFUNCTION("""COMPUTED_VALUE"""),37064)</f>
        <v>37064</v>
      </c>
      <c r="I1014">
        <f ca="1">IFERROR(__xludf.DUMMYFUNCTION("""COMPUTED_VALUE"""),9)</f>
        <v>9</v>
      </c>
      <c r="J1014">
        <f ca="1">IFERROR(__xludf.DUMMYFUNCTION("""COMPUTED_VALUE"""),4)</f>
        <v>4</v>
      </c>
      <c r="K1014" t="str">
        <f ca="1">IFERROR(__xludf.DUMMYFUNCTION("""COMPUTED_VALUE"""),"Wakanda Express")</f>
        <v>Wakanda Express</v>
      </c>
      <c r="L1014" t="str">
        <f ca="1">IFERROR(__xludf.DUMMYFUNCTION("""COMPUTED_VALUE"""),"Y")</f>
        <v>Y</v>
      </c>
      <c r="M1014" t="str">
        <f ca="1">IFERROR(__xludf.DUMMYFUNCTION("""COMPUTED_VALUE"""),"ku-410")</f>
        <v>ku-410</v>
      </c>
    </row>
    <row r="1015" spans="1:13" ht="12.5" x14ac:dyDescent="0.25">
      <c r="A1015" t="str">
        <f ca="1">IFERROR(__xludf.DUMMYFUNCTION("""COMPUTED_VALUE"""),"Liliana")</f>
        <v>Liliana</v>
      </c>
      <c r="B1015" t="str">
        <f ca="1">IFERROR(__xludf.DUMMYFUNCTION("""COMPUTED_VALUE"""),"Mogi")</f>
        <v>Mogi</v>
      </c>
      <c r="C1015" t="str">
        <f ca="1">IFERROR(__xludf.DUMMYFUNCTION("""COMPUTED_VALUE"""),"Liliana@icloudx.com")</f>
        <v>Liliana@icloudx.com</v>
      </c>
      <c r="D1015" t="str">
        <f ca="1">IFERROR(__xludf.DUMMYFUNCTION("""COMPUTED_VALUE"""),"Malang")</f>
        <v>Malang</v>
      </c>
      <c r="E1015" s="12">
        <f ca="1">IFERROR(__xludf.DUMMYFUNCTION("""COMPUTED_VALUE"""),43217)</f>
        <v>43217</v>
      </c>
      <c r="F1015" t="str">
        <f ca="1">IFERROR(__xludf.DUMMYFUNCTION("""COMPUTED_VALUE"""),"KP0350CF")</f>
        <v>KP0350CF</v>
      </c>
      <c r="G1015" s="11">
        <f ca="1">IFERROR(__xludf.DUMMYFUNCTION("""COMPUTED_VALUE"""),245000000)</f>
        <v>245000000</v>
      </c>
      <c r="H1015">
        <f ca="1">IFERROR(__xludf.DUMMYFUNCTION("""COMPUTED_VALUE"""),37065)</f>
        <v>37065</v>
      </c>
      <c r="I1015">
        <f ca="1">IFERROR(__xludf.DUMMYFUNCTION("""COMPUTED_VALUE"""),7)</f>
        <v>7</v>
      </c>
      <c r="J1015" t="str">
        <f ca="1">IFERROR(__xludf.DUMMYFUNCTION("""COMPUTED_VALUE"""),"N/A")</f>
        <v>N/A</v>
      </c>
      <c r="K1015" t="str">
        <f ca="1">IFERROR(__xludf.DUMMYFUNCTION("""COMPUTED_VALUE"""),"Swift Delivery")</f>
        <v>Swift Delivery</v>
      </c>
      <c r="L1015" t="str">
        <f ca="1">IFERROR(__xludf.DUMMYFUNCTION("""COMPUTED_VALUE"""),"Y")</f>
        <v>Y</v>
      </c>
      <c r="M1015" t="str">
        <f ca="1">IFERROR(__xludf.DUMMYFUNCTION("""COMPUTED_VALUE"""),"ys-123")</f>
        <v>ys-123</v>
      </c>
    </row>
    <row r="1016" spans="1:13" ht="12.5" x14ac:dyDescent="0.25">
      <c r="A1016" t="str">
        <f ca="1">IFERROR(__xludf.DUMMYFUNCTION("""COMPUTED_VALUE"""),"Agam")</f>
        <v>Agam</v>
      </c>
      <c r="B1016" t="str">
        <f ca="1">IFERROR(__xludf.DUMMYFUNCTION("""COMPUTED_VALUE"""),"Iskandar")</f>
        <v>Iskandar</v>
      </c>
      <c r="C1016" t="str">
        <f ca="1">IFERROR(__xludf.DUMMYFUNCTION("""COMPUTED_VALUE"""),"Agam@gmailx.com")</f>
        <v>Agam@gmailx.com</v>
      </c>
      <c r="D1016" t="str">
        <f ca="1">IFERROR(__xludf.DUMMYFUNCTION("""COMPUTED_VALUE"""),"Purwokerto")</f>
        <v>Purwokerto</v>
      </c>
      <c r="E1016" s="12">
        <f ca="1">IFERROR(__xludf.DUMMYFUNCTION("""COMPUTED_VALUE"""),43247)</f>
        <v>43247</v>
      </c>
      <c r="F1016" t="str">
        <f ca="1">IFERROR(__xludf.DUMMYFUNCTION("""COMPUTED_VALUE"""),"KP0750AJ")</f>
        <v>KP0750AJ</v>
      </c>
      <c r="G1016" s="11">
        <f ca="1">IFERROR(__xludf.DUMMYFUNCTION("""COMPUTED_VALUE"""),90000000)</f>
        <v>90000000</v>
      </c>
      <c r="H1016">
        <f ca="1">IFERROR(__xludf.DUMMYFUNCTION("""COMPUTED_VALUE"""),37066)</f>
        <v>37066</v>
      </c>
      <c r="I1016">
        <f ca="1">IFERROR(__xludf.DUMMYFUNCTION("""COMPUTED_VALUE"""),5)</f>
        <v>5</v>
      </c>
      <c r="J1016">
        <f ca="1">IFERROR(__xludf.DUMMYFUNCTION("""COMPUTED_VALUE"""),1)</f>
        <v>1</v>
      </c>
      <c r="K1016" t="str">
        <f ca="1">IFERROR(__xludf.DUMMYFUNCTION("""COMPUTED_VALUE"""),"Wakanda Express")</f>
        <v>Wakanda Express</v>
      </c>
      <c r="L1016" t="str">
        <f ca="1">IFERROR(__xludf.DUMMYFUNCTION("""COMPUTED_VALUE"""),"Y")</f>
        <v>Y</v>
      </c>
      <c r="M1016" t="str">
        <f ca="1">IFERROR(__xludf.DUMMYFUNCTION("""COMPUTED_VALUE"""),"pf-410")</f>
        <v>pf-410</v>
      </c>
    </row>
    <row r="1017" spans="1:13" ht="12.5" x14ac:dyDescent="0.25">
      <c r="A1017" t="str">
        <f ca="1">IFERROR(__xludf.DUMMYFUNCTION("""COMPUTED_VALUE"""),"Hendra")</f>
        <v>Hendra</v>
      </c>
      <c r="B1017" t="str">
        <f ca="1">IFERROR(__xludf.DUMMYFUNCTION("""COMPUTED_VALUE"""),"Jimmy")</f>
        <v>Jimmy</v>
      </c>
      <c r="C1017" t="str">
        <f ca="1">IFERROR(__xludf.DUMMYFUNCTION("""COMPUTED_VALUE"""),"Jimmy@gmailx.com")</f>
        <v>Jimmy@gmailx.com</v>
      </c>
      <c r="D1017" t="str">
        <f ca="1">IFERROR(__xludf.DUMMYFUNCTION("""COMPUTED_VALUE"""),"Medan")</f>
        <v>Medan</v>
      </c>
      <c r="E1017" s="12">
        <f ca="1">IFERROR(__xludf.DUMMYFUNCTION("""COMPUTED_VALUE"""),43247)</f>
        <v>43247</v>
      </c>
      <c r="F1017" t="str">
        <f ca="1">IFERROR(__xludf.DUMMYFUNCTION("""COMPUTED_VALUE"""),"KP0850FB")</f>
        <v>KP0850FB</v>
      </c>
      <c r="G1017" s="11">
        <f ca="1">IFERROR(__xludf.DUMMYFUNCTION("""COMPUTED_VALUE"""),105000000)</f>
        <v>105000000</v>
      </c>
      <c r="H1017">
        <f ca="1">IFERROR(__xludf.DUMMYFUNCTION("""COMPUTED_VALUE"""),37067)</f>
        <v>37067</v>
      </c>
      <c r="I1017">
        <f ca="1">IFERROR(__xludf.DUMMYFUNCTION("""COMPUTED_VALUE"""),5)</f>
        <v>5</v>
      </c>
      <c r="J1017" t="str">
        <f ca="1">IFERROR(__xludf.DUMMYFUNCTION("""COMPUTED_VALUE"""),"N/A")</f>
        <v>N/A</v>
      </c>
      <c r="K1017" t="str">
        <f ca="1">IFERROR(__xludf.DUMMYFUNCTION("""COMPUTED_VALUE"""),"Swift Delivery")</f>
        <v>Swift Delivery</v>
      </c>
      <c r="L1017" t="str">
        <f ca="1">IFERROR(__xludf.DUMMYFUNCTION("""COMPUTED_VALUE"""),"Y")</f>
        <v>Y</v>
      </c>
      <c r="M1017" t="str">
        <f ca="1">IFERROR(__xludf.DUMMYFUNCTION("""COMPUTED_VALUE"""),"yk-662")</f>
        <v>yk-662</v>
      </c>
    </row>
    <row r="1018" spans="1:13" ht="12.5" x14ac:dyDescent="0.25">
      <c r="A1018" t="str">
        <f ca="1">IFERROR(__xludf.DUMMYFUNCTION("""COMPUTED_VALUE"""),"Danny")</f>
        <v>Danny</v>
      </c>
      <c r="B1018" t="str">
        <f ca="1">IFERROR(__xludf.DUMMYFUNCTION("""COMPUTED_VALUE"""),"Basuki")</f>
        <v>Basuki</v>
      </c>
      <c r="C1018" t="str">
        <f ca="1">IFERROR(__xludf.DUMMYFUNCTION("""COMPUTED_VALUE"""),"Danny@ymailx.com")</f>
        <v>Danny@ymailx.com</v>
      </c>
      <c r="D1018" t="str">
        <f ca="1">IFERROR(__xludf.DUMMYFUNCTION("""COMPUTED_VALUE"""),"Jambi")</f>
        <v>Jambi</v>
      </c>
      <c r="E1018" s="12">
        <f ca="1">IFERROR(__xludf.DUMMYFUNCTION("""COMPUTED_VALUE"""),43247)</f>
        <v>43247</v>
      </c>
      <c r="F1018" t="str">
        <f ca="1">IFERROR(__xludf.DUMMYFUNCTION("""COMPUTED_VALUE"""),"KP0625AF")</f>
        <v>KP0625AF</v>
      </c>
      <c r="G1018" s="11">
        <f ca="1">IFERROR(__xludf.DUMMYFUNCTION("""COMPUTED_VALUE"""),96000000)</f>
        <v>96000000</v>
      </c>
      <c r="H1018">
        <f ca="1">IFERROR(__xludf.DUMMYFUNCTION("""COMPUTED_VALUE"""),37068)</f>
        <v>37068</v>
      </c>
      <c r="I1018">
        <f ca="1">IFERROR(__xludf.DUMMYFUNCTION("""COMPUTED_VALUE"""),8)</f>
        <v>8</v>
      </c>
      <c r="J1018" t="str">
        <f ca="1">IFERROR(__xludf.DUMMYFUNCTION("""COMPUTED_VALUE"""),"N/A")</f>
        <v>N/A</v>
      </c>
      <c r="K1018" t="str">
        <f ca="1">IFERROR(__xludf.DUMMYFUNCTION("""COMPUTED_VALUE"""),"Swift Delivery")</f>
        <v>Swift Delivery</v>
      </c>
      <c r="L1018" t="str">
        <f ca="1">IFERROR(__xludf.DUMMYFUNCTION("""COMPUTED_VALUE"""),"Y")</f>
        <v>Y</v>
      </c>
      <c r="M1018" t="str">
        <f ca="1">IFERROR(__xludf.DUMMYFUNCTION("""COMPUTED_VALUE"""),"qa-512")</f>
        <v>qa-512</v>
      </c>
    </row>
    <row r="1019" spans="1:13" ht="12.5" x14ac:dyDescent="0.25">
      <c r="A1019" t="str">
        <f ca="1">IFERROR(__xludf.DUMMYFUNCTION("""COMPUTED_VALUE"""),"Grant")</f>
        <v>Grant</v>
      </c>
      <c r="B1019" t="str">
        <f ca="1">IFERROR(__xludf.DUMMYFUNCTION("""COMPUTED_VALUE"""),"Sutantyo")</f>
        <v>Sutantyo</v>
      </c>
      <c r="C1019" t="str">
        <f ca="1">IFERROR(__xludf.DUMMYFUNCTION("""COMPUTED_VALUE"""),"Grant@ymailx.com")</f>
        <v>Grant@ymailx.com</v>
      </c>
      <c r="D1019" t="str">
        <f ca="1">IFERROR(__xludf.DUMMYFUNCTION("""COMPUTED_VALUE"""),"Surakarta")</f>
        <v>Surakarta</v>
      </c>
      <c r="E1019" s="12">
        <f ca="1">IFERROR(__xludf.DUMMYFUNCTION("""COMPUTED_VALUE"""),43278)</f>
        <v>43278</v>
      </c>
      <c r="F1019" t="str">
        <f ca="1">IFERROR(__xludf.DUMMYFUNCTION("""COMPUTED_VALUE"""),"KP0925SG")</f>
        <v>KP0925SG</v>
      </c>
      <c r="G1019" s="11">
        <f ca="1">IFERROR(__xludf.DUMMYFUNCTION("""COMPUTED_VALUE"""),120000000)</f>
        <v>120000000</v>
      </c>
      <c r="H1019">
        <f ca="1">IFERROR(__xludf.DUMMYFUNCTION("""COMPUTED_VALUE"""),37069)</f>
        <v>37069</v>
      </c>
      <c r="I1019">
        <f ca="1">IFERROR(__xludf.DUMMYFUNCTION("""COMPUTED_VALUE"""),8)</f>
        <v>8</v>
      </c>
      <c r="J1019">
        <f ca="1">IFERROR(__xludf.DUMMYFUNCTION("""COMPUTED_VALUE"""),2)</f>
        <v>2</v>
      </c>
      <c r="K1019" t="str">
        <f ca="1">IFERROR(__xludf.DUMMYFUNCTION("""COMPUTED_VALUE"""),"Pru Logistic")</f>
        <v>Pru Logistic</v>
      </c>
      <c r="L1019" t="str">
        <f ca="1">IFERROR(__xludf.DUMMYFUNCTION("""COMPUTED_VALUE"""),"Y")</f>
        <v>Y</v>
      </c>
      <c r="M1019" t="str">
        <f ca="1">IFERROR(__xludf.DUMMYFUNCTION("""COMPUTED_VALUE"""),"Ji-410")</f>
        <v>Ji-410</v>
      </c>
    </row>
    <row r="1020" spans="1:13" ht="12.5" x14ac:dyDescent="0.25">
      <c r="A1020" t="str">
        <f ca="1">IFERROR(__xludf.DUMMYFUNCTION("""COMPUTED_VALUE"""),"Mochamad")</f>
        <v>Mochamad</v>
      </c>
      <c r="B1020" t="str">
        <f ca="1">IFERROR(__xludf.DUMMYFUNCTION("""COMPUTED_VALUE"""),"Balmaceda")</f>
        <v>Balmaceda</v>
      </c>
      <c r="C1020" t="str">
        <f ca="1">IFERROR(__xludf.DUMMYFUNCTION("""COMPUTED_VALUE"""),"Mochamad@ymailx.com")</f>
        <v>Mochamad@ymailx.com</v>
      </c>
      <c r="D1020" t="str">
        <f ca="1">IFERROR(__xludf.DUMMYFUNCTION("""COMPUTED_VALUE"""),"Yogyakarta")</f>
        <v>Yogyakarta</v>
      </c>
      <c r="E1020" s="12">
        <f ca="1">IFERROR(__xludf.DUMMYFUNCTION("""COMPUTED_VALUE"""),43308)</f>
        <v>43308</v>
      </c>
      <c r="F1020" t="str">
        <f ca="1">IFERROR(__xludf.DUMMYFUNCTION("""COMPUTED_VALUE"""),"KP0350CF")</f>
        <v>KP0350CF</v>
      </c>
      <c r="G1020" s="11">
        <f ca="1">IFERROR(__xludf.DUMMYFUNCTION("""COMPUTED_VALUE"""),350000000)</f>
        <v>350000000</v>
      </c>
      <c r="H1020">
        <f ca="1">IFERROR(__xludf.DUMMYFUNCTION("""COMPUTED_VALUE"""),37070)</f>
        <v>37070</v>
      </c>
      <c r="I1020">
        <f ca="1">IFERROR(__xludf.DUMMYFUNCTION("""COMPUTED_VALUE"""),10)</f>
        <v>10</v>
      </c>
      <c r="J1020">
        <f ca="1">IFERROR(__xludf.DUMMYFUNCTION("""COMPUTED_VALUE"""),4)</f>
        <v>4</v>
      </c>
      <c r="K1020" t="str">
        <f ca="1">IFERROR(__xludf.DUMMYFUNCTION("""COMPUTED_VALUE"""),"Pru Logistic")</f>
        <v>Pru Logistic</v>
      </c>
      <c r="L1020" t="str">
        <f ca="1">IFERROR(__xludf.DUMMYFUNCTION("""COMPUTED_VALUE"""),"Y")</f>
        <v>Y</v>
      </c>
      <c r="M1020" t="str">
        <f ca="1">IFERROR(__xludf.DUMMYFUNCTION("""COMPUTED_VALUE"""),"bu-444")</f>
        <v>bu-444</v>
      </c>
    </row>
    <row r="1021" spans="1:13" ht="12.5" x14ac:dyDescent="0.25">
      <c r="A1021" t="str">
        <f ca="1">IFERROR(__xludf.DUMMYFUNCTION("""COMPUTED_VALUE"""),"Bong")</f>
        <v>Bong</v>
      </c>
      <c r="B1021" t="str">
        <f ca="1">IFERROR(__xludf.DUMMYFUNCTION("""COMPUTED_VALUE"""),"Bagus")</f>
        <v>Bagus</v>
      </c>
      <c r="C1021" t="str">
        <f ca="1">IFERROR(__xludf.DUMMYFUNCTION("""COMPUTED_VALUE"""),"Bagus@ymailx.com")</f>
        <v>Bagus@ymailx.com</v>
      </c>
      <c r="D1021" t="str">
        <f ca="1">IFERROR(__xludf.DUMMYFUNCTION("""COMPUTED_VALUE"""),"Pekalongan")</f>
        <v>Pekalongan</v>
      </c>
      <c r="E1021" s="12">
        <f ca="1">IFERROR(__xludf.DUMMYFUNCTION("""COMPUTED_VALUE"""),43339)</f>
        <v>43339</v>
      </c>
      <c r="F1021" t="str">
        <f ca="1">IFERROR(__xludf.DUMMYFUNCTION("""COMPUTED_VALUE"""),"KP0150BH")</f>
        <v>KP0150BH</v>
      </c>
      <c r="G1021" s="11">
        <f ca="1">IFERROR(__xludf.DUMMYFUNCTION("""COMPUTED_VALUE"""),135000000)</f>
        <v>135000000</v>
      </c>
      <c r="H1021">
        <f ca="1">IFERROR(__xludf.DUMMYFUNCTION("""COMPUTED_VALUE"""),37071)</f>
        <v>37071</v>
      </c>
      <c r="I1021">
        <f ca="1">IFERROR(__xludf.DUMMYFUNCTION("""COMPUTED_VALUE"""),5)</f>
        <v>5</v>
      </c>
      <c r="J1021" t="str">
        <f ca="1">IFERROR(__xludf.DUMMYFUNCTION("""COMPUTED_VALUE"""),"N/A")</f>
        <v>N/A</v>
      </c>
      <c r="K1021" t="str">
        <f ca="1">IFERROR(__xludf.DUMMYFUNCTION("""COMPUTED_VALUE"""),"Swift Delivery")</f>
        <v>Swift Delivery</v>
      </c>
      <c r="L1021" t="str">
        <f ca="1">IFERROR(__xludf.DUMMYFUNCTION("""COMPUTED_VALUE"""),"Y")</f>
        <v>Y</v>
      </c>
      <c r="M1021" t="str">
        <f ca="1">IFERROR(__xludf.DUMMYFUNCTION("""COMPUTED_VALUE"""),"ns-410")</f>
        <v>ns-410</v>
      </c>
    </row>
    <row r="1022" spans="1:13" ht="12.5" x14ac:dyDescent="0.25">
      <c r="A1022" t="str">
        <f ca="1">IFERROR(__xludf.DUMMYFUNCTION("""COMPUTED_VALUE"""),"Gladys")</f>
        <v>Gladys</v>
      </c>
      <c r="B1022" t="str">
        <f ca="1">IFERROR(__xludf.DUMMYFUNCTION("""COMPUTED_VALUE"""),"Samantha")</f>
        <v>Samantha</v>
      </c>
      <c r="C1022" t="str">
        <f ca="1">IFERROR(__xludf.DUMMYFUNCTION("""COMPUTED_VALUE"""),"Samantha@ymailx.com")</f>
        <v>Samantha@ymailx.com</v>
      </c>
      <c r="D1022" t="str">
        <f ca="1">IFERROR(__xludf.DUMMYFUNCTION("""COMPUTED_VALUE"""),"Lubuklinggau")</f>
        <v>Lubuklinggau</v>
      </c>
      <c r="E1022" s="12">
        <f ca="1">IFERROR(__xludf.DUMMYFUNCTION("""COMPUTED_VALUE"""),43339)</f>
        <v>43339</v>
      </c>
      <c r="F1022" t="str">
        <f ca="1">IFERROR(__xludf.DUMMYFUNCTION("""COMPUTED_VALUE"""),"KP0625AF")</f>
        <v>KP0625AF</v>
      </c>
      <c r="G1022" s="11">
        <f ca="1">IFERROR(__xludf.DUMMYFUNCTION("""COMPUTED_VALUE"""),84000000)</f>
        <v>84000000</v>
      </c>
      <c r="H1022">
        <f ca="1">IFERROR(__xludf.DUMMYFUNCTION("""COMPUTED_VALUE"""),37072)</f>
        <v>37072</v>
      </c>
      <c r="I1022">
        <f ca="1">IFERROR(__xludf.DUMMYFUNCTION("""COMPUTED_VALUE"""),7)</f>
        <v>7</v>
      </c>
      <c r="J1022">
        <f ca="1">IFERROR(__xludf.DUMMYFUNCTION("""COMPUTED_VALUE"""),4)</f>
        <v>4</v>
      </c>
      <c r="K1022" t="str">
        <f ca="1">IFERROR(__xludf.DUMMYFUNCTION("""COMPUTED_VALUE"""),"JENT")</f>
        <v>JENT</v>
      </c>
      <c r="L1022" t="str">
        <f ca="1">IFERROR(__xludf.DUMMYFUNCTION("""COMPUTED_VALUE"""),"Y")</f>
        <v>Y</v>
      </c>
      <c r="M1022" t="str">
        <f ca="1">IFERROR(__xludf.DUMMYFUNCTION("""COMPUTED_VALUE"""),"lx-661")</f>
        <v>lx-661</v>
      </c>
    </row>
    <row r="1023" spans="1:13" ht="12.5" x14ac:dyDescent="0.25">
      <c r="A1023" t="str">
        <f ca="1">IFERROR(__xludf.DUMMYFUNCTION("""COMPUTED_VALUE"""),"Bengt")</f>
        <v>Bengt</v>
      </c>
      <c r="B1023" t="str">
        <f ca="1">IFERROR(__xludf.DUMMYFUNCTION("""COMPUTED_VALUE"""),"Consulting")</f>
        <v>Consulting</v>
      </c>
      <c r="C1023" t="str">
        <f ca="1">IFERROR(__xludf.DUMMYFUNCTION("""COMPUTED_VALUE"""),"Consulting@outlookx.com")</f>
        <v>Consulting@outlookx.com</v>
      </c>
      <c r="D1023" t="str">
        <f ca="1">IFERROR(__xludf.DUMMYFUNCTION("""COMPUTED_VALUE"""),"Padangpanjang")</f>
        <v>Padangpanjang</v>
      </c>
      <c r="E1023" s="12">
        <f ca="1">IFERROR(__xludf.DUMMYFUNCTION("""COMPUTED_VALUE"""),43339)</f>
        <v>43339</v>
      </c>
      <c r="F1023" t="str">
        <f ca="1">IFERROR(__xludf.DUMMYFUNCTION("""COMPUTED_VALUE"""),"KP0425CB")</f>
        <v>KP0425CB</v>
      </c>
      <c r="G1023" s="11">
        <f ca="1">IFERROR(__xludf.DUMMYFUNCTION("""COMPUTED_VALUE"""),218000000)</f>
        <v>218000000</v>
      </c>
      <c r="H1023">
        <f ca="1">IFERROR(__xludf.DUMMYFUNCTION("""COMPUTED_VALUE"""),37073)</f>
        <v>37073</v>
      </c>
      <c r="I1023">
        <f ca="1">IFERROR(__xludf.DUMMYFUNCTION("""COMPUTED_VALUE"""),8)</f>
        <v>8</v>
      </c>
      <c r="J1023" t="str">
        <f ca="1">IFERROR(__xludf.DUMMYFUNCTION("""COMPUTED_VALUE"""),"N/A")</f>
        <v>N/A</v>
      </c>
      <c r="K1023" t="str">
        <f ca="1">IFERROR(__xludf.DUMMYFUNCTION("""COMPUTED_VALUE"""),"Swift Delivery")</f>
        <v>Swift Delivery</v>
      </c>
      <c r="L1023" t="str">
        <f ca="1">IFERROR(__xludf.DUMMYFUNCTION("""COMPUTED_VALUE"""),"Y")</f>
        <v>Y</v>
      </c>
      <c r="M1023" t="str">
        <f ca="1">IFERROR(__xludf.DUMMYFUNCTION("""COMPUTED_VALUE"""),"ku-559")</f>
        <v>ku-559</v>
      </c>
    </row>
    <row r="1024" spans="1:13" ht="12.5" x14ac:dyDescent="0.25">
      <c r="A1024" t="str">
        <f ca="1">IFERROR(__xludf.DUMMYFUNCTION("""COMPUTED_VALUE"""),"Lim")</f>
        <v>Lim</v>
      </c>
      <c r="B1024" t="str">
        <f ca="1">IFERROR(__xludf.DUMMYFUNCTION("""COMPUTED_VALUE"""),"Yoshawirja")</f>
        <v>Yoshawirja</v>
      </c>
      <c r="C1024" t="str">
        <f ca="1">IFERROR(__xludf.DUMMYFUNCTION("""COMPUTED_VALUE"""),"Lim@outlookx.com")</f>
        <v>Lim@outlookx.com</v>
      </c>
      <c r="D1024" t="str">
        <f ca="1">IFERROR(__xludf.DUMMYFUNCTION("""COMPUTED_VALUE"""),"Tanjungpinang")</f>
        <v>Tanjungpinang</v>
      </c>
      <c r="E1024" s="12">
        <f ca="1">IFERROR(__xludf.DUMMYFUNCTION("""COMPUTED_VALUE"""),43370)</f>
        <v>43370</v>
      </c>
      <c r="F1024" t="str">
        <f ca="1">IFERROR(__xludf.DUMMYFUNCTION("""COMPUTED_VALUE"""),"KP0625AF")</f>
        <v>KP0625AF</v>
      </c>
      <c r="G1024" s="11">
        <f ca="1">IFERROR(__xludf.DUMMYFUNCTION("""COMPUTED_VALUE"""),36000000)</f>
        <v>36000000</v>
      </c>
      <c r="H1024">
        <f ca="1">IFERROR(__xludf.DUMMYFUNCTION("""COMPUTED_VALUE"""),37074)</f>
        <v>37074</v>
      </c>
      <c r="I1024">
        <f ca="1">IFERROR(__xludf.DUMMYFUNCTION("""COMPUTED_VALUE"""),3)</f>
        <v>3</v>
      </c>
      <c r="J1024" t="str">
        <f ca="1">IFERROR(__xludf.DUMMYFUNCTION("""COMPUTED_VALUE"""),"N/A")</f>
        <v>N/A</v>
      </c>
      <c r="K1024" t="str">
        <f ca="1">IFERROR(__xludf.DUMMYFUNCTION("""COMPUTED_VALUE"""),"Wakanda Express")</f>
        <v>Wakanda Express</v>
      </c>
      <c r="L1024" t="str">
        <f ca="1">IFERROR(__xludf.DUMMYFUNCTION("""COMPUTED_VALUE"""),"Y")</f>
        <v>Y</v>
      </c>
      <c r="M1024" t="str">
        <f ca="1">IFERROR(__xludf.DUMMYFUNCTION("""COMPUTED_VALUE"""),"qy-809")</f>
        <v>qy-809</v>
      </c>
    </row>
    <row r="1025" spans="1:13" ht="12.5" x14ac:dyDescent="0.25">
      <c r="A1025" t="str">
        <f ca="1">IFERROR(__xludf.DUMMYFUNCTION("""COMPUTED_VALUE"""),"Kokos")</f>
        <v>Kokos</v>
      </c>
      <c r="B1025" t="str">
        <f ca="1">IFERROR(__xludf.DUMMYFUNCTION("""COMPUTED_VALUE"""),"Purnomo")</f>
        <v>Purnomo</v>
      </c>
      <c r="C1025" t="str">
        <f ca="1">IFERROR(__xludf.DUMMYFUNCTION("""COMPUTED_VALUE"""),"Kokos@ymailx.com")</f>
        <v>Kokos@ymailx.com</v>
      </c>
      <c r="D1025" t="str">
        <f ca="1">IFERROR(__xludf.DUMMYFUNCTION("""COMPUTED_VALUE"""),"Langsa")</f>
        <v>Langsa</v>
      </c>
      <c r="E1025" s="12">
        <f ca="1">IFERROR(__xludf.DUMMYFUNCTION("""COMPUTED_VALUE"""),43370)</f>
        <v>43370</v>
      </c>
      <c r="F1025" t="str">
        <f ca="1">IFERROR(__xludf.DUMMYFUNCTION("""COMPUTED_VALUE"""),"KP0625AF")</f>
        <v>KP0625AF</v>
      </c>
      <c r="G1025" s="11">
        <f ca="1">IFERROR(__xludf.DUMMYFUNCTION("""COMPUTED_VALUE"""),96000000)</f>
        <v>96000000</v>
      </c>
      <c r="H1025">
        <f ca="1">IFERROR(__xludf.DUMMYFUNCTION("""COMPUTED_VALUE"""),37075)</f>
        <v>37075</v>
      </c>
      <c r="I1025">
        <f ca="1">IFERROR(__xludf.DUMMYFUNCTION("""COMPUTED_VALUE"""),8)</f>
        <v>8</v>
      </c>
      <c r="J1025" t="str">
        <f ca="1">IFERROR(__xludf.DUMMYFUNCTION("""COMPUTED_VALUE"""),"N/A")</f>
        <v>N/A</v>
      </c>
      <c r="K1025" t="str">
        <f ca="1">IFERROR(__xludf.DUMMYFUNCTION("""COMPUTED_VALUE"""),"Cepat Kirim")</f>
        <v>Cepat Kirim</v>
      </c>
      <c r="L1025" t="str">
        <f ca="1">IFERROR(__xludf.DUMMYFUNCTION("""COMPUTED_VALUE"""),"Y")</f>
        <v>Y</v>
      </c>
      <c r="M1025" t="str">
        <f ca="1">IFERROR(__xludf.DUMMYFUNCTION("""COMPUTED_VALUE"""),"ty-101")</f>
        <v>ty-101</v>
      </c>
    </row>
    <row r="1026" spans="1:13" ht="12.5" x14ac:dyDescent="0.25">
      <c r="A1026" t="str">
        <f ca="1">IFERROR(__xludf.DUMMYFUNCTION("""COMPUTED_VALUE"""),"Richard")</f>
        <v>Richard</v>
      </c>
      <c r="B1026" t="str">
        <f ca="1">IFERROR(__xludf.DUMMYFUNCTION("""COMPUTED_VALUE"""),"Eldelina")</f>
        <v>Eldelina</v>
      </c>
      <c r="C1026" t="str">
        <f ca="1">IFERROR(__xludf.DUMMYFUNCTION("""COMPUTED_VALUE"""),"Eldelina@livex.com")</f>
        <v>Eldelina@livex.com</v>
      </c>
      <c r="D1026" t="str">
        <f ca="1">IFERROR(__xludf.DUMMYFUNCTION("""COMPUTED_VALUE"""),"Tomohon")</f>
        <v>Tomohon</v>
      </c>
      <c r="E1026" s="12">
        <f ca="1">IFERROR(__xludf.DUMMYFUNCTION("""COMPUTED_VALUE"""),43370)</f>
        <v>43370</v>
      </c>
      <c r="F1026" t="str">
        <f ca="1">IFERROR(__xludf.DUMMYFUNCTION("""COMPUTED_VALUE"""),"KP0850FB")</f>
        <v>KP0850FB</v>
      </c>
      <c r="G1026" s="11">
        <f ca="1">IFERROR(__xludf.DUMMYFUNCTION("""COMPUTED_VALUE"""),63000000)</f>
        <v>63000000</v>
      </c>
      <c r="H1026">
        <f ca="1">IFERROR(__xludf.DUMMYFUNCTION("""COMPUTED_VALUE"""),37076)</f>
        <v>37076</v>
      </c>
      <c r="I1026">
        <f ca="1">IFERROR(__xludf.DUMMYFUNCTION("""COMPUTED_VALUE"""),3)</f>
        <v>3</v>
      </c>
      <c r="J1026">
        <f ca="1">IFERROR(__xludf.DUMMYFUNCTION("""COMPUTED_VALUE"""),5)</f>
        <v>5</v>
      </c>
      <c r="K1026" t="str">
        <f ca="1">IFERROR(__xludf.DUMMYFUNCTION("""COMPUTED_VALUE"""),"Swift Delivery")</f>
        <v>Swift Delivery</v>
      </c>
      <c r="L1026" t="str">
        <f ca="1">IFERROR(__xludf.DUMMYFUNCTION("""COMPUTED_VALUE"""),"N")</f>
        <v>N</v>
      </c>
      <c r="M1026" t="str">
        <f ca="1">IFERROR(__xludf.DUMMYFUNCTION("""COMPUTED_VALUE"""),"Ap-221")</f>
        <v>Ap-221</v>
      </c>
    </row>
    <row r="1027" spans="1:13" ht="12.5" x14ac:dyDescent="0.25">
      <c r="A1027" t="str">
        <f ca="1">IFERROR(__xludf.DUMMYFUNCTION("""COMPUTED_VALUE"""),"Pao")</f>
        <v>Pao</v>
      </c>
      <c r="B1027" t="str">
        <f ca="1">IFERROR(__xludf.DUMMYFUNCTION("""COMPUTED_VALUE"""),"Halim")</f>
        <v>Halim</v>
      </c>
      <c r="C1027" t="str">
        <f ca="1">IFERROR(__xludf.DUMMYFUNCTION("""COMPUTED_VALUE"""),"PAO@ymailx.com")</f>
        <v>PAO@ymailx.com</v>
      </c>
      <c r="D1027" t="str">
        <f ca="1">IFERROR(__xludf.DUMMYFUNCTION("""COMPUTED_VALUE"""),"Padang")</f>
        <v>Padang</v>
      </c>
      <c r="E1027" s="12">
        <f ca="1">IFERROR(__xludf.DUMMYFUNCTION("""COMPUTED_VALUE"""),43370)</f>
        <v>43370</v>
      </c>
      <c r="F1027" t="str">
        <f ca="1">IFERROR(__xludf.DUMMYFUNCTION("""COMPUTED_VALUE"""),"KP0550EH")</f>
        <v>KP0550EH</v>
      </c>
      <c r="G1027" s="11">
        <f ca="1">IFERROR(__xludf.DUMMYFUNCTION("""COMPUTED_VALUE"""),225000000)</f>
        <v>225000000</v>
      </c>
      <c r="H1027">
        <f ca="1">IFERROR(__xludf.DUMMYFUNCTION("""COMPUTED_VALUE"""),37077)</f>
        <v>37077</v>
      </c>
      <c r="I1027">
        <f ca="1">IFERROR(__xludf.DUMMYFUNCTION("""COMPUTED_VALUE"""),5)</f>
        <v>5</v>
      </c>
      <c r="J1027">
        <f ca="1">IFERROR(__xludf.DUMMYFUNCTION("""COMPUTED_VALUE"""),1)</f>
        <v>1</v>
      </c>
      <c r="K1027" t="str">
        <f ca="1">IFERROR(__xludf.DUMMYFUNCTION("""COMPUTED_VALUE"""),"Cepat Kirim")</f>
        <v>Cepat Kirim</v>
      </c>
      <c r="L1027" t="str">
        <f ca="1">IFERROR(__xludf.DUMMYFUNCTION("""COMPUTED_VALUE"""),"N")</f>
        <v>N</v>
      </c>
      <c r="M1027" t="str">
        <f ca="1">IFERROR(__xludf.DUMMYFUNCTION("""COMPUTED_VALUE"""),"Sk-559")</f>
        <v>Sk-559</v>
      </c>
    </row>
    <row r="1028" spans="1:13" ht="12.5" x14ac:dyDescent="0.25">
      <c r="A1028" t="str">
        <f ca="1">IFERROR(__xludf.DUMMYFUNCTION("""COMPUTED_VALUE"""),"Darmawansjah")</f>
        <v>Darmawansjah</v>
      </c>
      <c r="B1028" t="str">
        <f ca="1">IFERROR(__xludf.DUMMYFUNCTION("""COMPUTED_VALUE"""),"Johan")</f>
        <v>Johan</v>
      </c>
      <c r="C1028" t="str">
        <f ca="1">IFERROR(__xludf.DUMMYFUNCTION("""COMPUTED_VALUE"""),"Johan@outlookx.com")</f>
        <v>Johan@outlookx.com</v>
      </c>
      <c r="D1028" t="str">
        <f ca="1">IFERROR(__xludf.DUMMYFUNCTION("""COMPUTED_VALUE"""),"Meulaboh")</f>
        <v>Meulaboh</v>
      </c>
      <c r="E1028" s="12">
        <f ca="1">IFERROR(__xludf.DUMMYFUNCTION("""COMPUTED_VALUE"""),43401)</f>
        <v>43401</v>
      </c>
      <c r="F1028" t="str">
        <f ca="1">IFERROR(__xludf.DUMMYFUNCTION("""COMPUTED_VALUE"""),"KP0350CF")</f>
        <v>KP0350CF</v>
      </c>
      <c r="G1028" s="11">
        <f ca="1">IFERROR(__xludf.DUMMYFUNCTION("""COMPUTED_VALUE"""),245000000)</f>
        <v>245000000</v>
      </c>
      <c r="H1028">
        <f ca="1">IFERROR(__xludf.DUMMYFUNCTION("""COMPUTED_VALUE"""),37078)</f>
        <v>37078</v>
      </c>
      <c r="I1028">
        <f ca="1">IFERROR(__xludf.DUMMYFUNCTION("""COMPUTED_VALUE"""),7)</f>
        <v>7</v>
      </c>
      <c r="J1028">
        <f ca="1">IFERROR(__xludf.DUMMYFUNCTION("""COMPUTED_VALUE"""),5)</f>
        <v>5</v>
      </c>
      <c r="K1028" t="str">
        <f ca="1">IFERROR(__xludf.DUMMYFUNCTION("""COMPUTED_VALUE"""),"Wakanda Express")</f>
        <v>Wakanda Express</v>
      </c>
      <c r="L1028" t="str">
        <f ca="1">IFERROR(__xludf.DUMMYFUNCTION("""COMPUTED_VALUE"""),"Y")</f>
        <v>Y</v>
      </c>
      <c r="M1028" t="str">
        <f ca="1">IFERROR(__xludf.DUMMYFUNCTION("""COMPUTED_VALUE"""),"Dj-101")</f>
        <v>Dj-101</v>
      </c>
    </row>
    <row r="1029" spans="1:13" ht="12.5" x14ac:dyDescent="0.25">
      <c r="A1029" t="str">
        <f ca="1">IFERROR(__xludf.DUMMYFUNCTION("""COMPUTED_VALUE"""),"Irawan")</f>
        <v>Irawan</v>
      </c>
      <c r="B1029" t="str">
        <f ca="1">IFERROR(__xludf.DUMMYFUNCTION("""COMPUTED_VALUE"""),"Moi")</f>
        <v>Moi</v>
      </c>
      <c r="C1029" t="str">
        <f ca="1">IFERROR(__xludf.DUMMYFUNCTION("""COMPUTED_VALUE"""),"Moi@gmailx.com")</f>
        <v>Moi@gmailx.com</v>
      </c>
      <c r="D1029" t="str">
        <f ca="1">IFERROR(__xludf.DUMMYFUNCTION("""COMPUTED_VALUE"""),"Manado")</f>
        <v>Manado</v>
      </c>
      <c r="E1029" s="12">
        <f ca="1">IFERROR(__xludf.DUMMYFUNCTION("""COMPUTED_VALUE"""),43432)</f>
        <v>43432</v>
      </c>
      <c r="F1029" t="str">
        <f ca="1">IFERROR(__xludf.DUMMYFUNCTION("""COMPUTED_VALUE"""),"KP0750AJ")</f>
        <v>KP0750AJ</v>
      </c>
      <c r="G1029" s="11">
        <f ca="1">IFERROR(__xludf.DUMMYFUNCTION("""COMPUTED_VALUE"""),144000000)</f>
        <v>144000000</v>
      </c>
      <c r="H1029">
        <f ca="1">IFERROR(__xludf.DUMMYFUNCTION("""COMPUTED_VALUE"""),37079)</f>
        <v>37079</v>
      </c>
      <c r="I1029">
        <f ca="1">IFERROR(__xludf.DUMMYFUNCTION("""COMPUTED_VALUE"""),8)</f>
        <v>8</v>
      </c>
      <c r="J1029" t="str">
        <f ca="1">IFERROR(__xludf.DUMMYFUNCTION("""COMPUTED_VALUE"""),"N/A")</f>
        <v>N/A</v>
      </c>
      <c r="K1029" t="str">
        <f ca="1">IFERROR(__xludf.DUMMYFUNCTION("""COMPUTED_VALUE"""),"Wakanda Express")</f>
        <v>Wakanda Express</v>
      </c>
      <c r="L1029" t="str">
        <f ca="1">IFERROR(__xludf.DUMMYFUNCTION("""COMPUTED_VALUE"""),"Y")</f>
        <v>Y</v>
      </c>
      <c r="M1029" t="str">
        <f ca="1">IFERROR(__xludf.DUMMYFUNCTION("""COMPUTED_VALUE"""),"Fi-221")</f>
        <v>Fi-221</v>
      </c>
    </row>
    <row r="1030" spans="1:13" ht="12.5" x14ac:dyDescent="0.25">
      <c r="A1030" t="str">
        <f ca="1">IFERROR(__xludf.DUMMYFUNCTION("""COMPUTED_VALUE"""),"Ridwan")</f>
        <v>Ridwan</v>
      </c>
      <c r="B1030" t="str">
        <f ca="1">IFERROR(__xludf.DUMMYFUNCTION("""COMPUTED_VALUE"""),"Tejowarno")</f>
        <v>Tejowarno</v>
      </c>
      <c r="C1030" t="str">
        <f ca="1">IFERROR(__xludf.DUMMYFUNCTION("""COMPUTED_VALUE"""),"Tejowarno@ymailx.com")</f>
        <v>Tejowarno@ymailx.com</v>
      </c>
      <c r="D1030" t="str">
        <f ca="1">IFERROR(__xludf.DUMMYFUNCTION("""COMPUTED_VALUE"""),"Sibolga")</f>
        <v>Sibolga</v>
      </c>
      <c r="E1030" s="12">
        <f ca="1">IFERROR(__xludf.DUMMYFUNCTION("""COMPUTED_VALUE"""),43432)</f>
        <v>43432</v>
      </c>
      <c r="F1030" t="str">
        <f ca="1">IFERROR(__xludf.DUMMYFUNCTION("""COMPUTED_VALUE"""),"KP0850FB")</f>
        <v>KP0850FB</v>
      </c>
      <c r="G1030" s="11">
        <f ca="1">IFERROR(__xludf.DUMMYFUNCTION("""COMPUTED_VALUE"""),210000000)</f>
        <v>210000000</v>
      </c>
      <c r="H1030">
        <f ca="1">IFERROR(__xludf.DUMMYFUNCTION("""COMPUTED_VALUE"""),37080)</f>
        <v>37080</v>
      </c>
      <c r="I1030">
        <f ca="1">IFERROR(__xludf.DUMMYFUNCTION("""COMPUTED_VALUE"""),10)</f>
        <v>10</v>
      </c>
      <c r="J1030" t="str">
        <f ca="1">IFERROR(__xludf.DUMMYFUNCTION("""COMPUTED_VALUE"""),"N/A")</f>
        <v>N/A</v>
      </c>
      <c r="K1030" t="str">
        <f ca="1">IFERROR(__xludf.DUMMYFUNCTION("""COMPUTED_VALUE"""),"Swift Delivery")</f>
        <v>Swift Delivery</v>
      </c>
      <c r="L1030" t="str">
        <f ca="1">IFERROR(__xludf.DUMMYFUNCTION("""COMPUTED_VALUE"""),"N")</f>
        <v>N</v>
      </c>
      <c r="M1030" t="str">
        <f ca="1">IFERROR(__xludf.DUMMYFUNCTION("""COMPUTED_VALUE"""),"El-662")</f>
        <v>El-662</v>
      </c>
    </row>
    <row r="1031" spans="1:13" ht="12.5" x14ac:dyDescent="0.25">
      <c r="A1031" t="str">
        <f ca="1">IFERROR(__xludf.DUMMYFUNCTION("""COMPUTED_VALUE"""),"Metta")</f>
        <v>Metta</v>
      </c>
      <c r="B1031" t="str">
        <f ca="1">IFERROR(__xludf.DUMMYFUNCTION("""COMPUTED_VALUE"""),"Basyir")</f>
        <v>Basyir</v>
      </c>
      <c r="C1031" t="str">
        <f ca="1">IFERROR(__xludf.DUMMYFUNCTION("""COMPUTED_VALUE"""),"Metta@ymailx.com")</f>
        <v>Metta@ymailx.com</v>
      </c>
      <c r="D1031" t="str">
        <f ca="1">IFERROR(__xludf.DUMMYFUNCTION("""COMPUTED_VALUE"""),"Medan")</f>
        <v>Medan</v>
      </c>
      <c r="E1031" s="12">
        <f ca="1">IFERROR(__xludf.DUMMYFUNCTION("""COMPUTED_VALUE"""),43462)</f>
        <v>43462</v>
      </c>
      <c r="F1031" t="str">
        <f ca="1">IFERROR(__xludf.DUMMYFUNCTION("""COMPUTED_VALUE"""),"KP0850FB")</f>
        <v>KP0850FB</v>
      </c>
      <c r="G1031" s="11">
        <f ca="1">IFERROR(__xludf.DUMMYFUNCTION("""COMPUTED_VALUE"""),84000000)</f>
        <v>84000000</v>
      </c>
      <c r="H1031">
        <f ca="1">IFERROR(__xludf.DUMMYFUNCTION("""COMPUTED_VALUE"""),37081)</f>
        <v>37081</v>
      </c>
      <c r="I1031">
        <f ca="1">IFERROR(__xludf.DUMMYFUNCTION("""COMPUTED_VALUE"""),4)</f>
        <v>4</v>
      </c>
      <c r="J1031" t="str">
        <f ca="1">IFERROR(__xludf.DUMMYFUNCTION("""COMPUTED_VALUE"""),"N/A")</f>
        <v>N/A</v>
      </c>
      <c r="K1031" t="str">
        <f ca="1">IFERROR(__xludf.DUMMYFUNCTION("""COMPUTED_VALUE"""),"Swift Delivery")</f>
        <v>Swift Delivery</v>
      </c>
      <c r="L1031" t="str">
        <f ca="1">IFERROR(__xludf.DUMMYFUNCTION("""COMPUTED_VALUE"""),"Y")</f>
        <v>Y</v>
      </c>
      <c r="M1031" t="str">
        <f ca="1">IFERROR(__xludf.DUMMYFUNCTION("""COMPUTED_VALUE"""),"Rn-662")</f>
        <v>Rn-662</v>
      </c>
    </row>
    <row r="1032" spans="1:13" ht="12.5" x14ac:dyDescent="0.25">
      <c r="A1032" t="str">
        <f ca="1">IFERROR(__xludf.DUMMYFUNCTION("""COMPUTED_VALUE"""),"Septo")</f>
        <v>Septo</v>
      </c>
      <c r="B1032" t="str">
        <f ca="1">IFERROR(__xludf.DUMMYFUNCTION("""COMPUTED_VALUE"""),"Ong")</f>
        <v>Ong</v>
      </c>
      <c r="C1032" t="str">
        <f ca="1">IFERROR(__xludf.DUMMYFUNCTION("""COMPUTED_VALUE"""),"Septo@ymailx.com")</f>
        <v>Septo@ymailx.com</v>
      </c>
      <c r="D1032" t="str">
        <f ca="1">IFERROR(__xludf.DUMMYFUNCTION("""COMPUTED_VALUE"""),"Banda Aceh")</f>
        <v>Banda Aceh</v>
      </c>
      <c r="E1032" s="12">
        <f ca="1">IFERROR(__xludf.DUMMYFUNCTION("""COMPUTED_VALUE"""),43462)</f>
        <v>43462</v>
      </c>
      <c r="F1032" t="str">
        <f ca="1">IFERROR(__xludf.DUMMYFUNCTION("""COMPUTED_VALUE"""),"KP0850FB")</f>
        <v>KP0850FB</v>
      </c>
      <c r="G1032" s="11">
        <f ca="1">IFERROR(__xludf.DUMMYFUNCTION("""COMPUTED_VALUE"""),63000000)</f>
        <v>63000000</v>
      </c>
      <c r="H1032">
        <f ca="1">IFERROR(__xludf.DUMMYFUNCTION("""COMPUTED_VALUE"""),37082)</f>
        <v>37082</v>
      </c>
      <c r="I1032">
        <f ca="1">IFERROR(__xludf.DUMMYFUNCTION("""COMPUTED_VALUE"""),3)</f>
        <v>3</v>
      </c>
      <c r="J1032" t="str">
        <f ca="1">IFERROR(__xludf.DUMMYFUNCTION("""COMPUTED_VALUE"""),"N/A")</f>
        <v>N/A</v>
      </c>
      <c r="K1032" t="str">
        <f ca="1">IFERROR(__xludf.DUMMYFUNCTION("""COMPUTED_VALUE"""),"Cepat Kirim")</f>
        <v>Cepat Kirim</v>
      </c>
      <c r="L1032" t="str">
        <f ca="1">IFERROR(__xludf.DUMMYFUNCTION("""COMPUTED_VALUE"""),"N")</f>
        <v>N</v>
      </c>
      <c r="M1032" t="str">
        <f ca="1">IFERROR(__xludf.DUMMYFUNCTION("""COMPUTED_VALUE"""),"Tr-101")</f>
        <v>Tr-101</v>
      </c>
    </row>
    <row r="1033" spans="1:13" ht="12.5" x14ac:dyDescent="0.25">
      <c r="A1033" t="str">
        <f ca="1">IFERROR(__xludf.DUMMYFUNCTION("""COMPUTED_VALUE"""),"Michel")</f>
        <v>Michel</v>
      </c>
      <c r="B1033" t="str">
        <f ca="1">IFERROR(__xludf.DUMMYFUNCTION("""COMPUTED_VALUE"""),"Ahimsa")</f>
        <v>Ahimsa</v>
      </c>
      <c r="C1033" t="str">
        <f ca="1">IFERROR(__xludf.DUMMYFUNCTION("""COMPUTED_VALUE"""),"Michel@rocketmailx.com")</f>
        <v>Michel@rocketmailx.com</v>
      </c>
      <c r="D1033" t="str">
        <f ca="1">IFERROR(__xludf.DUMMYFUNCTION("""COMPUTED_VALUE"""),"Malang")</f>
        <v>Malang</v>
      </c>
      <c r="E1033" s="12">
        <f ca="1">IFERROR(__xludf.DUMMYFUNCTION("""COMPUTED_VALUE"""),43159)</f>
        <v>43159</v>
      </c>
      <c r="F1033" t="str">
        <f ca="1">IFERROR(__xludf.DUMMYFUNCTION("""COMPUTED_VALUE"""),"KP0850FB")</f>
        <v>KP0850FB</v>
      </c>
      <c r="G1033" s="11">
        <f ca="1">IFERROR(__xludf.DUMMYFUNCTION("""COMPUTED_VALUE"""),147000000)</f>
        <v>147000000</v>
      </c>
      <c r="H1033">
        <f ca="1">IFERROR(__xludf.DUMMYFUNCTION("""COMPUTED_VALUE"""),37083)</f>
        <v>37083</v>
      </c>
      <c r="I1033">
        <f ca="1">IFERROR(__xludf.DUMMYFUNCTION("""COMPUTED_VALUE"""),7)</f>
        <v>7</v>
      </c>
      <c r="J1033" t="str">
        <f ca="1">IFERROR(__xludf.DUMMYFUNCTION("""COMPUTED_VALUE"""),"N/A")</f>
        <v>N/A</v>
      </c>
      <c r="K1033" t="str">
        <f ca="1">IFERROR(__xludf.DUMMYFUNCTION("""COMPUTED_VALUE"""),"JENT")</f>
        <v>JENT</v>
      </c>
      <c r="L1033" t="str">
        <f ca="1">IFERROR(__xludf.DUMMYFUNCTION("""COMPUTED_VALUE"""),"Y")</f>
        <v>Y</v>
      </c>
      <c r="M1033" t="str">
        <f ca="1">IFERROR(__xludf.DUMMYFUNCTION("""COMPUTED_VALUE"""),"ja-123")</f>
        <v>ja-123</v>
      </c>
    </row>
    <row r="1034" spans="1:13" ht="12.5" x14ac:dyDescent="0.25">
      <c r="A1034" t="str">
        <f ca="1">IFERROR(__xludf.DUMMYFUNCTION("""COMPUTED_VALUE"""),"Boediyanio")</f>
        <v>Boediyanio</v>
      </c>
      <c r="B1034" t="str">
        <f ca="1">IFERROR(__xludf.DUMMYFUNCTION("""COMPUTED_VALUE"""),"Syafriel")</f>
        <v>Syafriel</v>
      </c>
      <c r="C1034" t="str">
        <f ca="1">IFERROR(__xludf.DUMMYFUNCTION("""COMPUTED_VALUE"""),"Boediyanio@gmailx.com")</f>
        <v>Boediyanio@gmailx.com</v>
      </c>
      <c r="D1034" t="str">
        <f ca="1">IFERROR(__xludf.DUMMYFUNCTION("""COMPUTED_VALUE"""),"Cimahi")</f>
        <v>Cimahi</v>
      </c>
      <c r="E1034" s="12">
        <f ca="1">IFERROR(__xludf.DUMMYFUNCTION("""COMPUTED_VALUE"""),43187)</f>
        <v>43187</v>
      </c>
      <c r="F1034" t="str">
        <f ca="1">IFERROR(__xludf.DUMMYFUNCTION("""COMPUTED_VALUE"""),"KP0750AJ")</f>
        <v>KP0750AJ</v>
      </c>
      <c r="G1034" s="11">
        <f ca="1">IFERROR(__xludf.DUMMYFUNCTION("""COMPUTED_VALUE"""),72000000)</f>
        <v>72000000</v>
      </c>
      <c r="H1034">
        <f ca="1">IFERROR(__xludf.DUMMYFUNCTION("""COMPUTED_VALUE"""),37084)</f>
        <v>37084</v>
      </c>
      <c r="I1034">
        <f ca="1">IFERROR(__xludf.DUMMYFUNCTION("""COMPUTED_VALUE"""),4)</f>
        <v>4</v>
      </c>
      <c r="J1034">
        <f ca="1">IFERROR(__xludf.DUMMYFUNCTION("""COMPUTED_VALUE"""),5)</f>
        <v>5</v>
      </c>
      <c r="K1034" t="str">
        <f ca="1">IFERROR(__xludf.DUMMYFUNCTION("""COMPUTED_VALUE"""),"Pru Logistic")</f>
        <v>Pru Logistic</v>
      </c>
      <c r="L1034" t="str">
        <f ca="1">IFERROR(__xludf.DUMMYFUNCTION("""COMPUTED_VALUE"""),"Y")</f>
        <v>Y</v>
      </c>
      <c r="M1034" t="str">
        <f ca="1">IFERROR(__xludf.DUMMYFUNCTION("""COMPUTED_VALUE"""),"rw-409")</f>
        <v>rw-409</v>
      </c>
    </row>
    <row r="1035" spans="1:13" ht="12.5" x14ac:dyDescent="0.25">
      <c r="A1035" t="str">
        <f ca="1">IFERROR(__xludf.DUMMYFUNCTION("""COMPUTED_VALUE"""),"Soetjahjono")</f>
        <v>Soetjahjono</v>
      </c>
      <c r="B1035" t="str">
        <f ca="1">IFERROR(__xludf.DUMMYFUNCTION("""COMPUTED_VALUE"""),"Wiryanto")</f>
        <v>Wiryanto</v>
      </c>
      <c r="C1035" t="str">
        <f ca="1">IFERROR(__xludf.DUMMYFUNCTION("""COMPUTED_VALUE"""),"Wiryanto@ymailx.com")</f>
        <v>Wiryanto@ymailx.com</v>
      </c>
      <c r="D1035" t="str">
        <f ca="1">IFERROR(__xludf.DUMMYFUNCTION("""COMPUTED_VALUE"""),"Parepare")</f>
        <v>Parepare</v>
      </c>
      <c r="E1035" s="12">
        <f ca="1">IFERROR(__xludf.DUMMYFUNCTION("""COMPUTED_VALUE"""),43218)</f>
        <v>43218</v>
      </c>
      <c r="F1035" t="str">
        <f ca="1">IFERROR(__xludf.DUMMYFUNCTION("""COMPUTED_VALUE"""),"KP0225BB")</f>
        <v>KP0225BB</v>
      </c>
      <c r="G1035" s="11">
        <f ca="1">IFERROR(__xludf.DUMMYFUNCTION("""COMPUTED_VALUE"""),50000000)</f>
        <v>50000000</v>
      </c>
      <c r="H1035">
        <f ca="1">IFERROR(__xludf.DUMMYFUNCTION("""COMPUTED_VALUE"""),37085)</f>
        <v>37085</v>
      </c>
      <c r="I1035">
        <f ca="1">IFERROR(__xludf.DUMMYFUNCTION("""COMPUTED_VALUE"""),5)</f>
        <v>5</v>
      </c>
      <c r="J1035" t="str">
        <f ca="1">IFERROR(__xludf.DUMMYFUNCTION("""COMPUTED_VALUE"""),"N/A")</f>
        <v>N/A</v>
      </c>
      <c r="K1035" t="str">
        <f ca="1">IFERROR(__xludf.DUMMYFUNCTION("""COMPUTED_VALUE"""),"JENT")</f>
        <v>JENT</v>
      </c>
      <c r="L1035" t="str">
        <f ca="1">IFERROR(__xludf.DUMMYFUNCTION("""COMPUTED_VALUE"""),"N")</f>
        <v>N</v>
      </c>
      <c r="M1035" t="str">
        <f ca="1">IFERROR(__xludf.DUMMYFUNCTION("""COMPUTED_VALUE"""),"pm-290")</f>
        <v>pm-290</v>
      </c>
    </row>
    <row r="1036" spans="1:13" ht="12.5" x14ac:dyDescent="0.25">
      <c r="A1036" t="str">
        <f ca="1">IFERROR(__xludf.DUMMYFUNCTION("""COMPUTED_VALUE"""),"Eddy")</f>
        <v>Eddy</v>
      </c>
      <c r="B1036" t="str">
        <f ca="1">IFERROR(__xludf.DUMMYFUNCTION("""COMPUTED_VALUE"""),"Robert")</f>
        <v>Robert</v>
      </c>
      <c r="C1036" t="str">
        <f ca="1">IFERROR(__xludf.DUMMYFUNCTION("""COMPUTED_VALUE"""),"Robert@livex.com")</f>
        <v>Robert@livex.com</v>
      </c>
      <c r="D1036" t="str">
        <f ca="1">IFERROR(__xludf.DUMMYFUNCTION("""COMPUTED_VALUE"""),"Pekalongan")</f>
        <v>Pekalongan</v>
      </c>
      <c r="E1036" s="12">
        <f ca="1">IFERROR(__xludf.DUMMYFUNCTION("""COMPUTED_VALUE"""),43218)</f>
        <v>43218</v>
      </c>
      <c r="F1036" t="str">
        <f ca="1">IFERROR(__xludf.DUMMYFUNCTION("""COMPUTED_VALUE"""),"KP0850FB")</f>
        <v>KP0850FB</v>
      </c>
      <c r="G1036" s="11">
        <f ca="1">IFERROR(__xludf.DUMMYFUNCTION("""COMPUTED_VALUE"""),189000000)</f>
        <v>189000000</v>
      </c>
      <c r="H1036">
        <f ca="1">IFERROR(__xludf.DUMMYFUNCTION("""COMPUTED_VALUE"""),37086)</f>
        <v>37086</v>
      </c>
      <c r="I1036">
        <f ca="1">IFERROR(__xludf.DUMMYFUNCTION("""COMPUTED_VALUE"""),9)</f>
        <v>9</v>
      </c>
      <c r="J1036" t="str">
        <f ca="1">IFERROR(__xludf.DUMMYFUNCTION("""COMPUTED_VALUE"""),"N/A")</f>
        <v>N/A</v>
      </c>
      <c r="K1036" t="str">
        <f ca="1">IFERROR(__xludf.DUMMYFUNCTION("""COMPUTED_VALUE"""),"Pru Logistic")</f>
        <v>Pru Logistic</v>
      </c>
      <c r="L1036" t="str">
        <f ca="1">IFERROR(__xludf.DUMMYFUNCTION("""COMPUTED_VALUE"""),"Y")</f>
        <v>Y</v>
      </c>
      <c r="M1036" t="str">
        <f ca="1">IFERROR(__xludf.DUMMYFUNCTION("""COMPUTED_VALUE"""),"qu-410")</f>
        <v>qu-410</v>
      </c>
    </row>
    <row r="1037" spans="1:13" ht="12.5" x14ac:dyDescent="0.25">
      <c r="A1037" t="str">
        <f ca="1">IFERROR(__xludf.DUMMYFUNCTION("""COMPUTED_VALUE"""),"Rizal")</f>
        <v>Rizal</v>
      </c>
      <c r="B1037" t="str">
        <f ca="1">IFERROR(__xludf.DUMMYFUNCTION("""COMPUTED_VALUE"""),"Fadjar")</f>
        <v>Fadjar</v>
      </c>
      <c r="C1037" t="str">
        <f ca="1">IFERROR(__xludf.DUMMYFUNCTION("""COMPUTED_VALUE"""),"Rizal@rocketmailx.com")</f>
        <v>Rizal@rocketmailx.com</v>
      </c>
      <c r="D1037" t="str">
        <f ca="1">IFERROR(__xludf.DUMMYFUNCTION("""COMPUTED_VALUE"""),"Padangpanjang")</f>
        <v>Padangpanjang</v>
      </c>
      <c r="E1037" s="12">
        <f ca="1">IFERROR(__xludf.DUMMYFUNCTION("""COMPUTED_VALUE"""),43218)</f>
        <v>43218</v>
      </c>
      <c r="F1037" t="str">
        <f ca="1">IFERROR(__xludf.DUMMYFUNCTION("""COMPUTED_VALUE"""),"KP0750AJ")</f>
        <v>KP0750AJ</v>
      </c>
      <c r="G1037" s="11">
        <f ca="1">IFERROR(__xludf.DUMMYFUNCTION("""COMPUTED_VALUE"""),108000000)</f>
        <v>108000000</v>
      </c>
      <c r="H1037">
        <f ca="1">IFERROR(__xludf.DUMMYFUNCTION("""COMPUTED_VALUE"""),37087)</f>
        <v>37087</v>
      </c>
      <c r="I1037">
        <f ca="1">IFERROR(__xludf.DUMMYFUNCTION("""COMPUTED_VALUE"""),6)</f>
        <v>6</v>
      </c>
      <c r="J1037">
        <f ca="1">IFERROR(__xludf.DUMMYFUNCTION("""COMPUTED_VALUE"""),4)</f>
        <v>4</v>
      </c>
      <c r="K1037" t="str">
        <f ca="1">IFERROR(__xludf.DUMMYFUNCTION("""COMPUTED_VALUE"""),"Wakanda Express")</f>
        <v>Wakanda Express</v>
      </c>
      <c r="L1037" t="str">
        <f ca="1">IFERROR(__xludf.DUMMYFUNCTION("""COMPUTED_VALUE"""),"N")</f>
        <v>N</v>
      </c>
      <c r="M1037" t="str">
        <f ca="1">IFERROR(__xludf.DUMMYFUNCTION("""COMPUTED_VALUE"""),"va-559")</f>
        <v>va-559</v>
      </c>
    </row>
    <row r="1038" spans="1:13" ht="12.5" x14ac:dyDescent="0.25">
      <c r="A1038" t="str">
        <f ca="1">IFERROR(__xludf.DUMMYFUNCTION("""COMPUTED_VALUE"""),"Medina")</f>
        <v>Medina</v>
      </c>
      <c r="B1038" t="str">
        <f ca="1">IFERROR(__xludf.DUMMYFUNCTION("""COMPUTED_VALUE"""),"Prasetyo")</f>
        <v>Prasetyo</v>
      </c>
      <c r="C1038" t="str">
        <f ca="1">IFERROR(__xludf.DUMMYFUNCTION("""COMPUTED_VALUE"""),"MEDINA@ymailx.com")</f>
        <v>MEDINA@ymailx.com</v>
      </c>
      <c r="D1038" t="str">
        <f ca="1">IFERROR(__xludf.DUMMYFUNCTION("""COMPUTED_VALUE"""),"Tegal")</f>
        <v>Tegal</v>
      </c>
      <c r="E1038" s="12">
        <f ca="1">IFERROR(__xludf.DUMMYFUNCTION("""COMPUTED_VALUE"""),43248)</f>
        <v>43248</v>
      </c>
      <c r="F1038" t="str">
        <f ca="1">IFERROR(__xludf.DUMMYFUNCTION("""COMPUTED_VALUE"""),"KP0850FB")</f>
        <v>KP0850FB</v>
      </c>
      <c r="G1038" s="11">
        <f ca="1">IFERROR(__xludf.DUMMYFUNCTION("""COMPUTED_VALUE"""),126000000)</f>
        <v>126000000</v>
      </c>
      <c r="H1038">
        <f ca="1">IFERROR(__xludf.DUMMYFUNCTION("""COMPUTED_VALUE"""),37088)</f>
        <v>37088</v>
      </c>
      <c r="I1038">
        <f ca="1">IFERROR(__xludf.DUMMYFUNCTION("""COMPUTED_VALUE"""),6)</f>
        <v>6</v>
      </c>
      <c r="J1038" t="str">
        <f ca="1">IFERROR(__xludf.DUMMYFUNCTION("""COMPUTED_VALUE"""),"N/A")</f>
        <v>N/A</v>
      </c>
      <c r="K1038" t="str">
        <f ca="1">IFERROR(__xludf.DUMMYFUNCTION("""COMPUTED_VALUE"""),"Wakanda Express")</f>
        <v>Wakanda Express</v>
      </c>
      <c r="L1038" t="str">
        <f ca="1">IFERROR(__xludf.DUMMYFUNCTION("""COMPUTED_VALUE"""),"Y")</f>
        <v>Y</v>
      </c>
      <c r="M1038" t="str">
        <f ca="1">IFERROR(__xludf.DUMMYFUNCTION("""COMPUTED_VALUE"""),"hk-410")</f>
        <v>hk-410</v>
      </c>
    </row>
    <row r="1039" spans="1:13" ht="12.5" x14ac:dyDescent="0.25">
      <c r="A1039" t="str">
        <f ca="1">IFERROR(__xludf.DUMMYFUNCTION("""COMPUTED_VALUE"""),"Eunice")</f>
        <v>Eunice</v>
      </c>
      <c r="B1039" t="str">
        <f ca="1">IFERROR(__xludf.DUMMYFUNCTION("""COMPUTED_VALUE"""),"Wiyono")</f>
        <v>Wiyono</v>
      </c>
      <c r="C1039" t="str">
        <f ca="1">IFERROR(__xludf.DUMMYFUNCTION("""COMPUTED_VALUE"""),"Eunice@outlookx.com")</f>
        <v>Eunice@outlookx.com</v>
      </c>
      <c r="D1039" t="str">
        <f ca="1">IFERROR(__xludf.DUMMYFUNCTION("""COMPUTED_VALUE"""),"Madiun")</f>
        <v>Madiun</v>
      </c>
      <c r="E1039" s="12">
        <f ca="1">IFERROR(__xludf.DUMMYFUNCTION("""COMPUTED_VALUE"""),43248)</f>
        <v>43248</v>
      </c>
      <c r="F1039" t="str">
        <f ca="1">IFERROR(__xludf.DUMMYFUNCTION("""COMPUTED_VALUE"""),"KP0350CF")</f>
        <v>KP0350CF</v>
      </c>
      <c r="G1039" s="11">
        <f ca="1">IFERROR(__xludf.DUMMYFUNCTION("""COMPUTED_VALUE"""),105000000)</f>
        <v>105000000</v>
      </c>
      <c r="H1039">
        <f ca="1">IFERROR(__xludf.DUMMYFUNCTION("""COMPUTED_VALUE"""),37089)</f>
        <v>37089</v>
      </c>
      <c r="I1039">
        <f ca="1">IFERROR(__xludf.DUMMYFUNCTION("""COMPUTED_VALUE"""),3)</f>
        <v>3</v>
      </c>
      <c r="J1039">
        <f ca="1">IFERROR(__xludf.DUMMYFUNCTION("""COMPUTED_VALUE"""),5)</f>
        <v>5</v>
      </c>
      <c r="K1039" t="str">
        <f ca="1">IFERROR(__xludf.DUMMYFUNCTION("""COMPUTED_VALUE"""),"JENT")</f>
        <v>JENT</v>
      </c>
      <c r="L1039" t="str">
        <f ca="1">IFERROR(__xludf.DUMMYFUNCTION("""COMPUTED_VALUE"""),"Y")</f>
        <v>Y</v>
      </c>
      <c r="M1039" t="str">
        <f ca="1">IFERROR(__xludf.DUMMYFUNCTION("""COMPUTED_VALUE"""),"wt-123")</f>
        <v>wt-123</v>
      </c>
    </row>
    <row r="1040" spans="1:13" ht="12.5" x14ac:dyDescent="0.25">
      <c r="A1040" t="str">
        <f ca="1">IFERROR(__xludf.DUMMYFUNCTION("""COMPUTED_VALUE"""),"Budyanto")</f>
        <v>Budyanto</v>
      </c>
      <c r="B1040" t="str">
        <f ca="1">IFERROR(__xludf.DUMMYFUNCTION("""COMPUTED_VALUE"""),"Eko")</f>
        <v>Eko</v>
      </c>
      <c r="C1040" t="str">
        <f ca="1">IFERROR(__xludf.DUMMYFUNCTION("""COMPUTED_VALUE"""),"Budyanto@ymailx.com")</f>
        <v>Budyanto@ymailx.com</v>
      </c>
      <c r="D1040" t="str">
        <f ca="1">IFERROR(__xludf.DUMMYFUNCTION("""COMPUTED_VALUE"""),"Depok")</f>
        <v>Depok</v>
      </c>
      <c r="E1040" s="12">
        <f ca="1">IFERROR(__xludf.DUMMYFUNCTION("""COMPUTED_VALUE"""),43279)</f>
        <v>43279</v>
      </c>
      <c r="F1040" t="str">
        <f ca="1">IFERROR(__xludf.DUMMYFUNCTION("""COMPUTED_VALUE"""),"KP0850FB")</f>
        <v>KP0850FB</v>
      </c>
      <c r="G1040" s="11">
        <f ca="1">IFERROR(__xludf.DUMMYFUNCTION("""COMPUTED_VALUE"""),189000000)</f>
        <v>189000000</v>
      </c>
      <c r="H1040">
        <f ca="1">IFERROR(__xludf.DUMMYFUNCTION("""COMPUTED_VALUE"""),37090)</f>
        <v>37090</v>
      </c>
      <c r="I1040">
        <f ca="1">IFERROR(__xludf.DUMMYFUNCTION("""COMPUTED_VALUE"""),9)</f>
        <v>9</v>
      </c>
      <c r="J1040" t="str">
        <f ca="1">IFERROR(__xludf.DUMMYFUNCTION("""COMPUTED_VALUE"""),"N/A")</f>
        <v>N/A</v>
      </c>
      <c r="K1040" t="str">
        <f ca="1">IFERROR(__xludf.DUMMYFUNCTION("""COMPUTED_VALUE"""),"JENT")</f>
        <v>JENT</v>
      </c>
      <c r="L1040" t="str">
        <f ca="1">IFERROR(__xludf.DUMMYFUNCTION("""COMPUTED_VALUE"""),"Y")</f>
        <v>Y</v>
      </c>
      <c r="M1040" t="str">
        <f ca="1">IFERROR(__xludf.DUMMYFUNCTION("""COMPUTED_VALUE"""),"tq-409")</f>
        <v>tq-409</v>
      </c>
    </row>
    <row r="1041" spans="1:13" ht="12.5" x14ac:dyDescent="0.25">
      <c r="A1041" t="str">
        <f ca="1">IFERROR(__xludf.DUMMYFUNCTION("""COMPUTED_VALUE"""),"Sierah")</f>
        <v>Sierah</v>
      </c>
      <c r="B1041" t="str">
        <f ca="1">IFERROR(__xludf.DUMMYFUNCTION("""COMPUTED_VALUE"""),"Tjioe")</f>
        <v>Tjioe</v>
      </c>
      <c r="C1041" t="str">
        <f ca="1">IFERROR(__xludf.DUMMYFUNCTION("""COMPUTED_VALUE"""),"Sierah@outlookx.com")</f>
        <v>Sierah@outlookx.com</v>
      </c>
      <c r="D1041" t="str">
        <f ca="1">IFERROR(__xludf.DUMMYFUNCTION("""COMPUTED_VALUE"""),"Bukittinggi")</f>
        <v>Bukittinggi</v>
      </c>
      <c r="E1041" s="12">
        <f ca="1">IFERROR(__xludf.DUMMYFUNCTION("""COMPUTED_VALUE"""),43279)</f>
        <v>43279</v>
      </c>
      <c r="F1041" t="str">
        <f ca="1">IFERROR(__xludf.DUMMYFUNCTION("""COMPUTED_VALUE"""),"KP0750AJ")</f>
        <v>KP0750AJ</v>
      </c>
      <c r="G1041" s="11">
        <f ca="1">IFERROR(__xludf.DUMMYFUNCTION("""COMPUTED_VALUE"""),180000000)</f>
        <v>180000000</v>
      </c>
      <c r="H1041">
        <f ca="1">IFERROR(__xludf.DUMMYFUNCTION("""COMPUTED_VALUE"""),37091)</f>
        <v>37091</v>
      </c>
      <c r="I1041">
        <f ca="1">IFERROR(__xludf.DUMMYFUNCTION("""COMPUTED_VALUE"""),10)</f>
        <v>10</v>
      </c>
      <c r="J1041">
        <f ca="1">IFERROR(__xludf.DUMMYFUNCTION("""COMPUTED_VALUE"""),4)</f>
        <v>4</v>
      </c>
      <c r="K1041" t="str">
        <f ca="1">IFERROR(__xludf.DUMMYFUNCTION("""COMPUTED_VALUE"""),"Pru Logistic")</f>
        <v>Pru Logistic</v>
      </c>
      <c r="L1041" t="str">
        <f ca="1">IFERROR(__xludf.DUMMYFUNCTION("""COMPUTED_VALUE"""),"N")</f>
        <v>N</v>
      </c>
      <c r="M1041" t="str">
        <f ca="1">IFERROR(__xludf.DUMMYFUNCTION("""COMPUTED_VALUE"""),"ku-559")</f>
        <v>ku-559</v>
      </c>
    </row>
    <row r="1042" spans="1:13" ht="12.5" x14ac:dyDescent="0.25">
      <c r="A1042" t="str">
        <f ca="1">IFERROR(__xludf.DUMMYFUNCTION("""COMPUTED_VALUE"""),"Richard")</f>
        <v>Richard</v>
      </c>
      <c r="B1042" t="str">
        <f ca="1">IFERROR(__xludf.DUMMYFUNCTION("""COMPUTED_VALUE"""),"Padilla")</f>
        <v>Padilla</v>
      </c>
      <c r="C1042" t="str">
        <f ca="1">IFERROR(__xludf.DUMMYFUNCTION("""COMPUTED_VALUE"""),"Padilla@gmailx.com")</f>
        <v>Padilla@gmailx.com</v>
      </c>
      <c r="D1042" t="str">
        <f ca="1">IFERROR(__xludf.DUMMYFUNCTION("""COMPUTED_VALUE"""),"Pontianak")</f>
        <v>Pontianak</v>
      </c>
      <c r="E1042" s="12">
        <f ca="1">IFERROR(__xludf.DUMMYFUNCTION("""COMPUTED_VALUE"""),43309)</f>
        <v>43309</v>
      </c>
      <c r="F1042" t="str">
        <f ca="1">IFERROR(__xludf.DUMMYFUNCTION("""COMPUTED_VALUE"""),"KP0925SG")</f>
        <v>KP0925SG</v>
      </c>
      <c r="G1042" s="11">
        <f ca="1">IFERROR(__xludf.DUMMYFUNCTION("""COMPUTED_VALUE"""),105000000)</f>
        <v>105000000</v>
      </c>
      <c r="H1042">
        <f ca="1">IFERROR(__xludf.DUMMYFUNCTION("""COMPUTED_VALUE"""),37092)</f>
        <v>37092</v>
      </c>
      <c r="I1042">
        <f ca="1">IFERROR(__xludf.DUMMYFUNCTION("""COMPUTED_VALUE"""),7)</f>
        <v>7</v>
      </c>
      <c r="J1042" t="str">
        <f ca="1">IFERROR(__xludf.DUMMYFUNCTION("""COMPUTED_VALUE"""),"N/A")</f>
        <v>N/A</v>
      </c>
      <c r="K1042" t="str">
        <f ca="1">IFERROR(__xludf.DUMMYFUNCTION("""COMPUTED_VALUE"""),"Cepat Kirim")</f>
        <v>Cepat Kirim</v>
      </c>
      <c r="L1042" t="str">
        <f ca="1">IFERROR(__xludf.DUMMYFUNCTION("""COMPUTED_VALUE"""),"N")</f>
        <v>N</v>
      </c>
      <c r="M1042" t="str">
        <f ca="1">IFERROR(__xludf.DUMMYFUNCTION("""COMPUTED_VALUE"""),"La-880")</f>
        <v>La-880</v>
      </c>
    </row>
    <row r="1043" spans="1:13" ht="12.5" x14ac:dyDescent="0.25">
      <c r="A1043" t="str">
        <f ca="1">IFERROR(__xludf.DUMMYFUNCTION("""COMPUTED_VALUE"""),"Kaizer")</f>
        <v>Kaizer</v>
      </c>
      <c r="B1043" t="str">
        <f ca="1">IFERROR(__xludf.DUMMYFUNCTION("""COMPUTED_VALUE"""),"Subianto")</f>
        <v>Subianto</v>
      </c>
      <c r="C1043" t="str">
        <f ca="1">IFERROR(__xludf.DUMMYFUNCTION("""COMPUTED_VALUE"""),"Kaizer@gmailx.com")</f>
        <v>Kaizer@gmailx.com</v>
      </c>
      <c r="D1043" t="str">
        <f ca="1">IFERROR(__xludf.DUMMYFUNCTION("""COMPUTED_VALUE"""),"Manado")</f>
        <v>Manado</v>
      </c>
      <c r="E1043" s="12">
        <f ca="1">IFERROR(__xludf.DUMMYFUNCTION("""COMPUTED_VALUE"""),43309)</f>
        <v>43309</v>
      </c>
      <c r="F1043" t="str">
        <f ca="1">IFERROR(__xludf.DUMMYFUNCTION("""COMPUTED_VALUE"""),"KP0750AJ")</f>
        <v>KP0750AJ</v>
      </c>
      <c r="G1043" s="11">
        <f ca="1">IFERROR(__xludf.DUMMYFUNCTION("""COMPUTED_VALUE"""),162000000)</f>
        <v>162000000</v>
      </c>
      <c r="H1043">
        <f ca="1">IFERROR(__xludf.DUMMYFUNCTION("""COMPUTED_VALUE"""),37093)</f>
        <v>37093</v>
      </c>
      <c r="I1043">
        <f ca="1">IFERROR(__xludf.DUMMYFUNCTION("""COMPUTED_VALUE"""),9)</f>
        <v>9</v>
      </c>
      <c r="J1043" t="str">
        <f ca="1">IFERROR(__xludf.DUMMYFUNCTION("""COMPUTED_VALUE"""),"N/A")</f>
        <v>N/A</v>
      </c>
      <c r="K1043" t="str">
        <f ca="1">IFERROR(__xludf.DUMMYFUNCTION("""COMPUTED_VALUE"""),"Swift Delivery")</f>
        <v>Swift Delivery</v>
      </c>
      <c r="L1043" t="str">
        <f ca="1">IFERROR(__xludf.DUMMYFUNCTION("""COMPUTED_VALUE"""),"Y")</f>
        <v>Y</v>
      </c>
      <c r="M1043" t="str">
        <f ca="1">IFERROR(__xludf.DUMMYFUNCTION("""COMPUTED_VALUE"""),"Nq-221")</f>
        <v>Nq-221</v>
      </c>
    </row>
    <row r="1044" spans="1:13" ht="12.5" x14ac:dyDescent="0.25">
      <c r="A1044" t="str">
        <f ca="1">IFERROR(__xludf.DUMMYFUNCTION("""COMPUTED_VALUE"""),"Hendrik")</f>
        <v>Hendrik</v>
      </c>
      <c r="B1044" t="str">
        <f ca="1">IFERROR(__xludf.DUMMYFUNCTION("""COMPUTED_VALUE"""),"Hari")</f>
        <v>Hari</v>
      </c>
      <c r="C1044" t="str">
        <f ca="1">IFERROR(__xludf.DUMMYFUNCTION("""COMPUTED_VALUE"""),"Hendrik@ymailx.com")</f>
        <v>Hendrik@ymailx.com</v>
      </c>
      <c r="D1044" t="str">
        <f ca="1">IFERROR(__xludf.DUMMYFUNCTION("""COMPUTED_VALUE"""),"Sibolga")</f>
        <v>Sibolga</v>
      </c>
      <c r="E1044" s="12">
        <f ca="1">IFERROR(__xludf.DUMMYFUNCTION("""COMPUTED_VALUE"""),43340)</f>
        <v>43340</v>
      </c>
      <c r="F1044" t="str">
        <f ca="1">IFERROR(__xludf.DUMMYFUNCTION("""COMPUTED_VALUE"""),"KP0625AF")</f>
        <v>KP0625AF</v>
      </c>
      <c r="G1044" s="11">
        <f ca="1">IFERROR(__xludf.DUMMYFUNCTION("""COMPUTED_VALUE"""),48000000)</f>
        <v>48000000</v>
      </c>
      <c r="H1044">
        <f ca="1">IFERROR(__xludf.DUMMYFUNCTION("""COMPUTED_VALUE"""),37094)</f>
        <v>37094</v>
      </c>
      <c r="I1044">
        <f ca="1">IFERROR(__xludf.DUMMYFUNCTION("""COMPUTED_VALUE"""),4)</f>
        <v>4</v>
      </c>
      <c r="J1044" t="str">
        <f ca="1">IFERROR(__xludf.DUMMYFUNCTION("""COMPUTED_VALUE"""),"N/A")</f>
        <v>N/A</v>
      </c>
      <c r="K1044" t="str">
        <f ca="1">IFERROR(__xludf.DUMMYFUNCTION("""COMPUTED_VALUE"""),"Wakanda Express")</f>
        <v>Wakanda Express</v>
      </c>
      <c r="L1044" t="str">
        <f ca="1">IFERROR(__xludf.DUMMYFUNCTION("""COMPUTED_VALUE"""),"Y")</f>
        <v>Y</v>
      </c>
      <c r="M1044" t="str">
        <f ca="1">IFERROR(__xludf.DUMMYFUNCTION("""COMPUTED_VALUE"""),"rm-662")</f>
        <v>rm-662</v>
      </c>
    </row>
    <row r="1045" spans="1:13" ht="12.5" x14ac:dyDescent="0.25">
      <c r="A1045" t="str">
        <f ca="1">IFERROR(__xludf.DUMMYFUNCTION("""COMPUTED_VALUE"""),"Antonius")</f>
        <v>Antonius</v>
      </c>
      <c r="B1045" t="str">
        <f ca="1">IFERROR(__xludf.DUMMYFUNCTION("""COMPUTED_VALUE"""),"Azhari")</f>
        <v>Azhari</v>
      </c>
      <c r="C1045" t="str">
        <f ca="1">IFERROR(__xludf.DUMMYFUNCTION("""COMPUTED_VALUE"""),"Azhari@ymailx.com")</f>
        <v>Azhari@ymailx.com</v>
      </c>
      <c r="D1045" t="str">
        <f ca="1">IFERROR(__xludf.DUMMYFUNCTION("""COMPUTED_VALUE"""),"Banda Aceh")</f>
        <v>Banda Aceh</v>
      </c>
      <c r="E1045" s="12">
        <f ca="1">IFERROR(__xludf.DUMMYFUNCTION("""COMPUTED_VALUE"""),43340)</f>
        <v>43340</v>
      </c>
      <c r="F1045" t="str">
        <f ca="1">IFERROR(__xludf.DUMMYFUNCTION("""COMPUTED_VALUE"""),"KP0850FB")</f>
        <v>KP0850FB</v>
      </c>
      <c r="G1045" s="11">
        <f ca="1">IFERROR(__xludf.DUMMYFUNCTION("""COMPUTED_VALUE"""),189000000)</f>
        <v>189000000</v>
      </c>
      <c r="H1045">
        <f ca="1">IFERROR(__xludf.DUMMYFUNCTION("""COMPUTED_VALUE"""),37095)</f>
        <v>37095</v>
      </c>
      <c r="I1045">
        <f ca="1">IFERROR(__xludf.DUMMYFUNCTION("""COMPUTED_VALUE"""),9)</f>
        <v>9</v>
      </c>
      <c r="J1045">
        <f ca="1">IFERROR(__xludf.DUMMYFUNCTION("""COMPUTED_VALUE"""),5)</f>
        <v>5</v>
      </c>
      <c r="K1045" t="str">
        <f ca="1">IFERROR(__xludf.DUMMYFUNCTION("""COMPUTED_VALUE"""),"Pru Logistic")</f>
        <v>Pru Logistic</v>
      </c>
      <c r="L1045" t="str">
        <f ca="1">IFERROR(__xludf.DUMMYFUNCTION("""COMPUTED_VALUE"""),"Y")</f>
        <v>Y</v>
      </c>
      <c r="M1045" t="str">
        <f ca="1">IFERROR(__xludf.DUMMYFUNCTION("""COMPUTED_VALUE"""),"Ok-101")</f>
        <v>Ok-101</v>
      </c>
    </row>
    <row r="1046" spans="1:13" ht="12.5" x14ac:dyDescent="0.25">
      <c r="A1046" t="str">
        <f ca="1">IFERROR(__xludf.DUMMYFUNCTION("""COMPUTED_VALUE"""),"Alan")</f>
        <v>Alan</v>
      </c>
      <c r="B1046" t="str">
        <f ca="1">IFERROR(__xludf.DUMMYFUNCTION("""COMPUTED_VALUE"""),"Tioniwar")</f>
        <v>Tioniwar</v>
      </c>
      <c r="C1046" t="str">
        <f ca="1">IFERROR(__xludf.DUMMYFUNCTION("""COMPUTED_VALUE"""),"Tioniwar@livex.com")</f>
        <v>Tioniwar@livex.com</v>
      </c>
      <c r="D1046" t="str">
        <f ca="1">IFERROR(__xludf.DUMMYFUNCTION("""COMPUTED_VALUE"""),"Samarinda")</f>
        <v>Samarinda</v>
      </c>
      <c r="E1046" s="12">
        <f ca="1">IFERROR(__xludf.DUMMYFUNCTION("""COMPUTED_VALUE"""),43340)</f>
        <v>43340</v>
      </c>
      <c r="F1046" t="str">
        <f ca="1">IFERROR(__xludf.DUMMYFUNCTION("""COMPUTED_VALUE"""),"KP0350CF")</f>
        <v>KP0350CF</v>
      </c>
      <c r="G1046" s="11">
        <f ca="1">IFERROR(__xludf.DUMMYFUNCTION("""COMPUTED_VALUE"""),70000000)</f>
        <v>70000000</v>
      </c>
      <c r="H1046">
        <f ca="1">IFERROR(__xludf.DUMMYFUNCTION("""COMPUTED_VALUE"""),37096)</f>
        <v>37096</v>
      </c>
      <c r="I1046">
        <f ca="1">IFERROR(__xludf.DUMMYFUNCTION("""COMPUTED_VALUE"""),2)</f>
        <v>2</v>
      </c>
      <c r="J1046">
        <f ca="1">IFERROR(__xludf.DUMMYFUNCTION("""COMPUTED_VALUE"""),4)</f>
        <v>4</v>
      </c>
      <c r="K1046" t="str">
        <f ca="1">IFERROR(__xludf.DUMMYFUNCTION("""COMPUTED_VALUE"""),"Wakanda Express")</f>
        <v>Wakanda Express</v>
      </c>
      <c r="L1046" t="str">
        <f ca="1">IFERROR(__xludf.DUMMYFUNCTION("""COMPUTED_VALUE"""),"Y")</f>
        <v>Y</v>
      </c>
      <c r="M1046" t="str">
        <f ca="1">IFERROR(__xludf.DUMMYFUNCTION("""COMPUTED_VALUE"""),"Ps-993")</f>
        <v>Ps-993</v>
      </c>
    </row>
    <row r="1047" spans="1:13" ht="12.5" x14ac:dyDescent="0.25">
      <c r="A1047" t="str">
        <f ca="1">IFERROR(__xludf.DUMMYFUNCTION("""COMPUTED_VALUE"""),"Leda")</f>
        <v>Leda</v>
      </c>
      <c r="B1047" t="str">
        <f ca="1">IFERROR(__xludf.DUMMYFUNCTION("""COMPUTED_VALUE"""),"Indra")</f>
        <v>Indra</v>
      </c>
      <c r="C1047" t="str">
        <f ca="1">IFERROR(__xludf.DUMMYFUNCTION("""COMPUTED_VALUE"""),"Indra@rocketmailx.com")</f>
        <v>Indra@rocketmailx.com</v>
      </c>
      <c r="D1047" t="str">
        <f ca="1">IFERROR(__xludf.DUMMYFUNCTION("""COMPUTED_VALUE"""),"Ternate")</f>
        <v>Ternate</v>
      </c>
      <c r="E1047" s="12">
        <f ca="1">IFERROR(__xludf.DUMMYFUNCTION("""COMPUTED_VALUE"""),43371)</f>
        <v>43371</v>
      </c>
      <c r="F1047" t="str">
        <f ca="1">IFERROR(__xludf.DUMMYFUNCTION("""COMPUTED_VALUE"""),"KP0625AF")</f>
        <v>KP0625AF</v>
      </c>
      <c r="G1047" s="11">
        <f ca="1">IFERROR(__xludf.DUMMYFUNCTION("""COMPUTED_VALUE"""),48000000)</f>
        <v>48000000</v>
      </c>
      <c r="H1047">
        <f ca="1">IFERROR(__xludf.DUMMYFUNCTION("""COMPUTED_VALUE"""),37097)</f>
        <v>37097</v>
      </c>
      <c r="I1047">
        <f ca="1">IFERROR(__xludf.DUMMYFUNCTION("""COMPUTED_VALUE"""),4)</f>
        <v>4</v>
      </c>
      <c r="J1047">
        <f ca="1">IFERROR(__xludf.DUMMYFUNCTION("""COMPUTED_VALUE"""),4)</f>
        <v>4</v>
      </c>
      <c r="K1047" t="str">
        <f ca="1">IFERROR(__xludf.DUMMYFUNCTION("""COMPUTED_VALUE"""),"Swift Delivery")</f>
        <v>Swift Delivery</v>
      </c>
      <c r="L1047" t="str">
        <f ca="1">IFERROR(__xludf.DUMMYFUNCTION("""COMPUTED_VALUE"""),"Y")</f>
        <v>Y</v>
      </c>
      <c r="M1047" t="str">
        <f ca="1">IFERROR(__xludf.DUMMYFUNCTION("""COMPUTED_VALUE"""),"Lx-160")</f>
        <v>Lx-160</v>
      </c>
    </row>
    <row r="1048" spans="1:13" ht="12.5" x14ac:dyDescent="0.25">
      <c r="A1048" t="str">
        <f ca="1">IFERROR(__xludf.DUMMYFUNCTION("""COMPUTED_VALUE"""),"Sujono")</f>
        <v>Sujono</v>
      </c>
      <c r="B1048" t="str">
        <f ca="1">IFERROR(__xludf.DUMMYFUNCTION("""COMPUTED_VALUE"""),"Franklin")</f>
        <v>Franklin</v>
      </c>
      <c r="C1048" t="str">
        <f ca="1">IFERROR(__xludf.DUMMYFUNCTION("""COMPUTED_VALUE"""),"Franklin@outlookx.com")</f>
        <v>Franklin@outlookx.com</v>
      </c>
      <c r="D1048" t="str">
        <f ca="1">IFERROR(__xludf.DUMMYFUNCTION("""COMPUTED_VALUE"""),"Cilegon")</f>
        <v>Cilegon</v>
      </c>
      <c r="E1048" s="12">
        <f ca="1">IFERROR(__xludf.DUMMYFUNCTION("""COMPUTED_VALUE"""),43371)</f>
        <v>43371</v>
      </c>
      <c r="F1048" t="str">
        <f ca="1">IFERROR(__xludf.DUMMYFUNCTION("""COMPUTED_VALUE"""),"KP0625AF")</f>
        <v>KP0625AF</v>
      </c>
      <c r="G1048" s="11">
        <f ca="1">IFERROR(__xludf.DUMMYFUNCTION("""COMPUTED_VALUE"""),120000000)</f>
        <v>120000000</v>
      </c>
      <c r="H1048">
        <f ca="1">IFERROR(__xludf.DUMMYFUNCTION("""COMPUTED_VALUE"""),37098)</f>
        <v>37098</v>
      </c>
      <c r="I1048">
        <f ca="1">IFERROR(__xludf.DUMMYFUNCTION("""COMPUTED_VALUE"""),10)</f>
        <v>10</v>
      </c>
      <c r="J1048" t="str">
        <f ca="1">IFERROR(__xludf.DUMMYFUNCTION("""COMPUTED_VALUE"""),"N/A")</f>
        <v>N/A</v>
      </c>
      <c r="K1048" t="str">
        <f ca="1">IFERROR(__xludf.DUMMYFUNCTION("""COMPUTED_VALUE"""),"JENT")</f>
        <v>JENT</v>
      </c>
      <c r="L1048" t="str">
        <f ca="1">IFERROR(__xludf.DUMMYFUNCTION("""COMPUTED_VALUE"""),"N")</f>
        <v>N</v>
      </c>
      <c r="M1048" t="str">
        <f ca="1">IFERROR(__xludf.DUMMYFUNCTION("""COMPUTED_VALUE"""),"Up-500")</f>
        <v>Up-500</v>
      </c>
    </row>
    <row r="1049" spans="1:13" ht="12.5" x14ac:dyDescent="0.25">
      <c r="E10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Penjualan Kopi 2016-2018</vt:lpstr>
      <vt:lpstr>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Nickzad</cp:lastModifiedBy>
  <dcterms:modified xsi:type="dcterms:W3CDTF">2021-12-19T23:27:14Z</dcterms:modified>
</cp:coreProperties>
</file>