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6"/>
  <workbookPr defaultThemeVersion="166925"/>
  <mc:AlternateContent xmlns:mc="http://schemas.openxmlformats.org/markup-compatibility/2006">
    <mc:Choice Requires="x15">
      <x15ac:absPath xmlns:x15ac="http://schemas.microsoft.com/office/spreadsheetml/2010/11/ac" url="https://d.docs.live.net/1b34beab22fd3199/_fs13_ausbildung/2 LF02 - Arbeitsplätze nach Kundenwunsch/2.1 Angebot erstellen/"/>
    </mc:Choice>
  </mc:AlternateContent>
  <xr:revisionPtr revIDLastSave="689" documentId="11_DF91C9C8A9C8191C382CC555E95790E62573F064" xr6:coauthVersionLast="45" xr6:coauthVersionMax="45" xr10:uidLastSave="{20E824C4-D9C6-9842-B6C0-8E17F696B4CF}"/>
  <bookViews>
    <workbookView xWindow="16080" yWindow="460" windowWidth="17520" windowHeight="20540" xr2:uid="{00000000-000D-0000-FFFF-FFFF00000000}"/>
  </bookViews>
  <sheets>
    <sheet name="Angebot" sheetId="3" r:id="rId1"/>
    <sheet name="Option A" sheetId="5" r:id="rId2"/>
    <sheet name="Komponenten kosten" sheetId="1" r:id="rId3"/>
    <sheet name="Energiekosten" sheetId="2" r:id="rId4"/>
    <sheet name="Tabelle2" sheetId="7" r:id="rId5"/>
  </sheets>
  <calcPr calcId="191028"/>
  <pivotCaches>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3" l="1"/>
  <c r="G14" i="3"/>
  <c r="E4" i="7"/>
  <c r="G4" i="7"/>
  <c r="C4" i="7"/>
  <c r="C3" i="7"/>
  <c r="E3" i="7"/>
  <c r="C2" i="7"/>
  <c r="E2" i="7"/>
  <c r="C53" i="2"/>
  <c r="C51" i="2"/>
  <c r="C49" i="2"/>
  <c r="C47" i="2"/>
  <c r="C45" i="2"/>
  <c r="C52" i="2"/>
  <c r="C50" i="2"/>
  <c r="C48" i="2"/>
  <c r="C46" i="2"/>
  <c r="G38" i="2"/>
  <c r="E38" i="2"/>
  <c r="E34" i="2"/>
  <c r="C34" i="2"/>
  <c r="G34" i="2"/>
  <c r="C35" i="2"/>
  <c r="E35" i="2"/>
  <c r="C36" i="2"/>
  <c r="E36" i="2"/>
  <c r="G3" i="7"/>
  <c r="G2" i="7"/>
  <c r="G36" i="2"/>
  <c r="G35" i="2"/>
  <c r="E4" i="3"/>
  <c r="G4" i="3"/>
  <c r="E5" i="3"/>
  <c r="G5" i="3"/>
  <c r="E6" i="3"/>
  <c r="G6" i="3"/>
  <c r="E7" i="3"/>
  <c r="G7" i="3"/>
  <c r="E8" i="3"/>
  <c r="G8" i="3"/>
  <c r="E9" i="3"/>
  <c r="G9" i="3"/>
  <c r="E10" i="3"/>
  <c r="G10" i="3"/>
  <c r="E11" i="3"/>
  <c r="G11" i="3"/>
  <c r="G12" i="3"/>
  <c r="G20" i="2"/>
  <c r="H20" i="2"/>
  <c r="F31" i="1"/>
  <c r="E31" i="1"/>
  <c r="D31" i="1"/>
  <c r="G11" i="2"/>
  <c r="H11" i="2"/>
  <c r="G8" i="2"/>
  <c r="H8" i="2"/>
  <c r="E18" i="2"/>
  <c r="E19" i="2"/>
  <c r="E20" i="2"/>
  <c r="H18" i="2"/>
  <c r="H19" i="2"/>
  <c r="E15" i="2"/>
  <c r="E16" i="2"/>
  <c r="E17" i="2"/>
  <c r="H15" i="2"/>
  <c r="H16" i="2"/>
  <c r="H17" i="2"/>
  <c r="E13" i="2"/>
  <c r="E14" i="2"/>
  <c r="H13" i="2"/>
  <c r="H14" i="2"/>
  <c r="E12" i="2"/>
  <c r="H12" i="2"/>
  <c r="H2" i="2"/>
  <c r="H3" i="2"/>
  <c r="H4" i="2"/>
  <c r="H6" i="2"/>
  <c r="H7" i="2"/>
  <c r="H9" i="2"/>
  <c r="H10" i="2"/>
  <c r="G5" i="2"/>
  <c r="H5" i="2"/>
  <c r="E11" i="2"/>
  <c r="E10" i="2"/>
  <c r="E9" i="2"/>
  <c r="E6" i="2"/>
  <c r="E8" i="2"/>
  <c r="E7" i="2"/>
  <c r="E2" i="2"/>
  <c r="E3" i="2"/>
  <c r="E4" i="2"/>
  <c r="E5" i="2"/>
  <c r="F11" i="2"/>
  <c r="F5" i="2"/>
  <c r="F8" i="2"/>
  <c r="E6" i="7"/>
  <c r="G6" i="7"/>
</calcChain>
</file>

<file path=xl/sharedStrings.xml><?xml version="1.0" encoding="utf-8"?>
<sst xmlns="http://schemas.openxmlformats.org/spreadsheetml/2006/main" count="187" uniqueCount="120">
  <si>
    <t>Angebot für Prokreis IT</t>
  </si>
  <si>
    <t>Art</t>
  </si>
  <si>
    <t>Menge</t>
  </si>
  <si>
    <t>Ersatzteile</t>
  </si>
  <si>
    <t>Stückpreis</t>
  </si>
  <si>
    <t>Summe</t>
  </si>
  <si>
    <t>Geschätzte Energiekosten auf 6 Jahre</t>
  </si>
  <si>
    <t>summe Energiekosten</t>
  </si>
  <si>
    <t>Stationäre Arbeitsplätze Basic</t>
  </si>
  <si>
    <t>Business Inteligence Workstation</t>
  </si>
  <si>
    <t>Laptop inkl Arbeitsplatz</t>
  </si>
  <si>
    <t>Beschaffung</t>
  </si>
  <si>
    <t>Auslieferung</t>
  </si>
  <si>
    <t>Konfektionierung</t>
  </si>
  <si>
    <t>Konfiguration</t>
  </si>
  <si>
    <t>Einweisung</t>
  </si>
  <si>
    <t>Komplettsumme</t>
  </si>
  <si>
    <t>Kosten für Desktop Workstations:</t>
  </si>
  <si>
    <t>Kosten für Laptopstations:</t>
  </si>
  <si>
    <t>Begründen Sie die Auswahl des Rechnersystems auf Basis der Kundenanforderungen, beleuchten Sie insbesondere auf den Aspekt der Nachhaltigkeit (Stichwort Green-IT). </t>
  </si>
  <si>
    <t>30% HO - Einheitlich, Freie Arbeitsplätze, Mobilität</t>
  </si>
  <si>
    <t>Begründen Sie die Auswahl und Dimensionierung der für das Rechnersystem vorgeschlagenen Komponenten. Stellen Sie dem die preiswerteste Alternative gegenüber und benennen Sie die Vorteile Ihres Vorschlags bzw. die Nachteile der Alternative. </t>
  </si>
  <si>
    <t>10-20% Ersatzgeräte Laptops, Leichte Reparatur und Wartung</t>
  </si>
  <si>
    <t>Bieten Sie, sofern sinnvoll, optionale Erweiterungen an und geben Sie dem Kunden passende Entscheidungshilfen zur Auswahl. </t>
  </si>
  <si>
    <t>Individuelle Anpassung der Anzahl und Art der Geräte</t>
  </si>
  <si>
    <t>Bieten Sie geeignete Peripherie an und begründen Sie mithilfe der Kundenanforderungen und dem Aspekt der Arbeitsplatzergonomie. </t>
  </si>
  <si>
    <t>Maus,Tastatur und Dockingstation standart an den Arbeitsplätzen</t>
  </si>
  <si>
    <t>Das Angebot selbst enthält ein Anschreiben mit Bitte um einen Termin zur Angebotspräsentation.  </t>
  </si>
  <si>
    <t>LS 2.5: Angebotspräsentation erstellen</t>
  </si>
  <si>
    <t>Sie hatten sich im Zuge der Ausschreibung der Stadtverwaltung Liebernich für einen bestimmten Typ Rechnersystem entschieden. </t>
  </si>
  <si>
    <t>Ferner haben Sie sich mit einzelnen, leistungsbestimmenden Komponenten von IT-Systemen beschäftigt. </t>
  </si>
  <si>
    <t xml:space="preserve">Auftrag: Erstellen Sie ein Angebot und eine aussagekräftige Angebotspräsentation, um den Auftrag zur Beschaffung, Konfektionierung, Konfiguration sowie Auslieferung und Einweisung der Nutzer zu gewinnen. </t>
  </si>
  <si>
    <t> </t>
  </si>
  <si>
    <r>
      <t>Hinweise:</t>
    </r>
    <r>
      <rPr>
        <sz val="12"/>
        <color rgb="FF000000"/>
        <rFont val="Calibri"/>
        <charset val="1"/>
      </rPr>
      <t> </t>
    </r>
  </si>
  <si>
    <t>Das Angebot besteht aus einer Liste aller Komponenten und Dienstleistungen sowie optionalen Bestandteilen mit entsprechenden Zuschlägen. Verwenden Sie eine Tabellenkalkulation zur Erstellung. </t>
  </si>
  <si>
    <t>Komponent:</t>
  </si>
  <si>
    <t>Experte</t>
  </si>
  <si>
    <t>Spalte1</t>
  </si>
  <si>
    <t>Option Desktop Basic</t>
  </si>
  <si>
    <t>Option Desktop  Grafiker</t>
  </si>
  <si>
    <t>Option Laptop</t>
  </si>
  <si>
    <t>Energieeffizienz</t>
  </si>
  <si>
    <t>Speichermodule</t>
  </si>
  <si>
    <t>Anna</t>
  </si>
  <si>
    <t>8GB für Grafiker</t>
  </si>
  <si>
    <t>Festplatten HDD/SSD</t>
  </si>
  <si>
    <t>Luke</t>
  </si>
  <si>
    <t>1TB HDD einbaubar</t>
  </si>
  <si>
    <t>Optische Laufwerke</t>
  </si>
  <si>
    <t>Niclas</t>
  </si>
  <si>
    <t>BluRay Brenner</t>
  </si>
  <si>
    <t>Grafikkarte</t>
  </si>
  <si>
    <t>GTX 1050 Ti</t>
  </si>
  <si>
    <t>Standard Rechnerart</t>
  </si>
  <si>
    <t>ThinkCentre M720t</t>
  </si>
  <si>
    <t>Intel Core i5-9400 Prozessor (6 Kerne / 6 Threads, 2.9 / 4.1GHz, 9MB)
8.0GB PC4-21300 DDR4 UDIMM 2666MHz
256GB SSD M.2 2280 PCIe x4 NVMe Opal
DVD Recordable Slim
Integrated Intel UHD Graphics 630</t>
  </si>
  <si>
    <t>Option für Grafiker</t>
  </si>
  <si>
    <t>ThinkCentre M920 Tower</t>
  </si>
  <si>
    <t>Prozessor: Intel® Core™ i5-9500 Prozessor der 9. Generation (3,0 GHz, bis zu 4,40 GHz, 6 Kerne, 6 Threads, 9 MB Cache)
Hauptspeicher: 16 GB DDR4 2666MHz
Massenspeicher: 512 GB M.2 2280 SSD
Optisches Laufwerk: DVD±RW</t>
  </si>
  <si>
    <t>Monitor</t>
  </si>
  <si>
    <t>SAMSUNG S24F350FH Monitor 61,0 cm (24,0 Zoll)</t>
  </si>
  <si>
    <t>Tastatur</t>
  </si>
  <si>
    <t>Lenovo Professional drahtlose Tastatur</t>
  </si>
  <si>
    <t>Mouse</t>
  </si>
  <si>
    <t>ThinkPag USB-Mouse</t>
  </si>
  <si>
    <t>Headset</t>
  </si>
  <si>
    <t>Jabra Evolve 30 MS Stereo</t>
  </si>
  <si>
    <t>Drucker</t>
  </si>
  <si>
    <t xml:space="preserve">Brother Laserdrucker </t>
  </si>
  <si>
    <t>Laptop T490</t>
  </si>
  <si>
    <t>Intel Core i7-8665U, 16GB, 128GB SSD</t>
  </si>
  <si>
    <t>Docking Station</t>
  </si>
  <si>
    <t>Energieverbrauch im Jahr kWh Rechner</t>
  </si>
  <si>
    <t>Energiekosten auf 6 Jahre</t>
  </si>
  <si>
    <t>Preisspanne von</t>
  </si>
  <si>
    <t>Typ</t>
  </si>
  <si>
    <t>Leistung PC (w)</t>
  </si>
  <si>
    <t>Leistung Monitor (W)</t>
  </si>
  <si>
    <t>Betriebsdauer pro Tag
PC+Monitor</t>
  </si>
  <si>
    <t>Energieverbrauch pro Tag (Wh)</t>
  </si>
  <si>
    <t>Jahresverbrauch kWh</t>
  </si>
  <si>
    <t>Energieverbrauch nach der EU Verordnung</t>
  </si>
  <si>
    <t>Energiekosten bei 25ct/kWh 
(ohne Monitor)</t>
  </si>
  <si>
    <t>Formel:</t>
  </si>
  <si>
    <t>Standby (off ohne Netzschalter) - desktop in c113</t>
  </si>
  <si>
    <t>Etec=(8760/1000)*(0,55*off+0,05*sleep+0,4*idle)</t>
  </si>
  <si>
    <t>Leerlaufzustand</t>
  </si>
  <si>
    <t>Ruhezustand (sleep mode)</t>
  </si>
  <si>
    <t>Lastbetrieb</t>
  </si>
  <si>
    <t>Leistungsaufnahme Standby PC1</t>
  </si>
  <si>
    <t>Leistungsaufnahme Leerlauf PC1</t>
  </si>
  <si>
    <t>Leistungsaufnahme Ruhezustand PC1</t>
  </si>
  <si>
    <t>Leistungsaufnahme Standby Laptop</t>
  </si>
  <si>
    <t>Leistungsaufnahme Leerlauf Laptop</t>
  </si>
  <si>
    <t>Leistungsaufnahme Ruhezustand Laptop</t>
  </si>
  <si>
    <t>Standby (option1) Laptop</t>
  </si>
  <si>
    <t>Leerlauf (option3)Laptop</t>
  </si>
  <si>
    <t>Ruhezustand (option3) Laptop</t>
  </si>
  <si>
    <t>Standby (option3) Laptop</t>
  </si>
  <si>
    <t>Komplettpreis</t>
  </si>
  <si>
    <t>Paket</t>
  </si>
  <si>
    <t>Standard PC-Workstation</t>
  </si>
  <si>
    <t>Workstation BI</t>
  </si>
  <si>
    <t>Laptop</t>
  </si>
  <si>
    <t>Jähliche Energiekosten</t>
  </si>
  <si>
    <t>auf 6 Jahre gerechnet</t>
  </si>
  <si>
    <t>Kosten Option A</t>
  </si>
  <si>
    <t>Kosten Option B</t>
  </si>
  <si>
    <t>Anzahl Option A</t>
  </si>
  <si>
    <t>Anzahl Option B</t>
  </si>
  <si>
    <t>Kosten Gesammt:</t>
  </si>
  <si>
    <t>Zeilenbeschriftungen</t>
  </si>
  <si>
    <t>Gesamtergebnis</t>
  </si>
  <si>
    <t>Jahr</t>
  </si>
  <si>
    <t>Option B</t>
  </si>
  <si>
    <t>Option A</t>
  </si>
  <si>
    <t>Energiekosten</t>
  </si>
  <si>
    <t>Spaltenbeschriftungen</t>
  </si>
  <si>
    <t>Summe von Energiekosten</t>
  </si>
  <si>
    <t>Kosten Gesamt: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</si>
</sst>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quot;€&quot;"/>
  </numFmts>
  <fonts count="18" x14ac:knownFonts="1">
    <font>
      <sz val="11"/>
      <color theme="1"/>
      <name val="Calibri"/>
      <family val="2"/>
      <scheme val="minor"/>
    </font>
    <font>
      <sz val="12"/>
      <color rgb="FF000000"/>
      <name val="Calibri"/>
      <charset val="1"/>
    </font>
    <font>
      <b/>
      <sz val="12"/>
      <color rgb="FF000000"/>
      <name val="Calibri"/>
      <charset val="1"/>
    </font>
    <font>
      <b/>
      <sz val="18"/>
      <color theme="1"/>
      <name val="Calibri"/>
      <family val="2"/>
      <scheme val="minor"/>
    </font>
    <font>
      <b/>
      <sz val="10"/>
      <color rgb="FF000000"/>
      <name val="Helvetica Neue"/>
    </font>
    <font>
      <sz val="10"/>
      <color rgb="FF000000"/>
      <name val="Arial"/>
    </font>
    <font>
      <sz val="10"/>
      <color rgb="FF000000"/>
      <name val="Helvetica Neue"/>
    </font>
    <font>
      <sz val="10"/>
      <color rgb="FF000000"/>
      <name val="Arial"/>
      <charset val="1"/>
    </font>
    <font>
      <sz val="11"/>
      <color rgb="FF000000"/>
      <name val="Calibri"/>
      <charset val="1"/>
    </font>
    <font>
      <b/>
      <sz val="11"/>
      <color rgb="FF3F3F3F"/>
      <name val="Calibri"/>
      <scheme val="minor"/>
    </font>
    <font>
      <b/>
      <sz val="12"/>
      <color rgb="FF3F3F3F"/>
      <name val="Calibri"/>
      <scheme val="minor"/>
    </font>
    <font>
      <sz val="11"/>
      <color rgb="FF006100"/>
      <name val="Calibri"/>
      <scheme val="minor"/>
    </font>
    <font>
      <sz val="11"/>
      <color rgb="FF006100"/>
      <name val="Calibri"/>
      <family val="2"/>
      <scheme val="minor"/>
    </font>
    <font>
      <b/>
      <sz val="12"/>
      <color rgb="FF3F3F3F"/>
      <name val="Calibri"/>
      <family val="2"/>
      <scheme val="minor"/>
    </font>
    <font>
      <b/>
      <sz val="11"/>
      <color rgb="FF006100"/>
      <name val="Calibri"/>
      <family val="2"/>
      <scheme val="minor"/>
    </font>
    <font>
      <b/>
      <sz val="11"/>
      <color rgb="FFFFFFFF"/>
      <name val="Calibri"/>
      <family val="2"/>
      <scheme val="minor"/>
    </font>
    <font>
      <sz val="11"/>
      <color rgb="FF000000"/>
      <name val="Calibri"/>
      <family val="2"/>
      <scheme val="minor"/>
    </font>
    <font>
      <b/>
      <sz val="18"/>
      <color rgb="FF000000"/>
      <name val="Calibri"/>
      <family val="2"/>
      <scheme val="minor"/>
    </font>
  </fonts>
  <fills count="12">
    <fill>
      <patternFill patternType="none"/>
    </fill>
    <fill>
      <patternFill patternType="gray125"/>
    </fill>
    <fill>
      <patternFill patternType="solid">
        <fgColor rgb="FFBDC0BF"/>
        <bgColor rgb="FF000000"/>
      </patternFill>
    </fill>
    <fill>
      <patternFill patternType="solid">
        <fgColor rgb="FFDBDBDB"/>
        <bgColor rgb="FF000000"/>
      </patternFill>
    </fill>
    <fill>
      <patternFill patternType="solid">
        <fgColor rgb="FFF2F2F2"/>
      </patternFill>
    </fill>
    <fill>
      <patternFill patternType="solid">
        <fgColor rgb="FFC6EFCE"/>
      </patternFill>
    </fill>
    <fill>
      <patternFill patternType="solid">
        <fgColor indexed="65"/>
        <bgColor rgb="FFC6EFCE"/>
      </patternFill>
    </fill>
    <fill>
      <patternFill patternType="solid">
        <fgColor rgb="FF70AD47"/>
        <bgColor rgb="FF70AD47"/>
      </patternFill>
    </fill>
    <fill>
      <patternFill patternType="solid">
        <fgColor rgb="FFC6EFCE"/>
        <bgColor rgb="FF000000"/>
      </patternFill>
    </fill>
    <fill>
      <patternFill patternType="solid">
        <fgColor rgb="FFF2F2F2"/>
        <bgColor rgb="FF000000"/>
      </patternFill>
    </fill>
    <fill>
      <patternFill patternType="solid">
        <fgColor theme="4" tint="0.79998168889431442"/>
        <bgColor theme="4" tint="0.79998168889431442"/>
      </patternFill>
    </fill>
    <fill>
      <patternFill patternType="solid">
        <fgColor rgb="FFD9E1F2"/>
        <bgColor rgb="FFD9E1F2"/>
      </patternFill>
    </fill>
  </fills>
  <borders count="23">
    <border>
      <left/>
      <right/>
      <top/>
      <bottom/>
      <diagonal/>
    </border>
    <border>
      <left/>
      <right style="thin">
        <color rgb="FFA5A5A5"/>
      </right>
      <top/>
      <bottom style="thin">
        <color rgb="FFA5A5A5"/>
      </bottom>
      <diagonal/>
    </border>
    <border>
      <left/>
      <right style="thin">
        <color rgb="FF3F3F3F"/>
      </right>
      <top/>
      <bottom style="thin">
        <color rgb="FFA5A5A5"/>
      </bottom>
      <diagonal/>
    </border>
    <border>
      <left/>
      <right/>
      <top/>
      <bottom style="thin">
        <color rgb="FFA5A5A5"/>
      </bottom>
      <diagonal/>
    </border>
    <border>
      <left/>
      <right style="thin">
        <color rgb="FFA5A5A5"/>
      </right>
      <top/>
      <bottom style="thin">
        <color rgb="FF3F3F3F"/>
      </bottom>
      <diagonal/>
    </border>
    <border>
      <left/>
      <right/>
      <top/>
      <bottom style="thin">
        <color rgb="FF3F3F3F"/>
      </bottom>
      <diagonal/>
    </border>
    <border>
      <left/>
      <right style="thin">
        <color rgb="FF3F3F3F"/>
      </right>
      <top/>
      <bottom/>
      <diagonal/>
    </border>
    <border>
      <left/>
      <right style="thin">
        <color rgb="FFA5A5A5"/>
      </right>
      <top/>
      <bottom/>
      <diagonal/>
    </border>
    <border>
      <left style="thin">
        <color rgb="FF3F3F3F"/>
      </left>
      <right style="thin">
        <color rgb="FF3F3F3F"/>
      </right>
      <top style="thin">
        <color rgb="FF3F3F3F"/>
      </top>
      <bottom style="thin">
        <color rgb="FF3F3F3F"/>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thin">
        <color rgb="FF70AD47"/>
      </left>
      <right/>
      <top style="thin">
        <color rgb="FF70AD47"/>
      </top>
      <bottom/>
      <diagonal/>
    </border>
    <border>
      <left/>
      <right/>
      <top style="thin">
        <color rgb="FF70AD47"/>
      </top>
      <bottom/>
      <diagonal/>
    </border>
    <border>
      <left/>
      <right style="thin">
        <color rgb="FF70AD47"/>
      </right>
      <top style="thin">
        <color rgb="FF70AD47"/>
      </top>
      <bottom/>
      <diagonal/>
    </border>
    <border>
      <left style="thin">
        <color rgb="FF70AD47"/>
      </left>
      <right/>
      <top style="thin">
        <color rgb="FF70AD47"/>
      </top>
      <bottom style="thin">
        <color rgb="FF70AD47"/>
      </bottom>
      <diagonal/>
    </border>
    <border>
      <left/>
      <right/>
      <top style="thin">
        <color rgb="FF70AD47"/>
      </top>
      <bottom style="thin">
        <color rgb="FF70AD47"/>
      </bottom>
      <diagonal/>
    </border>
    <border>
      <left style="medium">
        <color rgb="FF000000"/>
      </left>
      <right style="medium">
        <color rgb="FF000000"/>
      </right>
      <top style="medium">
        <color rgb="FF000000"/>
      </top>
      <bottom style="thin">
        <color rgb="FF70AD47"/>
      </bottom>
      <diagonal/>
    </border>
    <border>
      <left/>
      <right style="medium">
        <color rgb="FF000000"/>
      </right>
      <top style="medium">
        <color rgb="FF000000"/>
      </top>
      <bottom style="thin">
        <color rgb="FF70AD47"/>
      </bottom>
      <diagonal/>
    </border>
    <border>
      <left style="thin">
        <color theme="4" tint="0.39997558519241921"/>
      </left>
      <right/>
      <top style="thin">
        <color theme="4" tint="0.39997558519241921"/>
      </top>
      <bottom style="thin">
        <color theme="4" tint="0.39997558519241921"/>
      </bottom>
      <diagonal/>
    </border>
    <border>
      <left style="thin">
        <color rgb="FF8EA9DB"/>
      </left>
      <right/>
      <top style="thin">
        <color rgb="FF8EA9DB"/>
      </top>
      <bottom style="thin">
        <color rgb="FF8EA9DB"/>
      </bottom>
      <diagonal/>
    </border>
    <border>
      <left style="thin">
        <color rgb="FF8EA9DB"/>
      </left>
      <right/>
      <top/>
      <bottom style="thin">
        <color rgb="FF8EA9DB"/>
      </bottom>
      <diagonal/>
    </border>
  </borders>
  <cellStyleXfs count="3">
    <xf numFmtId="0" fontId="0" fillId="0" borderId="0"/>
    <xf numFmtId="0" fontId="9" fillId="4" borderId="8" applyNumberFormat="0" applyAlignment="0" applyProtection="0"/>
    <xf numFmtId="0" fontId="11" fillId="5" borderId="0" applyNumberFormat="0" applyBorder="0" applyAlignment="0" applyProtection="0"/>
  </cellStyleXfs>
  <cellXfs count="59">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xf numFmtId="0" fontId="5" fillId="0" borderId="1" xfId="0" applyFont="1" applyFill="1" applyBorder="1" applyAlignment="1">
      <alignment wrapText="1"/>
    </xf>
    <xf numFmtId="0" fontId="5" fillId="0" borderId="1" xfId="0" applyFont="1" applyFill="1" applyBorder="1" applyAlignment="1">
      <alignment wrapText="1" readingOrder="1"/>
    </xf>
    <xf numFmtId="0" fontId="6" fillId="0" borderId="1" xfId="0" applyFont="1" applyFill="1" applyBorder="1" applyAlignment="1">
      <alignment wrapText="1"/>
    </xf>
    <xf numFmtId="0" fontId="7" fillId="0" borderId="0" xfId="0" applyFont="1" applyAlignment="1">
      <alignment wrapText="1"/>
    </xf>
    <xf numFmtId="0" fontId="4" fillId="3" borderId="2" xfId="0" applyFont="1" applyFill="1" applyBorder="1" applyAlignment="1">
      <alignment wrapText="1"/>
    </xf>
    <xf numFmtId="0" fontId="5" fillId="0" borderId="3" xfId="0" applyFont="1" applyFill="1" applyBorder="1" applyAlignment="1">
      <alignment wrapText="1"/>
    </xf>
    <xf numFmtId="0" fontId="6" fillId="0" borderId="3" xfId="0" applyFont="1" applyFill="1" applyBorder="1" applyAlignment="1">
      <alignment wrapText="1"/>
    </xf>
    <xf numFmtId="0" fontId="4" fillId="2" borderId="4" xfId="0" applyFont="1" applyFill="1" applyBorder="1" applyAlignment="1">
      <alignment wrapText="1"/>
    </xf>
    <xf numFmtId="0" fontId="4" fillId="2" borderId="5" xfId="0" applyFont="1" applyFill="1" applyBorder="1" applyAlignment="1">
      <alignment wrapText="1"/>
    </xf>
    <xf numFmtId="0" fontId="4" fillId="3" borderId="6" xfId="0" applyFont="1" applyFill="1" applyBorder="1" applyAlignment="1">
      <alignment wrapText="1"/>
    </xf>
    <xf numFmtId="0" fontId="6" fillId="0" borderId="7" xfId="0" applyFont="1" applyFill="1" applyBorder="1" applyAlignment="1">
      <alignment wrapText="1"/>
    </xf>
    <xf numFmtId="0" fontId="6" fillId="0" borderId="0" xfId="0" applyFont="1" applyFill="1" applyBorder="1" applyAlignment="1">
      <alignment wrapText="1"/>
    </xf>
    <xf numFmtId="0" fontId="0" fillId="0" borderId="0" xfId="0" applyAlignment="1">
      <alignment wrapText="1"/>
    </xf>
    <xf numFmtId="0" fontId="8" fillId="0" borderId="0" xfId="0" quotePrefix="1" applyFont="1"/>
    <xf numFmtId="0" fontId="0" fillId="0" borderId="0" xfId="0" applyNumberFormat="1"/>
    <xf numFmtId="164" fontId="0" fillId="0" borderId="0" xfId="0" applyNumberFormat="1"/>
    <xf numFmtId="0" fontId="10" fillId="4" borderId="8" xfId="1" applyFont="1"/>
    <xf numFmtId="164" fontId="10" fillId="4" borderId="8" xfId="1" applyNumberFormat="1" applyFont="1"/>
    <xf numFmtId="0" fontId="8" fillId="0" borderId="0" xfId="0" applyFont="1"/>
    <xf numFmtId="0" fontId="11" fillId="5" borderId="0" xfId="2"/>
    <xf numFmtId="164" fontId="11" fillId="5" borderId="0" xfId="2" applyNumberFormat="1"/>
    <xf numFmtId="164" fontId="0" fillId="0" borderId="10" xfId="0" applyNumberFormat="1" applyBorder="1"/>
    <xf numFmtId="164" fontId="11" fillId="6" borderId="9" xfId="0" applyNumberFormat="1" applyFont="1" applyFill="1" applyBorder="1"/>
    <xf numFmtId="164" fontId="12" fillId="6" borderId="11" xfId="0" applyNumberFormat="1" applyFont="1" applyFill="1" applyBorder="1"/>
    <xf numFmtId="164" fontId="0" fillId="0" borderId="12" xfId="0" applyNumberFormat="1" applyBorder="1"/>
    <xf numFmtId="0" fontId="15" fillId="7" borderId="13" xfId="0" applyFont="1" applyFill="1" applyBorder="1"/>
    <xf numFmtId="0" fontId="15" fillId="7" borderId="14" xfId="0" applyFont="1" applyFill="1" applyBorder="1"/>
    <xf numFmtId="164" fontId="15" fillId="7" borderId="14" xfId="0" applyNumberFormat="1" applyFont="1" applyFill="1" applyBorder="1"/>
    <xf numFmtId="0" fontId="14" fillId="8" borderId="14" xfId="0" applyFont="1" applyFill="1" applyBorder="1"/>
    <xf numFmtId="164" fontId="14" fillId="8" borderId="15" xfId="0" applyNumberFormat="1" applyFont="1" applyFill="1" applyBorder="1"/>
    <xf numFmtId="0" fontId="16" fillId="0" borderId="13" xfId="0" applyFont="1" applyBorder="1"/>
    <xf numFmtId="0" fontId="16" fillId="0" borderId="14" xfId="0" applyFont="1" applyBorder="1"/>
    <xf numFmtId="164" fontId="16" fillId="0" borderId="14" xfId="0" applyNumberFormat="1" applyFont="1" applyBorder="1"/>
    <xf numFmtId="0" fontId="12" fillId="8" borderId="14" xfId="0" applyFont="1" applyFill="1" applyBorder="1"/>
    <xf numFmtId="164" fontId="12" fillId="8" borderId="15" xfId="0" applyNumberFormat="1" applyFont="1" applyFill="1" applyBorder="1"/>
    <xf numFmtId="0" fontId="16" fillId="0" borderId="0" xfId="0" applyFont="1"/>
    <xf numFmtId="0" fontId="13" fillId="9" borderId="8" xfId="0" applyFont="1" applyFill="1" applyBorder="1"/>
    <xf numFmtId="164" fontId="13" fillId="9" borderId="8" xfId="0" applyNumberFormat="1" applyFont="1" applyFill="1" applyBorder="1"/>
    <xf numFmtId="0" fontId="16" fillId="0" borderId="16" xfId="0" applyFont="1" applyBorder="1"/>
    <xf numFmtId="0" fontId="16" fillId="0" borderId="17" xfId="0" applyFont="1" applyBorder="1"/>
    <xf numFmtId="164" fontId="16" fillId="0" borderId="17" xfId="0" applyNumberFormat="1" applyFont="1" applyBorder="1"/>
    <xf numFmtId="164" fontId="12" fillId="6" borderId="18" xfId="0" applyNumberFormat="1" applyFont="1" applyFill="1" applyBorder="1"/>
    <xf numFmtId="164" fontId="12" fillId="6" borderId="19" xfId="0" applyNumberFormat="1" applyFont="1" applyFill="1" applyBorder="1"/>
    <xf numFmtId="164" fontId="16" fillId="0" borderId="0" xfId="0" applyNumberFormat="1" applyFont="1"/>
    <xf numFmtId="164" fontId="16" fillId="0" borderId="10" xfId="0" applyNumberFormat="1" applyFont="1" applyBorder="1"/>
    <xf numFmtId="164" fontId="16" fillId="0" borderId="12" xfId="0" applyNumberFormat="1" applyFont="1" applyBorder="1"/>
    <xf numFmtId="0" fontId="17" fillId="0" borderId="0" xfId="0" applyFont="1"/>
    <xf numFmtId="0" fontId="0" fillId="10" borderId="20" xfId="0" applyFont="1" applyFill="1" applyBorder="1"/>
    <xf numFmtId="0" fontId="0" fillId="0" borderId="20" xfId="0" applyFont="1" applyBorder="1"/>
    <xf numFmtId="3" fontId="0" fillId="0" borderId="0" xfId="0" applyNumberFormat="1"/>
    <xf numFmtId="0" fontId="0" fillId="0" borderId="0" xfId="0" pivotButton="1"/>
    <xf numFmtId="0" fontId="0" fillId="0" borderId="0" xfId="0" applyAlignment="1">
      <alignment horizontal="left"/>
    </xf>
    <xf numFmtId="0" fontId="16" fillId="11" borderId="21" xfId="0" applyFont="1" applyFill="1" applyBorder="1"/>
    <xf numFmtId="0" fontId="16" fillId="0" borderId="22" xfId="0" applyFont="1" applyBorder="1"/>
    <xf numFmtId="0" fontId="0" fillId="0" borderId="0" xfId="0" applyAlignment="1">
      <alignment horizontal="center"/>
    </xf>
  </cellXfs>
  <cellStyles count="3">
    <cellStyle name="Ausgabe" xfId="1" builtinId="21"/>
    <cellStyle name="Gut" xfId="2" builtinId="26"/>
    <cellStyle name="Standard" xfId="0" builtinId="0"/>
  </cellStyles>
  <dxfs count="25">
    <dxf>
      <numFmt numFmtId="164" formatCode="#,##0\ &quot;€&quot;"/>
    </dxf>
    <dxf>
      <numFmt numFmtId="3" formatCode="#,##0"/>
    </dxf>
    <dxf>
      <numFmt numFmtId="164" formatCode="#,##0\ &quot;€&quot;"/>
    </dxf>
    <dxf>
      <numFmt numFmtId="3" formatCode="#,##0"/>
    </dxf>
    <dxf>
      <numFmt numFmtId="164" formatCode="#,##0\ &quot;€&quot;"/>
    </dxf>
    <dxf>
      <numFmt numFmtId="164" formatCode="#,##0\ &quot;€&quot;"/>
    </dxf>
    <dxf>
      <numFmt numFmtId="164" formatCode="#,##0\ &quot;€&quot;"/>
    </dxf>
    <dxf>
      <numFmt numFmtId="3" formatCode="#,##0"/>
    </dxf>
    <dxf>
      <numFmt numFmtId="164" formatCode="#,##0\ &quot;€&quot;"/>
    </dxf>
    <dxf>
      <numFmt numFmtId="3" formatCode="#,##0"/>
    </dxf>
    <dxf>
      <numFmt numFmtId="164" formatCode="#,##0\ &quot;€&quot;"/>
    </dxf>
    <dxf>
      <numFmt numFmtId="164" formatCode="#,##0\ &quot;€&quot;"/>
    </dxf>
    <dxf>
      <numFmt numFmtId="0" formatCode="General"/>
    </dxf>
    <dxf>
      <numFmt numFmtId="0" formatCode="General"/>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left/>
        <right/>
        <top/>
        <bottom style="thin">
          <color rgb="FFA5A5A5"/>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left/>
        <right/>
        <top/>
        <bottom style="thin">
          <color rgb="FFA5A5A5"/>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left/>
        <right style="thin">
          <color rgb="FFA5A5A5"/>
        </right>
        <top/>
        <bottom style="thin">
          <color rgb="FFA5A5A5"/>
        </bottom>
        <vertical/>
        <horizontal/>
      </border>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general" vertical="bottom" textRotation="0" wrapText="1" indent="0" justifyLastLine="0" shrinkToFit="0" readingOrder="0"/>
      <border diagonalUp="0" diagonalDown="0">
        <left/>
        <right style="thin">
          <color rgb="FFA5A5A5"/>
        </right>
        <top/>
        <bottom style="thin">
          <color rgb="FFA5A5A5"/>
        </bottom>
        <vertical/>
        <horizontal/>
      </border>
    </dxf>
    <dxf>
      <font>
        <b/>
        <i val="0"/>
        <strike val="0"/>
        <condense val="0"/>
        <extend val="0"/>
        <outline val="0"/>
        <shadow val="0"/>
        <u val="none"/>
        <vertAlign val="baseline"/>
        <sz val="10"/>
        <color rgb="FF000000"/>
        <name val="Helvetica Neue"/>
        <scheme val="none"/>
      </font>
      <fill>
        <patternFill patternType="solid">
          <fgColor rgb="FF000000"/>
          <bgColor rgb="FFDBDBDB"/>
        </patternFill>
      </fill>
      <alignment horizontal="general" vertical="bottom" textRotation="0" wrapText="1" indent="0" justifyLastLine="0" shrinkToFit="0" readingOrder="0"/>
      <border diagonalUp="0" diagonalDown="0">
        <left/>
        <right style="thin">
          <color rgb="FF3F3F3F"/>
        </right>
        <top/>
        <bottom style="thin">
          <color rgb="FFA5A5A5"/>
        </bottom>
        <vertical/>
        <horizontal/>
      </border>
    </dxf>
    <dxf>
      <border outline="0">
        <left style="thin">
          <color rgb="FFA5A5A5"/>
        </left>
        <right style="thin">
          <color rgb="FFA5A5A5"/>
        </right>
        <top style="thin">
          <color rgb="FFA5A5A5"/>
        </top>
        <bottom style="thin">
          <color rgb="FFA5A5A5"/>
        </bottom>
      </border>
    </dxf>
    <dxf>
      <border outline="0">
        <bottom style="thin">
          <color rgb="FF3F3F3F"/>
        </bottom>
      </border>
    </dxf>
    <dxf>
      <font>
        <b/>
        <i val="0"/>
        <strike val="0"/>
        <condense val="0"/>
        <extend val="0"/>
        <outline val="0"/>
        <shadow val="0"/>
        <u val="none"/>
        <vertAlign val="baseline"/>
        <sz val="10"/>
        <color rgb="FF000000"/>
        <name val="Helvetica Neue"/>
        <scheme val="none"/>
      </font>
      <fill>
        <patternFill patternType="solid">
          <fgColor rgb="FF000000"/>
          <bgColor rgb="FFBDC0BF"/>
        </patternFill>
      </fill>
      <alignment horizontal="general" vertical="bottom" textRotation="0" wrapText="1" indent="0" justifyLastLine="0" shrinkToFit="0" readingOrder="0"/>
    </dxf>
    <dxf>
      <font>
        <color rgb="FF006100"/>
      </font>
      <numFmt numFmtId="164" formatCode="#,##0\ &quot;€&quot;"/>
      <fill>
        <patternFill patternType="solid">
          <fgColor rgb="FFC6EFCE"/>
          <bgColor indexed="65"/>
        </patternFill>
      </fill>
    </dxf>
    <dxf>
      <font>
        <b val="0"/>
        <i val="0"/>
        <strike val="0"/>
        <condense val="0"/>
        <extend val="0"/>
        <outline val="0"/>
        <shadow val="0"/>
        <u val="none"/>
        <vertAlign val="baseline"/>
        <sz val="11"/>
        <color rgb="FF006100"/>
        <name val="Calibri"/>
        <scheme val="minor"/>
      </font>
      <fill>
        <patternFill patternType="solid">
          <fgColor rgb="FFC6EFCE"/>
          <bgColor indexed="65"/>
        </patternFill>
      </fill>
    </dxf>
    <dxf>
      <numFmt numFmtId="164" formatCode="#,##0\ &quot;€&quo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[LS 2.5 Angebotspräsentation erstellen_bearbeitet.xlsx]Energiekosten!PivotTable3</c:name>
    <c:fmtId val="0"/>
  </c:pivotSource>
  <c:chart>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Energiekosten!$F$41:$F$42</c:f>
              <c:strCache>
                <c:ptCount val="1"/>
                <c:pt idx="0">
                  <c:v>Option A</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Energiekosten!$E$43:$E$49</c:f>
              <c:strCache>
                <c:ptCount val="6"/>
                <c:pt idx="0">
                  <c:v>2020</c:v>
                </c:pt>
                <c:pt idx="1">
                  <c:v>2021</c:v>
                </c:pt>
                <c:pt idx="2">
                  <c:v>2022</c:v>
                </c:pt>
                <c:pt idx="3">
                  <c:v>2023</c:v>
                </c:pt>
                <c:pt idx="4">
                  <c:v>2024</c:v>
                </c:pt>
                <c:pt idx="5">
                  <c:v>2025</c:v>
                </c:pt>
              </c:strCache>
            </c:strRef>
          </c:cat>
          <c:val>
            <c:numRef>
              <c:f>Energiekosten!$F$43:$F$49</c:f>
              <c:numCache>
                <c:formatCode>General</c:formatCode>
                <c:ptCount val="6"/>
                <c:pt idx="0">
                  <c:v>5500</c:v>
                </c:pt>
                <c:pt idx="1">
                  <c:v>11000</c:v>
                </c:pt>
                <c:pt idx="2">
                  <c:v>16500</c:v>
                </c:pt>
                <c:pt idx="3">
                  <c:v>22000</c:v>
                </c:pt>
                <c:pt idx="4">
                  <c:v>27500</c:v>
                </c:pt>
                <c:pt idx="5">
                  <c:v>33000</c:v>
                </c:pt>
              </c:numCache>
            </c:numRef>
          </c:val>
          <c:smooth val="0"/>
          <c:extLst>
            <c:ext xmlns:c16="http://schemas.microsoft.com/office/drawing/2014/chart" uri="{C3380CC4-5D6E-409C-BE32-E72D297353CC}">
              <c16:uniqueId val="{00000001-7387-4B4E-9D8F-7AD45C808103}"/>
            </c:ext>
          </c:extLst>
        </c:ser>
        <c:ser>
          <c:idx val="1"/>
          <c:order val="1"/>
          <c:tx>
            <c:strRef>
              <c:f>Energiekosten!$G$41:$G$42</c:f>
              <c:strCache>
                <c:ptCount val="1"/>
                <c:pt idx="0">
                  <c:v>Option B</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numFmt formatCode="#,##0\ &quot;€&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Energiekosten!$E$43:$E$49</c:f>
              <c:strCache>
                <c:ptCount val="6"/>
                <c:pt idx="0">
                  <c:v>2020</c:v>
                </c:pt>
                <c:pt idx="1">
                  <c:v>2021</c:v>
                </c:pt>
                <c:pt idx="2">
                  <c:v>2022</c:v>
                </c:pt>
                <c:pt idx="3">
                  <c:v>2023</c:v>
                </c:pt>
                <c:pt idx="4">
                  <c:v>2024</c:v>
                </c:pt>
                <c:pt idx="5">
                  <c:v>2025</c:v>
                </c:pt>
              </c:strCache>
            </c:strRef>
          </c:cat>
          <c:val>
            <c:numRef>
              <c:f>Energiekosten!$G$43:$G$49</c:f>
              <c:numCache>
                <c:formatCode>General</c:formatCode>
                <c:ptCount val="6"/>
                <c:pt idx="0">
                  <c:v>1750</c:v>
                </c:pt>
                <c:pt idx="1">
                  <c:v>3500</c:v>
                </c:pt>
                <c:pt idx="2">
                  <c:v>5250</c:v>
                </c:pt>
                <c:pt idx="3">
                  <c:v>7000</c:v>
                </c:pt>
                <c:pt idx="4">
                  <c:v>8750</c:v>
                </c:pt>
                <c:pt idx="5">
                  <c:v>10500</c:v>
                </c:pt>
              </c:numCache>
            </c:numRef>
          </c:val>
          <c:smooth val="0"/>
          <c:extLst>
            <c:ext xmlns:c16="http://schemas.microsoft.com/office/drawing/2014/chart" uri="{C3380CC4-5D6E-409C-BE32-E72D297353CC}">
              <c16:uniqueId val="{00000002-7387-4B4E-9D8F-7AD45C808103}"/>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576924112"/>
        <c:axId val="535279792"/>
      </c:lineChart>
      <c:catAx>
        <c:axId val="57692411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de-DE"/>
          </a:p>
        </c:txPr>
        <c:crossAx val="535279792"/>
        <c:crosses val="autoZero"/>
        <c:auto val="1"/>
        <c:lblAlgn val="ctr"/>
        <c:lblOffset val="100"/>
        <c:noMultiLvlLbl val="0"/>
      </c:catAx>
      <c:valAx>
        <c:axId val="535279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de-DE"/>
          </a:p>
        </c:txPr>
        <c:crossAx val="57692411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1492250</xdr:colOff>
      <xdr:row>53</xdr:row>
      <xdr:rowOff>44450</xdr:rowOff>
    </xdr:from>
    <xdr:to>
      <xdr:col>8</xdr:col>
      <xdr:colOff>222250</xdr:colOff>
      <xdr:row>67</xdr:row>
      <xdr:rowOff>120650</xdr:rowOff>
    </xdr:to>
    <xdr:graphicFrame macro="">
      <xdr:nvGraphicFramePr>
        <xdr:cNvPr id="12" name="Diagramm 11">
          <a:extLst>
            <a:ext uri="{FF2B5EF4-FFF2-40B4-BE49-F238E27FC236}">
              <a16:creationId xmlns:a16="http://schemas.microsoft.com/office/drawing/2014/main" id="{4051EEB6-98AA-BD45-8F76-F51FF9101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las Edge" refreshedDate="44173.342584143516" createdVersion="6" refreshedVersion="6" minRefreshableVersion="3" recordCount="12" xr:uid="{4CB16826-9D30-2D47-82EF-B2371F132C34}">
  <cacheSource type="worksheet">
    <worksheetSource name="Tabelle5"/>
  </cacheSource>
  <cacheFields count="3">
    <cacheField name="Paket" numFmtId="0">
      <sharedItems count="2">
        <s v="Option A"/>
        <s v="Option B"/>
      </sharedItems>
    </cacheField>
    <cacheField name="Jahr" numFmtId="0">
      <sharedItems containsSemiMixedTypes="0" containsString="0" containsNumber="1" containsInteger="1" minValue="2020" maxValue="2025" count="6">
        <n v="2020"/>
        <n v="2021"/>
        <n v="2022"/>
        <n v="2023"/>
        <n v="2024"/>
        <n v="2025"/>
      </sharedItems>
    </cacheField>
    <cacheField name="Energiekosten" numFmtId="0">
      <sharedItems containsSemiMixedTypes="0" containsString="0" containsNumber="1" containsInteger="1" minValue="1750" maxValue="33000" count="12">
        <n v="5500"/>
        <n v="1750"/>
        <n v="11000"/>
        <n v="3500"/>
        <n v="16500"/>
        <n v="5250"/>
        <n v="22000"/>
        <n v="7000"/>
        <n v="27500"/>
        <n v="8750"/>
        <n v="33000"/>
        <n v="1050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r>
  <r>
    <x v="1"/>
    <x v="0"/>
    <x v="1"/>
  </r>
  <r>
    <x v="0"/>
    <x v="1"/>
    <x v="2"/>
  </r>
  <r>
    <x v="1"/>
    <x v="1"/>
    <x v="3"/>
  </r>
  <r>
    <x v="0"/>
    <x v="2"/>
    <x v="4"/>
  </r>
  <r>
    <x v="1"/>
    <x v="2"/>
    <x v="5"/>
  </r>
  <r>
    <x v="0"/>
    <x v="3"/>
    <x v="6"/>
  </r>
  <r>
    <x v="1"/>
    <x v="3"/>
    <x v="7"/>
  </r>
  <r>
    <x v="0"/>
    <x v="4"/>
    <x v="8"/>
  </r>
  <r>
    <x v="1"/>
    <x v="4"/>
    <x v="9"/>
  </r>
  <r>
    <x v="0"/>
    <x v="5"/>
    <x v="10"/>
  </r>
  <r>
    <x v="1"/>
    <x v="5"/>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44F490-4666-3B4C-A109-5DDB227B3B0C}" name="PivotTable3" cacheId="1" applyNumberFormats="0" applyBorderFormats="0" applyFontFormats="0" applyPatternFormats="0" applyAlignmentFormats="0" applyWidthHeightFormats="1" dataCaption="Werte" updatedVersion="6" minRefreshableVersion="3" useAutoFormatting="1" itemPrintTitles="1" createdVersion="6" indent="0" outline="1" outlineData="1" multipleFieldFilters="0" chartFormat="5">
  <location ref="E41:H49" firstHeaderRow="1" firstDataRow="2" firstDataCol="1"/>
  <pivotFields count="3">
    <pivotField axis="axisCol" showAll="0">
      <items count="3">
        <item x="0"/>
        <item x="1"/>
        <item t="default"/>
      </items>
    </pivotField>
    <pivotField axis="axisRow" showAll="0">
      <items count="7">
        <item x="0"/>
        <item x="1"/>
        <item x="2"/>
        <item x="3"/>
        <item x="4"/>
        <item x="5"/>
        <item t="default"/>
      </items>
    </pivotField>
    <pivotField dataField="1" showAll="0">
      <items count="13">
        <item x="1"/>
        <item x="3"/>
        <item x="5"/>
        <item x="0"/>
        <item x="7"/>
        <item x="9"/>
        <item x="11"/>
        <item x="2"/>
        <item x="4"/>
        <item x="6"/>
        <item x="8"/>
        <item x="10"/>
        <item t="default"/>
      </items>
    </pivotField>
  </pivotFields>
  <rowFields count="1">
    <field x="1"/>
  </rowFields>
  <rowItems count="7">
    <i>
      <x/>
    </i>
    <i>
      <x v="1"/>
    </i>
    <i>
      <x v="2"/>
    </i>
    <i>
      <x v="3"/>
    </i>
    <i>
      <x v="4"/>
    </i>
    <i>
      <x v="5"/>
    </i>
    <i t="grand">
      <x/>
    </i>
  </rowItems>
  <colFields count="1">
    <field x="0"/>
  </colFields>
  <colItems count="3">
    <i>
      <x/>
    </i>
    <i>
      <x v="1"/>
    </i>
    <i t="grand">
      <x/>
    </i>
  </colItems>
  <dataFields count="1">
    <dataField name="Summe von Energiekosten" fld="2" baseField="0" baseItem="0"/>
  </dataFields>
  <chartFormats count="4">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0E152E-13C6-44FF-8A44-8FE75CEB7B54}" name="Tabelle3" displayName="Tabelle3" ref="A3:H13" totalsRowShown="0">
  <autoFilter ref="A3:H13" xr:uid="{C3211DDD-EF2D-4669-86FB-5413B8C2767D}"/>
  <tableColumns count="8">
    <tableColumn id="1" xr3:uid="{FE7582A6-D1BF-44AE-A5BD-3328CAE46BD5}" name="Art"/>
    <tableColumn id="2" xr3:uid="{1D3FA15A-3C2F-41A6-9370-FE08F9A571CE}" name="Menge"/>
    <tableColumn id="3" xr3:uid="{88B6C443-4BD7-438B-9572-F91C86AA6EC6}" name="Ersatzteile"/>
    <tableColumn id="4" xr3:uid="{835D3FDA-1F1D-4BE0-9CF1-912E91F19BA9}" name="Stückpreis"/>
    <tableColumn id="5" xr3:uid="{ACEED1BB-1209-4A4A-8792-1D122BDED1DC}" name="Summe" dataDxfId="24">
      <calculatedColumnFormula>(B4+C4)*D4</calculatedColumnFormula>
    </tableColumn>
    <tableColumn id="6" xr3:uid="{E4A9E086-D0A4-44B7-9896-1BD3AAECF02B}" name="Geschätzte Energiekosten auf 6 Jahre" dataDxfId="23"/>
    <tableColumn id="7" xr3:uid="{571454FA-3594-48C7-89C3-BB00B3E602D8}" name="summe Energiekosten" dataDxfId="22">
      <calculatedColumnFormula>F4*(B4+C4)</calculatedColumnFormula>
    </tableColumn>
    <tableColumn id="8" xr3:uid="{18DC9556-403B-044C-8E1A-3A63BBEDF53F}" name="Spalte1"/>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7281BC-8A66-4A22-9F9D-0990403D93AA}" name="Tabelle1" displayName="Tabelle1" ref="A15:G31" totalsRowShown="0" headerRowDxfId="21" headerRowBorderDxfId="20" tableBorderDxfId="19">
  <autoFilter ref="A15:G31" xr:uid="{4A9D49D3-9B03-4D33-9124-E22FDC10C996}"/>
  <tableColumns count="7">
    <tableColumn id="1" xr3:uid="{193AF1D6-B818-4E18-8F07-93EDDCCE2ADF}" name="Komponent:" dataDxfId="18"/>
    <tableColumn id="2" xr3:uid="{724AEE87-0F2D-43CD-8E9D-6A5BB04294D8}" name="Experte"/>
    <tableColumn id="3" xr3:uid="{004E14A5-2954-49BA-90BB-4D5DABA83376}" name="Spalte1"/>
    <tableColumn id="4" xr3:uid="{179F8510-51D6-4530-B103-662428A419C8}" name="Option Desktop Basic" dataDxfId="17"/>
    <tableColumn id="5" xr3:uid="{EB095EBB-F6E4-4286-A0CF-31B3286F33AA}" name="Option Desktop  Grafiker" dataDxfId="16"/>
    <tableColumn id="7" xr3:uid="{68C64084-BCDE-40B4-A2E4-A7BB9B011F77}" name="Option Laptop" dataDxfId="15"/>
    <tableColumn id="6" xr3:uid="{A94C9D4B-73FC-45DD-90F3-BD4D688EF6C5}" name="Energieeffizienz" dataDxfId="1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91E63AB-6DCF-446C-A243-1EAD7F727300}" name="Tabelle2" displayName="Tabelle2" ref="A1:H20" totalsRowShown="0">
  <autoFilter ref="A1:H20" xr:uid="{845D81F3-7451-4F20-973E-DA2E921B3131}"/>
  <tableColumns count="8">
    <tableColumn id="1" xr3:uid="{F71BE76D-B97A-492D-9667-828A8FFFBC15}" name="Typ"/>
    <tableColumn id="2" xr3:uid="{89561DA3-B328-43AB-BEEB-6C5765CEFBE3}" name="Leistung PC (w)"/>
    <tableColumn id="3" xr3:uid="{89BFFCFE-75C9-4FD8-A518-CC8A2E4CA22A}" name="Leistung Monitor (W)"/>
    <tableColumn id="4" xr3:uid="{2F179291-3C7D-4596-8049-4370C747711E}" name="Betriebsdauer pro Tag_x000a_PC+Monitor"/>
    <tableColumn id="5" xr3:uid="{3DCAF8DC-9177-4DE2-B159-11192D8D19DC}" name="Energieverbrauch pro Tag (Wh)" dataDxfId="13">
      <calculatedColumnFormula>#REF!*D2+#REF!*D2</calculatedColumnFormula>
    </tableColumn>
    <tableColumn id="6" xr3:uid="{74FCC590-4AC7-4A16-A04D-14CCB635EFC6}" name="Jahresverbrauch kWh"/>
    <tableColumn id="7" xr3:uid="{2503A6B5-6AA8-4A48-B6FA-BCE0F4AC23AF}" name="Energieverbrauch nach der EU Verordnung"/>
    <tableColumn id="8" xr3:uid="{CC8A1C63-DA6F-4E88-BB29-FA5093F13FBD}" name="Energiekosten bei 25ct/kWh _x000a_(ohne Monitor)" dataDxfId="12">
      <calculatedColumnFormula>G2*0.25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CC511C1-084B-1D45-AA94-C97366D2E123}" name="Tabelle4" displayName="Tabelle4" ref="A33:G36" totalsRowShown="0">
  <autoFilter ref="A33:G36" xr:uid="{42F58798-D713-E742-949F-7C284ADF6CD1}"/>
  <tableColumns count="7">
    <tableColumn id="1" xr3:uid="{190DB343-5D31-FF4C-AD58-D09651111D2A}" name="Paket"/>
    <tableColumn id="2" xr3:uid="{FD39F17D-A431-4B42-BE1D-31ADC515A175}" name="Jähliche Energiekosten" dataDxfId="11"/>
    <tableColumn id="3" xr3:uid="{BC39A0D5-DE7A-444F-880E-6D814F436F4D}" name="auf 6 Jahre gerechnet" dataDxfId="10">
      <calculatedColumnFormula>Tabelle4[[#This Row],[Jähliche Energiekosten]]*6</calculatedColumnFormula>
    </tableColumn>
    <tableColumn id="6" xr3:uid="{2FB46CAB-9DC2-AB4B-92B1-85EB05B4FC16}" name="Anzahl Option A" dataDxfId="9"/>
    <tableColumn id="4" xr3:uid="{38F689ED-371E-354F-B259-1C6FDD2EA587}" name="Kosten Option A" dataDxfId="8">
      <calculatedColumnFormula>Tabelle4[[#This Row],[auf 6 Jahre gerechnet]]*Tabelle4[[#This Row],[Anzahl Option A]]</calculatedColumnFormula>
    </tableColumn>
    <tableColumn id="7" xr3:uid="{5663A2FE-0106-F443-9D05-742BEA28C97D}" name="Anzahl Option B" dataDxfId="7"/>
    <tableColumn id="5" xr3:uid="{F93C3456-480C-DC4F-A8F8-40DB29D3AD5E}" name="Kosten Option B" dataDxfId="6">
      <calculatedColumnFormula>Tabelle4[[#This Row],[auf 6 Jahre gerechnet]]*Tabelle4[[#This Row],[Anzahl Option B]]</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8F01661-1168-1144-B305-9FF75B37E6CB}" name="Tabelle5" displayName="Tabelle5" ref="A41:C53" totalsRowShown="0">
  <autoFilter ref="A41:C53" xr:uid="{331E845D-C9CD-2D4F-AC80-066234D5B250}"/>
  <tableColumns count="3">
    <tableColumn id="1" xr3:uid="{D403B2F4-63AA-244C-87F8-F26FDD2BA495}" name="Paket"/>
    <tableColumn id="2" xr3:uid="{F5A59062-C098-8F42-84DA-C8C4FB11FFD5}" name="Jahr"/>
    <tableColumn id="3" xr3:uid="{344522F2-8B65-6744-85EF-8466181BFD42}" name="Energiekoste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03E44B2-95FC-EE45-9CE3-EAAEFEA75E66}" name="Tabelle48" displayName="Tabelle48" ref="A1:G4" totalsRowShown="0">
  <autoFilter ref="A1:G4" xr:uid="{97667552-8959-4B4C-A466-5930FA5FF96D}"/>
  <tableColumns count="7">
    <tableColumn id="1" xr3:uid="{AFE5D251-1B3A-D24A-AFE9-A95B3A5CD60F}" name="Paket"/>
    <tableColumn id="2" xr3:uid="{1E00B8A3-8BC3-FA4A-88AB-455454CE644D}" name="Jähliche Energiekosten" dataDxfId="5"/>
    <tableColumn id="3" xr3:uid="{92ED15D8-A0B4-F041-B9BE-DC8477CCC66B}" name="auf 6 Jahre gerechnet" dataDxfId="4">
      <calculatedColumnFormula>Tabelle48[[#This Row],[Jähliche Energiekosten]]*6</calculatedColumnFormula>
    </tableColumn>
    <tableColumn id="6" xr3:uid="{163D04B4-E2E4-174A-8101-953462A5B12C}" name="Anzahl Option A" dataDxfId="3"/>
    <tableColumn id="4" xr3:uid="{BE2B5C40-F2E2-3E4F-BCA2-2F76287EB775}" name="Kosten Option A" dataDxfId="2">
      <calculatedColumnFormula>Tabelle48[[#This Row],[auf 6 Jahre gerechnet]]*Tabelle48[[#This Row],[Anzahl Option A]]</calculatedColumnFormula>
    </tableColumn>
    <tableColumn id="7" xr3:uid="{05ADD659-5025-2D49-A9B7-4B89367E5FE2}" name="Anzahl Option B" dataDxfId="1"/>
    <tableColumn id="5" xr3:uid="{9B4E5F73-CE3D-D24B-8754-E1B4DBA77E2A}" name="Kosten Option B" dataDxfId="0">
      <calculatedColumnFormula>Tabelle48[[#This Row],[auf 6 Jahre gerechnet]]*Tabelle48[[#This Row],[Anzahl Option B]]</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1.xml"/><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06FB-82C4-47F5-AFE7-39990504360C}">
  <dimension ref="A1:H19"/>
  <sheetViews>
    <sheetView tabSelected="1" topLeftCell="A2" workbookViewId="0">
      <selection activeCell="A14" sqref="A14"/>
    </sheetView>
  </sheetViews>
  <sheetFormatPr defaultColWidth="8.875" defaultRowHeight="15" x14ac:dyDescent="0.2"/>
  <cols>
    <col min="1" max="1" width="41.1640625" customWidth="1"/>
    <col min="2" max="2" width="11.703125" customWidth="1"/>
    <col min="3" max="3" width="12.64453125" bestFit="1" customWidth="1"/>
    <col min="4" max="4" width="12.5078125" bestFit="1" customWidth="1"/>
    <col min="5" max="5" width="18.5625" style="19" customWidth="1"/>
    <col min="6" max="6" width="33.62890625" customWidth="1"/>
    <col min="7" max="7" width="23.5390625" style="19" bestFit="1" customWidth="1"/>
  </cols>
  <sheetData>
    <row r="1" spans="1:8" ht="23.25" x14ac:dyDescent="0.3">
      <c r="A1" s="3" t="s">
        <v>0</v>
      </c>
    </row>
    <row r="3" spans="1:8" x14ac:dyDescent="0.2">
      <c r="A3" t="s">
        <v>1</v>
      </c>
      <c r="B3" t="s">
        <v>2</v>
      </c>
      <c r="C3" t="s">
        <v>3</v>
      </c>
      <c r="D3" t="s">
        <v>4</v>
      </c>
      <c r="E3" s="19" t="s">
        <v>5</v>
      </c>
      <c r="F3" s="23" t="s">
        <v>6</v>
      </c>
      <c r="G3" s="24" t="s">
        <v>7</v>
      </c>
      <c r="H3" t="s">
        <v>37</v>
      </c>
    </row>
    <row r="4" spans="1:8" x14ac:dyDescent="0.2">
      <c r="A4" t="s">
        <v>8</v>
      </c>
      <c r="B4">
        <v>0</v>
      </c>
      <c r="C4">
        <v>0</v>
      </c>
      <c r="D4">
        <v>1013</v>
      </c>
      <c r="E4" s="19">
        <f t="shared" ref="E4:E6" si="0">(B4+C4)*D4</f>
        <v>0</v>
      </c>
      <c r="F4" s="23">
        <v>132</v>
      </c>
      <c r="G4" s="24">
        <f t="shared" ref="G4:G11" si="1">F4*(B4+C4)</f>
        <v>0</v>
      </c>
    </row>
    <row r="5" spans="1:8" x14ac:dyDescent="0.2">
      <c r="A5" t="s">
        <v>9</v>
      </c>
      <c r="B5">
        <v>0</v>
      </c>
      <c r="C5">
        <v>0</v>
      </c>
      <c r="D5">
        <v>1532</v>
      </c>
      <c r="E5" s="19">
        <f t="shared" si="0"/>
        <v>0</v>
      </c>
      <c r="F5" s="23">
        <v>150</v>
      </c>
      <c r="G5" s="24">
        <f t="shared" si="1"/>
        <v>0</v>
      </c>
    </row>
    <row r="6" spans="1:8" x14ac:dyDescent="0.2">
      <c r="A6" t="s">
        <v>10</v>
      </c>
      <c r="B6">
        <v>70</v>
      </c>
      <c r="C6">
        <v>0</v>
      </c>
      <c r="D6">
        <v>1735</v>
      </c>
      <c r="E6" s="19">
        <f t="shared" si="0"/>
        <v>121450</v>
      </c>
      <c r="F6" s="23">
        <v>32</v>
      </c>
      <c r="G6" s="24">
        <f t="shared" si="1"/>
        <v>2240</v>
      </c>
    </row>
    <row r="7" spans="1:8" x14ac:dyDescent="0.2">
      <c r="A7" t="s">
        <v>11</v>
      </c>
      <c r="B7">
        <v>70</v>
      </c>
      <c r="D7">
        <v>50</v>
      </c>
      <c r="E7" s="19">
        <f>(B7+C7)*D7</f>
        <v>3500</v>
      </c>
      <c r="F7" s="23"/>
      <c r="G7" s="24">
        <f t="shared" si="1"/>
        <v>0</v>
      </c>
    </row>
    <row r="8" spans="1:8" x14ac:dyDescent="0.2">
      <c r="A8" t="s">
        <v>12</v>
      </c>
      <c r="B8">
        <v>70</v>
      </c>
      <c r="D8">
        <v>10</v>
      </c>
      <c r="E8" s="19">
        <f>(B8+C8)*D8</f>
        <v>700</v>
      </c>
      <c r="F8" s="23"/>
      <c r="G8" s="24">
        <f t="shared" si="1"/>
        <v>0</v>
      </c>
    </row>
    <row r="9" spans="1:8" x14ac:dyDescent="0.2">
      <c r="A9" t="s">
        <v>13</v>
      </c>
      <c r="B9">
        <v>70</v>
      </c>
      <c r="D9">
        <v>10</v>
      </c>
      <c r="E9" s="19">
        <f>(B9+C9)*D9</f>
        <v>700</v>
      </c>
      <c r="F9" s="23"/>
      <c r="G9" s="24">
        <f t="shared" si="1"/>
        <v>0</v>
      </c>
    </row>
    <row r="10" spans="1:8" x14ac:dyDescent="0.2">
      <c r="A10" t="s">
        <v>14</v>
      </c>
      <c r="B10">
        <v>70</v>
      </c>
      <c r="D10">
        <v>50</v>
      </c>
      <c r="E10" s="19">
        <f>(B10+C10)*D10</f>
        <v>3500</v>
      </c>
      <c r="F10" s="23"/>
      <c r="G10" s="24">
        <f t="shared" si="1"/>
        <v>0</v>
      </c>
    </row>
    <row r="11" spans="1:8" x14ac:dyDescent="0.2">
      <c r="A11" t="s">
        <v>15</v>
      </c>
      <c r="B11">
        <v>70</v>
      </c>
      <c r="D11">
        <v>100</v>
      </c>
      <c r="E11" s="19">
        <f>(B11+C11)*D11</f>
        <v>7000</v>
      </c>
      <c r="F11" s="23"/>
      <c r="G11" s="24">
        <f t="shared" si="1"/>
        <v>0</v>
      </c>
    </row>
    <row r="12" spans="1:8" ht="15.75" thickBot="1" x14ac:dyDescent="0.25">
      <c r="A12" s="20" t="s">
        <v>16</v>
      </c>
      <c r="B12" s="20"/>
      <c r="C12" s="20"/>
      <c r="D12" s="20"/>
      <c r="E12" s="21">
        <f>SUM(E4:E11)</f>
        <v>136850</v>
      </c>
      <c r="F12" s="23"/>
      <c r="G12" s="24">
        <f>SUM(G4:G11)</f>
        <v>2240</v>
      </c>
      <c r="H12" t="s">
        <v>99</v>
      </c>
    </row>
    <row r="13" spans="1:8" x14ac:dyDescent="0.2">
      <c r="F13" s="26" t="s">
        <v>17</v>
      </c>
      <c r="G13" s="27" t="s">
        <v>18</v>
      </c>
    </row>
    <row r="14" spans="1:8" ht="15.75" thickBot="1" x14ac:dyDescent="0.25">
      <c r="F14" s="25">
        <v>509000</v>
      </c>
      <c r="G14" s="28">
        <f>E12+G12</f>
        <v>139090</v>
      </c>
    </row>
    <row r="15" spans="1:8" ht="74.25" x14ac:dyDescent="0.2">
      <c r="A15" s="1" t="s">
        <v>19</v>
      </c>
      <c r="B15" s="58" t="s">
        <v>20</v>
      </c>
      <c r="C15" s="58"/>
      <c r="D15" s="58"/>
      <c r="E15" s="58"/>
    </row>
    <row r="16" spans="1:8" ht="103.5" x14ac:dyDescent="0.2">
      <c r="A16" s="1" t="s">
        <v>21</v>
      </c>
      <c r="B16" s="58" t="s">
        <v>22</v>
      </c>
      <c r="C16" s="58"/>
      <c r="D16" s="58"/>
      <c r="E16" s="58"/>
    </row>
    <row r="17" spans="1:5" ht="45" x14ac:dyDescent="0.2">
      <c r="A17" s="1" t="s">
        <v>23</v>
      </c>
      <c r="B17" s="58" t="s">
        <v>24</v>
      </c>
      <c r="C17" s="58"/>
      <c r="D17" s="58"/>
      <c r="E17" s="58"/>
    </row>
    <row r="18" spans="1:5" ht="59.25" x14ac:dyDescent="0.2">
      <c r="A18" s="1" t="s">
        <v>25</v>
      </c>
      <c r="B18" s="58" t="s">
        <v>26</v>
      </c>
      <c r="C18" s="58"/>
      <c r="D18" s="58"/>
      <c r="E18" s="58"/>
    </row>
    <row r="19" spans="1:5" ht="45" x14ac:dyDescent="0.2">
      <c r="A19" s="1" t="s">
        <v>27</v>
      </c>
      <c r="B19" s="58"/>
      <c r="C19" s="58"/>
      <c r="D19" s="58"/>
      <c r="E19" s="58"/>
    </row>
  </sheetData>
  <mergeCells count="5">
    <mergeCell ref="B15:E15"/>
    <mergeCell ref="B16:E16"/>
    <mergeCell ref="B18:E18"/>
    <mergeCell ref="B17:E17"/>
    <mergeCell ref="B19:E19"/>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904D2-F777-BA43-AF09-94B149220193}">
  <dimension ref="A1:G14"/>
  <sheetViews>
    <sheetView workbookViewId="0">
      <selection activeCell="E18" sqref="E18"/>
    </sheetView>
  </sheetViews>
  <sheetFormatPr defaultColWidth="10.76171875" defaultRowHeight="15" x14ac:dyDescent="0.2"/>
  <sheetData>
    <row r="1" spans="1:7" ht="23.25" x14ac:dyDescent="0.3">
      <c r="A1" s="50" t="s">
        <v>0</v>
      </c>
      <c r="B1" s="39"/>
      <c r="C1" s="39"/>
      <c r="D1" s="39"/>
      <c r="E1" s="47"/>
      <c r="F1" s="39"/>
      <c r="G1" s="47"/>
    </row>
    <row r="2" spans="1:7" x14ac:dyDescent="0.2">
      <c r="A2" s="39"/>
      <c r="B2" s="39"/>
      <c r="C2" s="39"/>
      <c r="D2" s="39"/>
      <c r="E2" s="47"/>
      <c r="F2" s="39"/>
      <c r="G2" s="47"/>
    </row>
    <row r="3" spans="1:7" x14ac:dyDescent="0.2">
      <c r="A3" s="29" t="s">
        <v>1</v>
      </c>
      <c r="B3" s="30" t="s">
        <v>2</v>
      </c>
      <c r="C3" s="30" t="s">
        <v>3</v>
      </c>
      <c r="D3" s="30" t="s">
        <v>4</v>
      </c>
      <c r="E3" s="31" t="s">
        <v>5</v>
      </c>
      <c r="F3" s="32" t="s">
        <v>6</v>
      </c>
      <c r="G3" s="33" t="s">
        <v>7</v>
      </c>
    </row>
    <row r="4" spans="1:7" x14ac:dyDescent="0.2">
      <c r="A4" s="34" t="s">
        <v>8</v>
      </c>
      <c r="B4" s="35">
        <v>200</v>
      </c>
      <c r="C4" s="35">
        <v>20</v>
      </c>
      <c r="D4" s="35">
        <v>1013</v>
      </c>
      <c r="E4" s="36">
        <v>222860</v>
      </c>
      <c r="F4" s="37">
        <v>132</v>
      </c>
      <c r="G4" s="38">
        <v>29040</v>
      </c>
    </row>
    <row r="5" spans="1:7" x14ac:dyDescent="0.2">
      <c r="A5" s="34" t="s">
        <v>9</v>
      </c>
      <c r="B5" s="35">
        <v>30</v>
      </c>
      <c r="C5" s="35">
        <v>3</v>
      </c>
      <c r="D5" s="35">
        <v>1532</v>
      </c>
      <c r="E5" s="36">
        <v>50556</v>
      </c>
      <c r="F5" s="37">
        <v>150</v>
      </c>
      <c r="G5" s="38">
        <v>4950</v>
      </c>
    </row>
    <row r="6" spans="1:7" x14ac:dyDescent="0.2">
      <c r="A6" s="34" t="s">
        <v>10</v>
      </c>
      <c r="B6" s="35">
        <v>70</v>
      </c>
      <c r="C6" s="35">
        <v>7</v>
      </c>
      <c r="D6" s="35">
        <v>1735</v>
      </c>
      <c r="E6" s="36">
        <v>133595</v>
      </c>
      <c r="F6" s="37">
        <v>32</v>
      </c>
      <c r="G6" s="38">
        <v>2464</v>
      </c>
    </row>
    <row r="7" spans="1:7" x14ac:dyDescent="0.2">
      <c r="A7" s="34" t="s">
        <v>11</v>
      </c>
      <c r="B7" s="35">
        <v>300</v>
      </c>
      <c r="C7" s="35"/>
      <c r="D7" s="35">
        <v>50</v>
      </c>
      <c r="E7" s="36">
        <v>15000</v>
      </c>
      <c r="F7" s="37"/>
      <c r="G7" s="38">
        <v>0</v>
      </c>
    </row>
    <row r="8" spans="1:7" x14ac:dyDescent="0.2">
      <c r="A8" s="34" t="s">
        <v>12</v>
      </c>
      <c r="B8" s="35">
        <v>300</v>
      </c>
      <c r="C8" s="35"/>
      <c r="D8" s="35">
        <v>10</v>
      </c>
      <c r="E8" s="36">
        <v>3000</v>
      </c>
      <c r="F8" s="37"/>
      <c r="G8" s="38">
        <v>0</v>
      </c>
    </row>
    <row r="9" spans="1:7" x14ac:dyDescent="0.2">
      <c r="A9" s="34" t="s">
        <v>13</v>
      </c>
      <c r="B9" s="35">
        <v>300</v>
      </c>
      <c r="C9" s="35"/>
      <c r="D9" s="35">
        <v>10</v>
      </c>
      <c r="E9" s="36">
        <v>3000</v>
      </c>
      <c r="F9" s="37"/>
      <c r="G9" s="38">
        <v>0</v>
      </c>
    </row>
    <row r="10" spans="1:7" x14ac:dyDescent="0.2">
      <c r="A10" s="34" t="s">
        <v>14</v>
      </c>
      <c r="B10" s="35">
        <v>300</v>
      </c>
      <c r="C10" s="35"/>
      <c r="D10" s="35">
        <v>50</v>
      </c>
      <c r="E10" s="36">
        <v>15000</v>
      </c>
      <c r="F10" s="37"/>
      <c r="G10" s="38">
        <v>0</v>
      </c>
    </row>
    <row r="11" spans="1:7" x14ac:dyDescent="0.2">
      <c r="A11" s="34" t="s">
        <v>15</v>
      </c>
      <c r="B11" s="35">
        <v>300</v>
      </c>
      <c r="C11" s="35"/>
      <c r="D11" s="35">
        <v>100</v>
      </c>
      <c r="E11" s="36">
        <v>30000</v>
      </c>
      <c r="F11" s="37"/>
      <c r="G11" s="38">
        <v>0</v>
      </c>
    </row>
    <row r="12" spans="1:7" ht="15.75" thickBot="1" x14ac:dyDescent="0.25">
      <c r="A12" s="40" t="s">
        <v>16</v>
      </c>
      <c r="B12" s="40"/>
      <c r="C12" s="40"/>
      <c r="D12" s="40"/>
      <c r="E12" s="41">
        <v>473011</v>
      </c>
      <c r="F12" s="37"/>
      <c r="G12" s="38">
        <v>36454</v>
      </c>
    </row>
    <row r="13" spans="1:7" x14ac:dyDescent="0.2">
      <c r="A13" s="42"/>
      <c r="B13" s="43"/>
      <c r="C13" s="43"/>
      <c r="D13" s="43"/>
      <c r="E13" s="44"/>
      <c r="F13" s="45" t="s">
        <v>17</v>
      </c>
      <c r="G13" s="46" t="s">
        <v>18</v>
      </c>
    </row>
    <row r="14" spans="1:7" ht="15.75" thickBot="1" x14ac:dyDescent="0.25">
      <c r="A14" s="39"/>
      <c r="B14" s="39"/>
      <c r="C14" s="39"/>
      <c r="D14" s="39"/>
      <c r="E14" s="47"/>
      <c r="F14" s="48">
        <v>509000</v>
      </c>
      <c r="G14" s="49">
        <v>510246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1"/>
  <sheetViews>
    <sheetView topLeftCell="C15" workbookViewId="0">
      <selection activeCell="F27" sqref="F27"/>
    </sheetView>
  </sheetViews>
  <sheetFormatPr defaultColWidth="8.875" defaultRowHeight="15" x14ac:dyDescent="0.2"/>
  <cols>
    <col min="1" max="1" width="28.515625" customWidth="1"/>
    <col min="2" max="2" width="19.37109375" customWidth="1"/>
    <col min="3" max="3" width="65.375" customWidth="1"/>
    <col min="4" max="4" width="16.94921875" customWidth="1"/>
    <col min="5" max="5" width="20.3125" customWidth="1"/>
    <col min="6" max="6" width="21.1171875" customWidth="1"/>
    <col min="7" max="7" width="63.76171875" customWidth="1"/>
  </cols>
  <sheetData>
    <row r="1" spans="1:7" ht="23.25" x14ac:dyDescent="0.3">
      <c r="C1" s="3" t="s">
        <v>28</v>
      </c>
    </row>
    <row r="2" spans="1:7" ht="45" x14ac:dyDescent="0.2">
      <c r="C2" s="1" t="s">
        <v>29</v>
      </c>
    </row>
    <row r="3" spans="1:7" ht="30" x14ac:dyDescent="0.2">
      <c r="C3" s="1" t="s">
        <v>30</v>
      </c>
    </row>
    <row r="4" spans="1:7" ht="59.25" x14ac:dyDescent="0.2">
      <c r="C4" s="2" t="s">
        <v>31</v>
      </c>
    </row>
    <row r="5" spans="1:7" ht="15.75" x14ac:dyDescent="0.2">
      <c r="C5" s="1" t="s">
        <v>32</v>
      </c>
    </row>
    <row r="6" spans="1:7" ht="15.75" x14ac:dyDescent="0.2">
      <c r="C6" s="2" t="s">
        <v>33</v>
      </c>
    </row>
    <row r="7" spans="1:7" ht="45" x14ac:dyDescent="0.2">
      <c r="C7" s="1" t="s">
        <v>19</v>
      </c>
    </row>
    <row r="8" spans="1:7" ht="59.25" x14ac:dyDescent="0.2">
      <c r="C8" s="1" t="s">
        <v>21</v>
      </c>
    </row>
    <row r="9" spans="1:7" ht="30" x14ac:dyDescent="0.2">
      <c r="C9" s="1" t="s">
        <v>23</v>
      </c>
    </row>
    <row r="10" spans="1:7" ht="30" x14ac:dyDescent="0.2">
      <c r="C10" s="1" t="s">
        <v>25</v>
      </c>
    </row>
    <row r="11" spans="1:7" ht="30" x14ac:dyDescent="0.2">
      <c r="C11" s="1" t="s">
        <v>27</v>
      </c>
    </row>
    <row r="12" spans="1:7" ht="45" x14ac:dyDescent="0.2">
      <c r="C12" s="1" t="s">
        <v>34</v>
      </c>
    </row>
    <row r="15" spans="1:7" ht="26.25" x14ac:dyDescent="0.2">
      <c r="A15" s="11" t="s">
        <v>35</v>
      </c>
      <c r="B15" s="11" t="s">
        <v>36</v>
      </c>
      <c r="C15" s="11" t="s">
        <v>37</v>
      </c>
      <c r="D15" s="11" t="s">
        <v>38</v>
      </c>
      <c r="E15" s="11" t="s">
        <v>39</v>
      </c>
      <c r="F15" s="12" t="s">
        <v>40</v>
      </c>
      <c r="G15" s="12" t="s">
        <v>41</v>
      </c>
    </row>
    <row r="16" spans="1:7" x14ac:dyDescent="0.2">
      <c r="A16" s="8" t="s">
        <v>42</v>
      </c>
      <c r="B16" s="4" t="s">
        <v>43</v>
      </c>
      <c r="C16" s="4" t="s">
        <v>44</v>
      </c>
      <c r="D16" s="4"/>
      <c r="E16" s="4">
        <v>40</v>
      </c>
      <c r="F16" s="9"/>
      <c r="G16" s="9" t="s">
        <v>32</v>
      </c>
    </row>
    <row r="17" spans="1:7" x14ac:dyDescent="0.2">
      <c r="A17" s="8" t="s">
        <v>45</v>
      </c>
      <c r="B17" s="4" t="s">
        <v>46</v>
      </c>
      <c r="C17" s="4" t="s">
        <v>47</v>
      </c>
      <c r="D17" s="4"/>
      <c r="E17" s="4">
        <v>40</v>
      </c>
      <c r="F17" s="9"/>
      <c r="G17" s="9" t="s">
        <v>32</v>
      </c>
    </row>
    <row r="18" spans="1:7" x14ac:dyDescent="0.2">
      <c r="A18" s="8" t="s">
        <v>48</v>
      </c>
      <c r="B18" s="4" t="s">
        <v>49</v>
      </c>
      <c r="C18" s="4" t="s">
        <v>50</v>
      </c>
      <c r="D18" s="4"/>
      <c r="E18" s="4">
        <v>59</v>
      </c>
      <c r="F18" s="9"/>
      <c r="G18" s="9" t="s">
        <v>32</v>
      </c>
    </row>
    <row r="19" spans="1:7" x14ac:dyDescent="0.2">
      <c r="A19" s="8" t="s">
        <v>51</v>
      </c>
      <c r="B19" s="4" t="s">
        <v>32</v>
      </c>
      <c r="C19" s="4" t="s">
        <v>52</v>
      </c>
      <c r="D19" s="4"/>
      <c r="E19" s="4">
        <v>200</v>
      </c>
      <c r="F19" s="9"/>
      <c r="G19" s="9" t="s">
        <v>32</v>
      </c>
    </row>
    <row r="20" spans="1:7" ht="59.25" x14ac:dyDescent="0.2">
      <c r="A20" s="8" t="s">
        <v>53</v>
      </c>
      <c r="B20" s="5" t="s">
        <v>54</v>
      </c>
      <c r="C20" s="7" t="s">
        <v>55</v>
      </c>
      <c r="D20" s="4">
        <v>670</v>
      </c>
      <c r="G20" s="9"/>
    </row>
    <row r="21" spans="1:7" ht="59.25" x14ac:dyDescent="0.2">
      <c r="A21" s="8" t="s">
        <v>56</v>
      </c>
      <c r="B21" s="5" t="s">
        <v>57</v>
      </c>
      <c r="C21" s="4" t="s">
        <v>58</v>
      </c>
      <c r="D21" s="4"/>
      <c r="E21" s="4">
        <v>850</v>
      </c>
      <c r="F21" s="9"/>
      <c r="G21" s="9" t="s">
        <v>32</v>
      </c>
    </row>
    <row r="22" spans="1:7" ht="36" x14ac:dyDescent="0.2">
      <c r="A22" s="8" t="s">
        <v>59</v>
      </c>
      <c r="B22" s="5" t="s">
        <v>60</v>
      </c>
      <c r="D22" s="4">
        <v>100</v>
      </c>
      <c r="E22" s="4">
        <v>100</v>
      </c>
      <c r="F22" s="4">
        <v>100</v>
      </c>
      <c r="G22" s="9" t="s">
        <v>32</v>
      </c>
    </row>
    <row r="23" spans="1:7" ht="24.75" x14ac:dyDescent="0.2">
      <c r="A23" s="8" t="s">
        <v>61</v>
      </c>
      <c r="B23" s="4" t="s">
        <v>62</v>
      </c>
      <c r="D23" s="4">
        <v>39</v>
      </c>
      <c r="E23" s="4">
        <v>39</v>
      </c>
      <c r="F23" s="4">
        <v>39</v>
      </c>
      <c r="G23" s="9" t="s">
        <v>32</v>
      </c>
    </row>
    <row r="24" spans="1:7" x14ac:dyDescent="0.2">
      <c r="A24" s="8" t="s">
        <v>63</v>
      </c>
      <c r="B24" s="4" t="s">
        <v>64</v>
      </c>
      <c r="D24" s="4">
        <v>19</v>
      </c>
      <c r="E24" s="4">
        <v>19</v>
      </c>
      <c r="F24" s="4">
        <v>19</v>
      </c>
      <c r="G24" s="9" t="s">
        <v>32</v>
      </c>
    </row>
    <row r="25" spans="1:7" ht="24.75" x14ac:dyDescent="0.2">
      <c r="A25" s="8" t="s">
        <v>65</v>
      </c>
      <c r="B25" s="5" t="s">
        <v>66</v>
      </c>
      <c r="D25" s="4">
        <v>60</v>
      </c>
      <c r="E25" s="4">
        <v>60</v>
      </c>
      <c r="F25" s="4">
        <v>60</v>
      </c>
      <c r="G25" s="9" t="s">
        <v>32</v>
      </c>
    </row>
    <row r="26" spans="1:7" x14ac:dyDescent="0.2">
      <c r="A26" s="8" t="s">
        <v>67</v>
      </c>
      <c r="B26" s="6" t="s">
        <v>68</v>
      </c>
      <c r="D26" s="6">
        <v>125</v>
      </c>
      <c r="E26" s="6">
        <v>125</v>
      </c>
      <c r="F26" s="6">
        <v>125</v>
      </c>
      <c r="G26" s="10" t="s">
        <v>32</v>
      </c>
    </row>
    <row r="27" spans="1:7" x14ac:dyDescent="0.2">
      <c r="A27" s="8" t="s">
        <v>69</v>
      </c>
      <c r="B27" s="14"/>
      <c r="C27" t="s">
        <v>70</v>
      </c>
      <c r="D27" s="4"/>
      <c r="E27" s="4"/>
      <c r="F27" s="9">
        <v>1243.33</v>
      </c>
      <c r="G27" s="9"/>
    </row>
    <row r="28" spans="1:7" x14ac:dyDescent="0.2">
      <c r="A28" s="8" t="s">
        <v>71</v>
      </c>
      <c r="B28" s="14"/>
      <c r="D28" s="4"/>
      <c r="E28" s="4"/>
      <c r="F28" s="9">
        <v>150</v>
      </c>
      <c r="G28" s="9"/>
    </row>
    <row r="29" spans="1:7" ht="26.25" x14ac:dyDescent="0.2">
      <c r="A29" s="8" t="s">
        <v>72</v>
      </c>
      <c r="B29" s="14"/>
      <c r="D29" s="4"/>
      <c r="E29" s="4"/>
      <c r="F29" s="9"/>
      <c r="G29" s="9"/>
    </row>
    <row r="30" spans="1:7" x14ac:dyDescent="0.2">
      <c r="A30" s="8" t="s">
        <v>73</v>
      </c>
      <c r="B30" s="14"/>
      <c r="D30" s="4"/>
      <c r="E30" s="4"/>
      <c r="F30" s="9"/>
      <c r="G30" s="9"/>
    </row>
    <row r="31" spans="1:7" x14ac:dyDescent="0.2">
      <c r="A31" s="13" t="s">
        <v>32</v>
      </c>
      <c r="B31" s="14" t="s">
        <v>74</v>
      </c>
      <c r="C31" s="14"/>
      <c r="D31" s="14">
        <f>SUM(D16:D30)</f>
        <v>1013</v>
      </c>
      <c r="E31" s="14">
        <f>SUM(E16:E30)</f>
        <v>1532</v>
      </c>
      <c r="F31" s="15">
        <f>SUM(F22:F30)</f>
        <v>1736.33</v>
      </c>
      <c r="G31" s="15" t="s">
        <v>32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5E084-298A-465E-84DA-8AD007F7CB39}">
  <dimension ref="A1:J53"/>
  <sheetViews>
    <sheetView topLeftCell="A25" workbookViewId="0">
      <selection activeCell="A33" sqref="A33:G38"/>
    </sheetView>
  </sheetViews>
  <sheetFormatPr defaultColWidth="8.875" defaultRowHeight="15" x14ac:dyDescent="0.2"/>
  <cols>
    <col min="1" max="1" width="34.4375" customWidth="1"/>
    <col min="2" max="2" width="21.1171875" customWidth="1"/>
    <col min="3" max="3" width="20.04296875" customWidth="1"/>
    <col min="4" max="4" width="23.13671875" bestFit="1" customWidth="1"/>
    <col min="5" max="5" width="21.7890625" bestFit="1" customWidth="1"/>
    <col min="6" max="6" width="21.38671875" bestFit="1" customWidth="1"/>
    <col min="7" max="7" width="7.80078125" bestFit="1" customWidth="1"/>
    <col min="8" max="8" width="13.71875" bestFit="1" customWidth="1"/>
    <col min="9" max="11" width="5.109375" bestFit="1" customWidth="1"/>
    <col min="12" max="12" width="13.71875" bestFit="1" customWidth="1"/>
    <col min="13" max="13" width="23.13671875" bestFit="1" customWidth="1"/>
  </cols>
  <sheetData>
    <row r="1" spans="1:10" ht="41.25" x14ac:dyDescent="0.2">
      <c r="A1" t="s">
        <v>75</v>
      </c>
      <c r="B1" t="s">
        <v>76</v>
      </c>
      <c r="C1" t="s">
        <v>77</v>
      </c>
      <c r="D1" s="16" t="s">
        <v>78</v>
      </c>
      <c r="E1" t="s">
        <v>79</v>
      </c>
      <c r="F1" t="s">
        <v>80</v>
      </c>
      <c r="G1" t="s">
        <v>81</v>
      </c>
      <c r="H1" s="16" t="s">
        <v>82</v>
      </c>
      <c r="J1" t="s">
        <v>83</v>
      </c>
    </row>
    <row r="2" spans="1:10" x14ac:dyDescent="0.2">
      <c r="A2" t="s">
        <v>84</v>
      </c>
      <c r="B2">
        <v>9</v>
      </c>
      <c r="C2">
        <v>0</v>
      </c>
      <c r="E2">
        <f>(B2+C2)*D2</f>
        <v>0</v>
      </c>
      <c r="H2">
        <f t="shared" ref="H2:H11" si="0">G2*0.25</f>
        <v>0</v>
      </c>
      <c r="J2" t="s">
        <v>85</v>
      </c>
    </row>
    <row r="3" spans="1:10" x14ac:dyDescent="0.2">
      <c r="A3" t="s">
        <v>86</v>
      </c>
      <c r="B3">
        <v>12</v>
      </c>
      <c r="C3">
        <v>0</v>
      </c>
      <c r="D3">
        <v>2</v>
      </c>
      <c r="E3">
        <f>(B3+C3)*D3</f>
        <v>24</v>
      </c>
      <c r="H3">
        <f t="shared" si="0"/>
        <v>0</v>
      </c>
    </row>
    <row r="4" spans="1:10" x14ac:dyDescent="0.2">
      <c r="A4" t="s">
        <v>87</v>
      </c>
      <c r="B4">
        <v>10</v>
      </c>
      <c r="C4">
        <v>0</v>
      </c>
      <c r="D4">
        <v>16</v>
      </c>
      <c r="E4">
        <f>(B4+C4)*D4</f>
        <v>160</v>
      </c>
      <c r="H4">
        <f t="shared" si="0"/>
        <v>0</v>
      </c>
    </row>
    <row r="5" spans="1:10" x14ac:dyDescent="0.2">
      <c r="A5" t="s">
        <v>88</v>
      </c>
      <c r="B5">
        <v>42</v>
      </c>
      <c r="C5">
        <v>34</v>
      </c>
      <c r="D5">
        <v>6</v>
      </c>
      <c r="E5">
        <f>(B5+C5)*D5</f>
        <v>456</v>
      </c>
      <c r="F5">
        <f>((E3+E4+E5)*250)/1000</f>
        <v>160</v>
      </c>
      <c r="G5">
        <f>(8760/1000)*(0.55*B2+0.05*B4+0.4*B3)</f>
        <v>89.789999999999992</v>
      </c>
      <c r="H5">
        <f t="shared" si="0"/>
        <v>22.447499999999998</v>
      </c>
    </row>
    <row r="6" spans="1:10" x14ac:dyDescent="0.2">
      <c r="A6" t="s">
        <v>89</v>
      </c>
      <c r="B6">
        <v>1</v>
      </c>
      <c r="D6">
        <v>16</v>
      </c>
      <c r="E6">
        <f>(B6+B9)*D6</f>
        <v>17.600000000000001</v>
      </c>
      <c r="H6">
        <f t="shared" si="0"/>
        <v>0</v>
      </c>
    </row>
    <row r="7" spans="1:10" x14ac:dyDescent="0.2">
      <c r="A7" t="s">
        <v>90</v>
      </c>
      <c r="B7">
        <v>31.55</v>
      </c>
      <c r="D7">
        <v>6</v>
      </c>
      <c r="E7">
        <f>(B7+B10)*D7</f>
        <v>309.29999999999995</v>
      </c>
      <c r="H7">
        <f t="shared" si="0"/>
        <v>0</v>
      </c>
    </row>
    <row r="8" spans="1:10" x14ac:dyDescent="0.2">
      <c r="A8" t="s">
        <v>91</v>
      </c>
      <c r="B8">
        <v>2.8</v>
      </c>
      <c r="D8">
        <v>2</v>
      </c>
      <c r="E8">
        <f>(B8+B11)*D8</f>
        <v>6</v>
      </c>
      <c r="F8" s="17">
        <f>((E6+E7+E8)*250)/1000</f>
        <v>83.224999999999994</v>
      </c>
      <c r="G8" s="17">
        <f>(8760/1000)*(0.55*B8+0.05*B6+0.4*B7)</f>
        <v>124.4796</v>
      </c>
      <c r="H8">
        <f t="shared" si="0"/>
        <v>31.119900000000001</v>
      </c>
    </row>
    <row r="9" spans="1:10" x14ac:dyDescent="0.2">
      <c r="A9" t="s">
        <v>92</v>
      </c>
      <c r="B9">
        <v>0.1</v>
      </c>
      <c r="D9">
        <v>16</v>
      </c>
      <c r="E9">
        <f>(B9+B15)*D9</f>
        <v>1.6</v>
      </c>
      <c r="H9">
        <f t="shared" si="0"/>
        <v>0</v>
      </c>
    </row>
    <row r="10" spans="1:10" x14ac:dyDescent="0.2">
      <c r="A10" t="s">
        <v>93</v>
      </c>
      <c r="B10">
        <v>20</v>
      </c>
      <c r="D10">
        <v>6</v>
      </c>
      <c r="E10">
        <f>(B10+B16)*D10</f>
        <v>120</v>
      </c>
      <c r="H10">
        <f t="shared" si="0"/>
        <v>0</v>
      </c>
    </row>
    <row r="11" spans="1:10" x14ac:dyDescent="0.2">
      <c r="A11" t="s">
        <v>94</v>
      </c>
      <c r="B11">
        <v>0.2</v>
      </c>
      <c r="D11">
        <v>2</v>
      </c>
      <c r="E11">
        <f>(B11+B17)*D11</f>
        <v>0.4</v>
      </c>
      <c r="F11">
        <f>((E9+E10+E11)*250)/1000</f>
        <v>30.5</v>
      </c>
      <c r="G11">
        <f>(8760/1000)*(0.55*B11+0.05*B9+0.4*B10)</f>
        <v>71.087400000000002</v>
      </c>
      <c r="H11">
        <f t="shared" si="0"/>
        <v>17.771850000000001</v>
      </c>
    </row>
    <row r="12" spans="1:10" x14ac:dyDescent="0.2">
      <c r="A12" t="s">
        <v>95</v>
      </c>
      <c r="E12" s="18" t="e">
        <f>#REF!*D12+#REF!*D12</f>
        <v>#REF!</v>
      </c>
      <c r="H12" s="18">
        <f>G12*0.25</f>
        <v>0</v>
      </c>
    </row>
    <row r="13" spans="1:10" x14ac:dyDescent="0.2">
      <c r="A13" t="s">
        <v>96</v>
      </c>
      <c r="E13" s="18" t="e">
        <f>#REF!*D13+#REF!*D13</f>
        <v>#REF!</v>
      </c>
      <c r="H13" s="18">
        <f t="shared" ref="H13:H14" si="1">G13*0.25</f>
        <v>0</v>
      </c>
    </row>
    <row r="14" spans="1:10" x14ac:dyDescent="0.2">
      <c r="A14" t="s">
        <v>97</v>
      </c>
      <c r="E14" s="18" t="e">
        <f>#REF!*D14+#REF!*D14</f>
        <v>#REF!</v>
      </c>
      <c r="H14" s="18">
        <f t="shared" si="1"/>
        <v>0</v>
      </c>
    </row>
    <row r="15" spans="1:10" x14ac:dyDescent="0.2">
      <c r="A15" t="s">
        <v>98</v>
      </c>
      <c r="E15" s="18" t="e">
        <f>#REF!*D15+#REF!*D15</f>
        <v>#REF!</v>
      </c>
      <c r="H15" s="18">
        <f t="shared" ref="H15:H17" si="2">G15*0.25</f>
        <v>0</v>
      </c>
    </row>
    <row r="16" spans="1:10" x14ac:dyDescent="0.2">
      <c r="A16" t="s">
        <v>96</v>
      </c>
      <c r="E16" s="18" t="e">
        <f>#REF!*D16+#REF!*D16</f>
        <v>#REF!</v>
      </c>
      <c r="H16" s="18">
        <f t="shared" si="2"/>
        <v>0</v>
      </c>
    </row>
    <row r="17" spans="1:8" x14ac:dyDescent="0.2">
      <c r="A17" t="s">
        <v>97</v>
      </c>
      <c r="E17" s="18" t="e">
        <f>#REF!*D17+#REF!*D17</f>
        <v>#REF!</v>
      </c>
      <c r="H17" s="18">
        <f t="shared" si="2"/>
        <v>0</v>
      </c>
    </row>
    <row r="18" spans="1:8" x14ac:dyDescent="0.2">
      <c r="A18" t="s">
        <v>98</v>
      </c>
      <c r="B18">
        <v>0.28000000000000003</v>
      </c>
      <c r="E18" s="18" t="e">
        <f>#REF!*D18+#REF!*D18</f>
        <v>#REF!</v>
      </c>
      <c r="H18" s="18">
        <f t="shared" ref="H18:H20" si="3">G18*0.25</f>
        <v>0</v>
      </c>
    </row>
    <row r="19" spans="1:8" x14ac:dyDescent="0.2">
      <c r="A19" t="s">
        <v>96</v>
      </c>
      <c r="B19">
        <v>5.22</v>
      </c>
      <c r="E19" s="18" t="e">
        <f>#REF!*D19+#REF!*D19</f>
        <v>#REF!</v>
      </c>
      <c r="H19" s="18">
        <f t="shared" si="3"/>
        <v>0</v>
      </c>
    </row>
    <row r="20" spans="1:8" x14ac:dyDescent="0.2">
      <c r="A20" t="s">
        <v>97</v>
      </c>
      <c r="B20">
        <v>0.43</v>
      </c>
      <c r="E20" s="18" t="e">
        <f>#REF!*D20+#REF!*D20</f>
        <v>#REF!</v>
      </c>
      <c r="G20" s="22">
        <f>(8760/1000)*(0.55*B20+0.05*B18+0.4*B19)</f>
        <v>20.48526</v>
      </c>
      <c r="H20" s="18">
        <f t="shared" si="3"/>
        <v>5.1213150000000001</v>
      </c>
    </row>
    <row r="33" spans="1:8" x14ac:dyDescent="0.2">
      <c r="A33" t="s">
        <v>100</v>
      </c>
      <c r="B33" t="s">
        <v>104</v>
      </c>
      <c r="C33" t="s">
        <v>105</v>
      </c>
      <c r="D33" t="s">
        <v>108</v>
      </c>
      <c r="E33" t="s">
        <v>106</v>
      </c>
      <c r="F33" t="s">
        <v>109</v>
      </c>
      <c r="G33" t="s">
        <v>107</v>
      </c>
    </row>
    <row r="34" spans="1:8" x14ac:dyDescent="0.2">
      <c r="A34" t="s">
        <v>101</v>
      </c>
      <c r="B34" s="19">
        <v>22</v>
      </c>
      <c r="C34" s="19">
        <f>Tabelle4[[#This Row],[Jähliche Energiekosten]]*6</f>
        <v>132</v>
      </c>
      <c r="D34" s="53">
        <v>200</v>
      </c>
      <c r="E34" s="19">
        <f>Tabelle4[[#This Row],[auf 6 Jahre gerechnet]]*Tabelle4[[#This Row],[Anzahl Option A]]</f>
        <v>26400</v>
      </c>
      <c r="F34" s="53">
        <v>0</v>
      </c>
      <c r="G34" s="19">
        <f>Tabelle4[[#This Row],[auf 6 Jahre gerechnet]]*Tabelle4[[#This Row],[Anzahl Option B]]</f>
        <v>0</v>
      </c>
    </row>
    <row r="35" spans="1:8" x14ac:dyDescent="0.2">
      <c r="A35" t="s">
        <v>102</v>
      </c>
      <c r="B35" s="19">
        <v>25</v>
      </c>
      <c r="C35" s="19">
        <f>Tabelle4[[#This Row],[Jähliche Energiekosten]]*6</f>
        <v>150</v>
      </c>
      <c r="D35" s="53">
        <v>30</v>
      </c>
      <c r="E35" s="19">
        <f>Tabelle4[[#This Row],[auf 6 Jahre gerechnet]]*Tabelle4[[#This Row],[Anzahl Option A]]</f>
        <v>4500</v>
      </c>
      <c r="F35" s="53">
        <v>30</v>
      </c>
      <c r="G35" s="19">
        <f>Tabelle4[[#This Row],[auf 6 Jahre gerechnet]]*Tabelle4[[#This Row],[Anzahl Option B]]</f>
        <v>4500</v>
      </c>
    </row>
    <row r="36" spans="1:8" x14ac:dyDescent="0.2">
      <c r="A36" t="s">
        <v>103</v>
      </c>
      <c r="B36" s="19">
        <v>5</v>
      </c>
      <c r="C36" s="19">
        <f>Tabelle4[[#This Row],[Jähliche Energiekosten]]*6</f>
        <v>30</v>
      </c>
      <c r="D36" s="53">
        <v>70</v>
      </c>
      <c r="E36" s="19">
        <f>Tabelle4[[#This Row],[auf 6 Jahre gerechnet]]*Tabelle4[[#This Row],[Anzahl Option A]]</f>
        <v>2100</v>
      </c>
      <c r="F36" s="53">
        <v>200</v>
      </c>
      <c r="G36" s="19">
        <f>Tabelle4[[#This Row],[auf 6 Jahre gerechnet]]*Tabelle4[[#This Row],[Anzahl Option B]]</f>
        <v>6000</v>
      </c>
    </row>
    <row r="38" spans="1:8" x14ac:dyDescent="0.2">
      <c r="D38" t="s">
        <v>110</v>
      </c>
      <c r="E38" s="19">
        <f>SUM(Tabelle4[Kosten Option A])</f>
        <v>33000</v>
      </c>
      <c r="G38" s="19">
        <f>SUM(Tabelle4[Kosten Option B])</f>
        <v>10500</v>
      </c>
    </row>
    <row r="41" spans="1:8" x14ac:dyDescent="0.2">
      <c r="A41" t="s">
        <v>100</v>
      </c>
      <c r="B41" t="s">
        <v>113</v>
      </c>
      <c r="C41" t="s">
        <v>116</v>
      </c>
      <c r="E41" s="54" t="s">
        <v>118</v>
      </c>
      <c r="F41" s="54" t="s">
        <v>117</v>
      </c>
    </row>
    <row r="42" spans="1:8" x14ac:dyDescent="0.2">
      <c r="A42" s="51" t="s">
        <v>115</v>
      </c>
      <c r="B42">
        <v>2020</v>
      </c>
      <c r="C42">
        <v>5500</v>
      </c>
      <c r="E42" s="54" t="s">
        <v>111</v>
      </c>
      <c r="F42" t="s">
        <v>115</v>
      </c>
      <c r="G42" t="s">
        <v>114</v>
      </c>
      <c r="H42" t="s">
        <v>112</v>
      </c>
    </row>
    <row r="43" spans="1:8" x14ac:dyDescent="0.2">
      <c r="A43" s="52" t="s">
        <v>114</v>
      </c>
      <c r="B43">
        <v>2020</v>
      </c>
      <c r="C43">
        <v>1750</v>
      </c>
      <c r="E43" s="55">
        <v>2020</v>
      </c>
      <c r="F43" s="18">
        <v>5500</v>
      </c>
      <c r="G43" s="18">
        <v>1750</v>
      </c>
      <c r="H43" s="18">
        <v>7250</v>
      </c>
    </row>
    <row r="44" spans="1:8" x14ac:dyDescent="0.2">
      <c r="A44" s="51" t="s">
        <v>115</v>
      </c>
      <c r="B44">
        <v>2021</v>
      </c>
      <c r="C44">
        <v>11000</v>
      </c>
      <c r="E44" s="55">
        <v>2021</v>
      </c>
      <c r="F44" s="18">
        <v>11000</v>
      </c>
      <c r="G44" s="18">
        <v>3500</v>
      </c>
      <c r="H44" s="18">
        <v>14500</v>
      </c>
    </row>
    <row r="45" spans="1:8" x14ac:dyDescent="0.2">
      <c r="A45" s="52" t="s">
        <v>114</v>
      </c>
      <c r="B45">
        <v>2021</v>
      </c>
      <c r="C45">
        <f>2*1750</f>
        <v>3500</v>
      </c>
      <c r="E45" s="55">
        <v>2022</v>
      </c>
      <c r="F45" s="18">
        <v>16500</v>
      </c>
      <c r="G45" s="18">
        <v>5250</v>
      </c>
      <c r="H45" s="18">
        <v>21750</v>
      </c>
    </row>
    <row r="46" spans="1:8" x14ac:dyDescent="0.2">
      <c r="A46" s="51" t="s">
        <v>115</v>
      </c>
      <c r="B46">
        <v>2022</v>
      </c>
      <c r="C46">
        <f>11000+5500</f>
        <v>16500</v>
      </c>
      <c r="E46" s="55">
        <v>2023</v>
      </c>
      <c r="F46" s="18">
        <v>22000</v>
      </c>
      <c r="G46" s="18">
        <v>7000</v>
      </c>
      <c r="H46" s="18">
        <v>29000</v>
      </c>
    </row>
    <row r="47" spans="1:8" x14ac:dyDescent="0.2">
      <c r="A47" s="52" t="s">
        <v>114</v>
      </c>
      <c r="B47">
        <v>2022</v>
      </c>
      <c r="C47">
        <f>3*1750</f>
        <v>5250</v>
      </c>
      <c r="E47" s="55">
        <v>2024</v>
      </c>
      <c r="F47" s="18">
        <v>27500</v>
      </c>
      <c r="G47" s="18">
        <v>8750</v>
      </c>
      <c r="H47" s="18">
        <v>36250</v>
      </c>
    </row>
    <row r="48" spans="1:8" x14ac:dyDescent="0.2">
      <c r="A48" s="51" t="s">
        <v>115</v>
      </c>
      <c r="B48">
        <v>2023</v>
      </c>
      <c r="C48">
        <f>5500+16500</f>
        <v>22000</v>
      </c>
      <c r="E48" s="55">
        <v>2025</v>
      </c>
      <c r="F48" s="18">
        <v>33000</v>
      </c>
      <c r="G48" s="18">
        <v>10500</v>
      </c>
      <c r="H48" s="18">
        <v>43500</v>
      </c>
    </row>
    <row r="49" spans="1:8" x14ac:dyDescent="0.2">
      <c r="A49" s="52" t="s">
        <v>114</v>
      </c>
      <c r="B49">
        <v>2023</v>
      </c>
      <c r="C49">
        <f>4*1750</f>
        <v>7000</v>
      </c>
      <c r="E49" s="55" t="s">
        <v>112</v>
      </c>
      <c r="F49" s="18">
        <v>115500</v>
      </c>
      <c r="G49" s="18">
        <v>36750</v>
      </c>
      <c r="H49" s="18">
        <v>152250</v>
      </c>
    </row>
    <row r="50" spans="1:8" x14ac:dyDescent="0.2">
      <c r="A50" s="51" t="s">
        <v>115</v>
      </c>
      <c r="B50">
        <v>2024</v>
      </c>
      <c r="C50">
        <f>22000+5500</f>
        <v>27500</v>
      </c>
    </row>
    <row r="51" spans="1:8" x14ac:dyDescent="0.2">
      <c r="A51" s="52" t="s">
        <v>114</v>
      </c>
      <c r="B51">
        <v>2024</v>
      </c>
      <c r="C51">
        <f>5*1750</f>
        <v>8750</v>
      </c>
    </row>
    <row r="52" spans="1:8" x14ac:dyDescent="0.2">
      <c r="A52" s="56" t="s">
        <v>115</v>
      </c>
      <c r="B52" s="39">
        <v>2025</v>
      </c>
      <c r="C52" s="39">
        <f>27500+5500</f>
        <v>33000</v>
      </c>
    </row>
    <row r="53" spans="1:8" x14ac:dyDescent="0.2">
      <c r="A53" s="57" t="s">
        <v>114</v>
      </c>
      <c r="B53" s="39">
        <v>2025</v>
      </c>
      <c r="C53" s="39">
        <f>6*1750</f>
        <v>10500</v>
      </c>
    </row>
  </sheetData>
  <pageMargins left="0.7" right="0.7" top="0.75" bottom="0.75" header="0.3" footer="0.3"/>
  <pageSetup paperSize="9" orientation="portrait" horizontalDpi="0" verticalDpi="0"/>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A3A46-2F35-4A40-ADD4-F6FB60B7E520}">
  <dimension ref="A1:G6"/>
  <sheetViews>
    <sheetView workbookViewId="0">
      <selection activeCell="E9" sqref="E9"/>
    </sheetView>
  </sheetViews>
  <sheetFormatPr defaultColWidth="10.76171875" defaultRowHeight="15" x14ac:dyDescent="0.2"/>
  <cols>
    <col min="2" max="2" width="14.66015625" customWidth="1"/>
  </cols>
  <sheetData>
    <row r="1" spans="1:7" x14ac:dyDescent="0.2">
      <c r="A1" t="s">
        <v>100</v>
      </c>
      <c r="B1" t="s">
        <v>104</v>
      </c>
      <c r="C1" t="s">
        <v>105</v>
      </c>
      <c r="D1" t="s">
        <v>108</v>
      </c>
      <c r="E1" t="s">
        <v>106</v>
      </c>
      <c r="F1" t="s">
        <v>109</v>
      </c>
      <c r="G1" t="s">
        <v>107</v>
      </c>
    </row>
    <row r="2" spans="1:7" x14ac:dyDescent="0.2">
      <c r="A2" t="s">
        <v>101</v>
      </c>
      <c r="B2" s="19">
        <v>22</v>
      </c>
      <c r="C2" s="19">
        <f>Tabelle48[[#This Row],[Jähliche Energiekosten]]*6</f>
        <v>132</v>
      </c>
      <c r="D2" s="53">
        <v>200</v>
      </c>
      <c r="E2" s="19">
        <f>Tabelle48[[#This Row],[auf 6 Jahre gerechnet]]*Tabelle48[[#This Row],[Anzahl Option A]]</f>
        <v>26400</v>
      </c>
      <c r="F2" s="53">
        <v>0</v>
      </c>
      <c r="G2" s="19">
        <f>Tabelle48[[#This Row],[auf 6 Jahre gerechnet]]*Tabelle48[[#This Row],[Anzahl Option B]]</f>
        <v>0</v>
      </c>
    </row>
    <row r="3" spans="1:7" x14ac:dyDescent="0.2">
      <c r="A3" t="s">
        <v>102</v>
      </c>
      <c r="B3" s="19">
        <v>25</v>
      </c>
      <c r="C3" s="19">
        <f>Tabelle48[[#This Row],[Jähliche Energiekosten]]*6</f>
        <v>150</v>
      </c>
      <c r="D3" s="53">
        <v>30</v>
      </c>
      <c r="E3" s="19">
        <f>Tabelle48[[#This Row],[auf 6 Jahre gerechnet]]*Tabelle48[[#This Row],[Anzahl Option A]]</f>
        <v>4500</v>
      </c>
      <c r="F3" s="53">
        <v>30</v>
      </c>
      <c r="G3" s="19">
        <f>Tabelle48[[#This Row],[auf 6 Jahre gerechnet]]*Tabelle48[[#This Row],[Anzahl Option B]]</f>
        <v>4500</v>
      </c>
    </row>
    <row r="4" spans="1:7" x14ac:dyDescent="0.2">
      <c r="A4" t="s">
        <v>103</v>
      </c>
      <c r="B4" s="19">
        <v>5</v>
      </c>
      <c r="C4" s="19">
        <f>Tabelle48[[#This Row],[Jähliche Energiekosten]]*6</f>
        <v>30</v>
      </c>
      <c r="D4" s="53">
        <v>70</v>
      </c>
      <c r="E4" s="19">
        <f>Tabelle48[[#This Row],[auf 6 Jahre gerechnet]]*Tabelle48[[#This Row],[Anzahl Option A]]</f>
        <v>2100</v>
      </c>
      <c r="F4" s="53">
        <v>200</v>
      </c>
      <c r="G4" s="19">
        <f>Tabelle48[[#This Row],[auf 6 Jahre gerechnet]]*Tabelle48[[#This Row],[Anzahl Option B]]</f>
        <v>6000</v>
      </c>
    </row>
    <row r="6" spans="1:7" x14ac:dyDescent="0.2">
      <c r="D6" t="s">
        <v>119</v>
      </c>
      <c r="E6" s="19">
        <f>SUM(Tabelle48[Kosten Option A])</f>
        <v>33000</v>
      </c>
      <c r="G6" s="19">
        <f>SUM(Tabelle48[Kosten Option B])</f>
        <v>10500</v>
      </c>
    </row>
  </sheetData>
  <pageMargins left="0.7" right="0.7" top="0.78740157499999996" bottom="0.78740157499999996" header="0.3" footer="0.3"/>
  <pageSetup paperSize="9"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5FD7F247F2F4224287E107C22BDFBA8B" ma:contentTypeVersion="2" ma:contentTypeDescription="Ein neues Dokument erstellen." ma:contentTypeScope="" ma:versionID="5f5347793ff18be2bb761b74c5d26fb4">
  <xsd:schema xmlns:xsd="http://www.w3.org/2001/XMLSchema" xmlns:xs="http://www.w3.org/2001/XMLSchema" xmlns:p="http://schemas.microsoft.com/office/2006/metadata/properties" xmlns:ns2="22f7bf2a-9dee-4926-9263-bdbec68e24c5" targetNamespace="http://schemas.microsoft.com/office/2006/metadata/properties" ma:root="true" ma:fieldsID="63265ccfcf86520de0b242c1142c5e8b" ns2:_="">
    <xsd:import namespace="22f7bf2a-9dee-4926-9263-bdbec68e24c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f7bf2a-9dee-4926-9263-bdbec68e24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38D2C0-D524-4ABA-AC76-D356E5BEB4F8}">
  <ds:schemaRefs>
    <ds:schemaRef ds:uri="http://schemas.microsoft.com/office/2006/metadata/properties"/>
    <ds:schemaRef ds:uri="http://www.w3.org/2000/xmlns/"/>
  </ds:schemaRefs>
</ds:datastoreItem>
</file>

<file path=customXml/itemProps2.xml><?xml version="1.0" encoding="utf-8"?>
<ds:datastoreItem xmlns:ds="http://schemas.openxmlformats.org/officeDocument/2006/customXml" ds:itemID="{A60CA7D9-1FB1-45A1-B128-0C00A04DD976}">
  <ds:schemaRefs>
    <ds:schemaRef ds:uri="http://schemas.microsoft.com/office/2006/metadata/contentType"/>
    <ds:schemaRef ds:uri="http://schemas.microsoft.com/office/2006/metadata/properties/metaAttributes"/>
    <ds:schemaRef ds:uri="http://www.w3.org/2000/xmlns/"/>
    <ds:schemaRef ds:uri="http://www.w3.org/2001/XMLSchema"/>
    <ds:schemaRef ds:uri="22f7bf2a-9dee-4926-9263-bdbec68e24c5"/>
  </ds:schemaRefs>
</ds:datastoreItem>
</file>

<file path=customXml/itemProps3.xml><?xml version="1.0" encoding="utf-8"?>
<ds:datastoreItem xmlns:ds="http://schemas.openxmlformats.org/officeDocument/2006/customXml" ds:itemID="{0E14B3CD-A605-40C7-AEB1-3B716A3BA3A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Arbeitsblätter</vt:lpstr>
      </vt:variant>
      <vt:variant>
        <vt:i4>5</vt:i4>
      </vt:variant>
    </vt:vector>
  </HeadingPairs>
  <TitlesOfParts>
    <vt:vector size="5" baseType="lpstr">
      <vt:lpstr>Angebot</vt:lpstr>
      <vt:lpstr>Option A</vt:lpstr>
      <vt:lpstr>Komponenten kosten</vt:lpstr>
      <vt:lpstr>Energiekosten</vt:lpstr>
      <vt:lpstr>Tabelle2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FS13 HHBK</cp:lastModifiedBy>
  <cp:revision/>
  <dcterms:created xsi:type="dcterms:W3CDTF">2020-11-24T07:38:59Z</dcterms:created>
  <dcterms:modified xsi:type="dcterms:W3CDTF">2020-12-09T08:35:55Z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0x0101005FD7F247F2F4224287E107C22BDFBA8B</vt:lpwstr>
  </property>
</Properties>
</file>