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tmp" ContentType="image/png"/>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drawings/drawing4.xml" ContentType="application/vnd.openxmlformats-officedocument.drawing+xml"/>
  <Override PartName="/xl/comments7.xml" ContentType="application/vnd.openxmlformats-officedocument.spreadsheetml.comments+xml"/>
  <Override PartName="/xl/drawings/drawing5.xml" ContentType="application/vnd.openxmlformats-officedocument.drawing+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omments1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autoCompressPictures="0" defaultThemeVersion="124226"/>
  <mc:AlternateContent xmlns:mc="http://schemas.openxmlformats.org/markup-compatibility/2006">
    <mc:Choice Requires="x15">
      <x15ac:absPath xmlns:x15ac="http://schemas.microsoft.com/office/spreadsheetml/2010/11/ac" url="C:\Users\selmab\Box\Team Grahn &amp; Brynolf, electrofuels, shipping, transport, propulsion systems (shared folder)\Tools\GET\200911\Data\"/>
    </mc:Choice>
  </mc:AlternateContent>
  <xr:revisionPtr revIDLastSave="0" documentId="13_ncr:1_{8F4DACB0-7B77-4AAA-BE26-641A24D97506}" xr6:coauthVersionLast="45" xr6:coauthVersionMax="45" xr10:uidLastSave="{00000000-0000-0000-0000-000000000000}"/>
  <bookViews>
    <workbookView xWindow="-110" yWindow="-110" windowWidth="19420" windowHeight="10420" tabRatio="700" firstSheet="3" activeTab="11" xr2:uid="{00000000-000D-0000-FFFF-FFFF00000000}"/>
  </bookViews>
  <sheets>
    <sheet name="Base data for vehicles" sheetId="3" r:id="rId1"/>
    <sheet name="other cost data" sheetId="22" r:id="rId2"/>
    <sheet name="input to GET" sheetId="23" r:id="rId3"/>
    <sheet name="car 1 2050" sheetId="20" r:id="rId4"/>
    <sheet name="car 1 2010" sheetId="25" r:id="rId5"/>
    <sheet name="truck" sheetId="21" r:id="rId6"/>
    <sheet name="short sea" sheetId="11" r:id="rId7"/>
    <sheet name="ocean" sheetId="12" r:id="rId8"/>
    <sheet name="container" sheetId="10" r:id="rId9"/>
    <sheet name="RoPax" sheetId="18" r:id="rId10"/>
    <sheet name="Airplanes" sheetId="26" r:id="rId11"/>
    <sheet name="Unit conversion" sheetId="2" r:id="rId12"/>
    <sheet name="Cost conversion" sheetId="19" r:id="rId13"/>
    <sheet name="References" sheetId="6" r:id="rId14"/>
    <sheet name="Size and weight" sheetId="17" r:id="rId15"/>
    <sheet name="Engine and fuel cell efficiency" sheetId="7" r:id="rId16"/>
  </sheets>
  <externalReferences>
    <externalReference r:id="rId17"/>
    <externalReference r:id="rId18"/>
    <externalReference r:id="rId19"/>
  </externalReferences>
  <definedNames>
    <definedName name="_ENREF_6" localSheetId="13">References!$B$2</definedName>
    <definedName name="_xlnm.Print_Area" localSheetId="4">'car 1 2010'!#REF!</definedName>
    <definedName name="_xlnm.Print_Area" localSheetId="3">'car 1 2050'!#REF!</definedName>
    <definedName name="_xlnm.Print_Area" localSheetId="5">truck!#REF!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4" i="23" l="1"/>
  <c r="I3" i="23"/>
  <c r="H25" i="23"/>
  <c r="H21" i="23"/>
  <c r="H17" i="23"/>
  <c r="H13" i="23"/>
  <c r="G25" i="23"/>
  <c r="G21" i="23"/>
  <c r="G17" i="23"/>
  <c r="G13" i="23"/>
  <c r="D29" i="23"/>
  <c r="E29" i="23" s="1"/>
  <c r="D25" i="23"/>
  <c r="E25" i="23" s="1"/>
  <c r="D24" i="23"/>
  <c r="E24" i="23" s="1"/>
  <c r="D23" i="23"/>
  <c r="E23" i="23" s="1"/>
  <c r="D22" i="23"/>
  <c r="E22" i="23" s="1"/>
  <c r="D21" i="23"/>
  <c r="D18" i="23"/>
  <c r="E18" i="23" s="1"/>
  <c r="D17" i="23"/>
  <c r="E17" i="23" s="1"/>
  <c r="D16" i="23"/>
  <c r="E16" i="23" s="1"/>
  <c r="D15" i="23"/>
  <c r="E15" i="23" s="1"/>
  <c r="D14" i="23"/>
  <c r="E14" i="23" s="1"/>
  <c r="D13" i="23"/>
  <c r="E13" i="23" s="1"/>
  <c r="C67" i="10"/>
  <c r="D67" i="10"/>
  <c r="E67" i="10"/>
  <c r="F67" i="10"/>
  <c r="G67" i="10"/>
  <c r="H67" i="10"/>
  <c r="I67" i="10"/>
  <c r="J67" i="10"/>
  <c r="K67" i="10"/>
  <c r="L67" i="10"/>
  <c r="M67" i="10"/>
  <c r="N67" i="10"/>
  <c r="O67" i="10"/>
  <c r="B67" i="10"/>
  <c r="C67" i="12"/>
  <c r="D67" i="12"/>
  <c r="E67" i="12"/>
  <c r="F67" i="12"/>
  <c r="G67" i="12"/>
  <c r="H67" i="12"/>
  <c r="I67" i="12"/>
  <c r="J67" i="12"/>
  <c r="K67" i="12"/>
  <c r="L67" i="12"/>
  <c r="M67" i="12"/>
  <c r="N67" i="12"/>
  <c r="O67" i="12"/>
  <c r="B67" i="12"/>
  <c r="C67" i="11"/>
  <c r="D67" i="11"/>
  <c r="E67" i="11"/>
  <c r="F67" i="11"/>
  <c r="G67" i="11"/>
  <c r="H67" i="11"/>
  <c r="I67" i="11"/>
  <c r="J67" i="11"/>
  <c r="K67" i="11"/>
  <c r="L67" i="11"/>
  <c r="M67" i="11"/>
  <c r="N67" i="11"/>
  <c r="O67" i="11"/>
  <c r="B66" i="11"/>
  <c r="B67" i="11"/>
  <c r="D7" i="23"/>
  <c r="D6" i="23"/>
  <c r="D5" i="23"/>
  <c r="F29" i="23" l="1"/>
  <c r="F25" i="23"/>
  <c r="F21" i="23"/>
  <c r="F17" i="23"/>
  <c r="F13" i="23"/>
  <c r="I2" i="23" l="1"/>
  <c r="C110" i="26" l="1"/>
  <c r="D110" i="26"/>
  <c r="E110" i="26"/>
  <c r="F110" i="26"/>
  <c r="G110" i="26"/>
  <c r="H110" i="26"/>
  <c r="I110" i="26"/>
  <c r="C111" i="26"/>
  <c r="D111" i="26"/>
  <c r="E111" i="26"/>
  <c r="F111" i="26"/>
  <c r="G111" i="26"/>
  <c r="H111" i="26"/>
  <c r="I111" i="26"/>
  <c r="C112" i="26"/>
  <c r="D112" i="26"/>
  <c r="E112" i="26"/>
  <c r="F112" i="26"/>
  <c r="G112" i="26"/>
  <c r="H112" i="26"/>
  <c r="I112" i="26"/>
  <c r="B111" i="26"/>
  <c r="B112" i="26"/>
  <c r="B110" i="26"/>
  <c r="G62" i="26" l="1"/>
  <c r="H62" i="26"/>
  <c r="I62" i="26"/>
  <c r="F92" i="26"/>
  <c r="G92" i="26"/>
  <c r="F94" i="26"/>
  <c r="F85" i="26"/>
  <c r="G85" i="26"/>
  <c r="H85" i="26"/>
  <c r="I85" i="26"/>
  <c r="F87" i="26"/>
  <c r="F88" i="26" s="1"/>
  <c r="G87" i="26"/>
  <c r="G88" i="26" s="1"/>
  <c r="H87" i="26"/>
  <c r="H88" i="26" s="1"/>
  <c r="H92" i="26" s="1"/>
  <c r="I87" i="26"/>
  <c r="I88" i="26" s="1"/>
  <c r="I92" i="26" s="1"/>
  <c r="F80" i="26"/>
  <c r="G80" i="26"/>
  <c r="G94" i="26" s="1"/>
  <c r="I74" i="26"/>
  <c r="H74" i="26"/>
  <c r="I63" i="26"/>
  <c r="I64" i="26" s="1"/>
  <c r="I79" i="26" s="1"/>
  <c r="I93" i="26" s="1"/>
  <c r="F66" i="26"/>
  <c r="G66" i="26"/>
  <c r="H66" i="26"/>
  <c r="I66" i="26"/>
  <c r="G68" i="26"/>
  <c r="G69" i="26" s="1"/>
  <c r="F70" i="26"/>
  <c r="G70" i="26"/>
  <c r="H70" i="26"/>
  <c r="I70" i="26"/>
  <c r="F72" i="26"/>
  <c r="G72" i="26"/>
  <c r="H72" i="26"/>
  <c r="I72" i="26"/>
  <c r="F61" i="26"/>
  <c r="G61" i="26"/>
  <c r="H61" i="26"/>
  <c r="I61" i="26"/>
  <c r="F62" i="26"/>
  <c r="F63" i="26" s="1"/>
  <c r="F64" i="26" s="1"/>
  <c r="F79" i="26" s="1"/>
  <c r="G53" i="26"/>
  <c r="G54" i="26"/>
  <c r="G67" i="26" s="1"/>
  <c r="H54" i="26"/>
  <c r="H67" i="26" s="1"/>
  <c r="I52" i="26"/>
  <c r="H52" i="26"/>
  <c r="I47" i="26"/>
  <c r="I48" i="26" s="1"/>
  <c r="I42" i="26"/>
  <c r="I26" i="26"/>
  <c r="H47" i="26"/>
  <c r="H48" i="26" s="1"/>
  <c r="H42" i="26"/>
  <c r="H26" i="26"/>
  <c r="G47" i="26"/>
  <c r="G48" i="26" s="1"/>
  <c r="G42" i="26"/>
  <c r="G26" i="26"/>
  <c r="F47" i="26"/>
  <c r="F48" i="26" s="1"/>
  <c r="F26" i="26"/>
  <c r="E74" i="26"/>
  <c r="D74" i="26"/>
  <c r="C85" i="26"/>
  <c r="D85" i="26"/>
  <c r="D87" i="26" s="1"/>
  <c r="D88" i="26" s="1"/>
  <c r="D92" i="26" s="1"/>
  <c r="E85" i="26"/>
  <c r="E87" i="26" s="1"/>
  <c r="E88" i="26" s="1"/>
  <c r="E92" i="26" s="1"/>
  <c r="C87" i="26"/>
  <c r="C88" i="26" s="1"/>
  <c r="C92" i="26" s="1"/>
  <c r="C80" i="26"/>
  <c r="C94" i="26" s="1"/>
  <c r="E54" i="26"/>
  <c r="E67" i="26" s="1"/>
  <c r="E53" i="26"/>
  <c r="E68" i="26" s="1"/>
  <c r="D54" i="26"/>
  <c r="D67" i="26" s="1"/>
  <c r="D53" i="26"/>
  <c r="D68" i="26" s="1"/>
  <c r="C54" i="26"/>
  <c r="C67" i="26" s="1"/>
  <c r="C53" i="26"/>
  <c r="C68" i="26" s="1"/>
  <c r="C69" i="26" s="1"/>
  <c r="B54" i="26"/>
  <c r="B67" i="26" s="1"/>
  <c r="B53" i="26"/>
  <c r="B68" i="26" s="1"/>
  <c r="E52" i="26"/>
  <c r="D52" i="26"/>
  <c r="C61" i="26"/>
  <c r="D61" i="26"/>
  <c r="E61" i="26"/>
  <c r="C62" i="26"/>
  <c r="D62" i="26"/>
  <c r="D63" i="26" s="1"/>
  <c r="D64" i="26" s="1"/>
  <c r="D79" i="26" s="1"/>
  <c r="D93" i="26" s="1"/>
  <c r="E62" i="26"/>
  <c r="E63" i="26" s="1"/>
  <c r="E64" i="26" s="1"/>
  <c r="E79" i="26" s="1"/>
  <c r="E93" i="26" s="1"/>
  <c r="C66" i="26"/>
  <c r="D66" i="26"/>
  <c r="E66" i="26"/>
  <c r="C70" i="26"/>
  <c r="D70" i="26"/>
  <c r="E70" i="26"/>
  <c r="C72" i="26"/>
  <c r="D72" i="26"/>
  <c r="E72" i="26"/>
  <c r="B72" i="26"/>
  <c r="B70" i="26"/>
  <c r="B66" i="26"/>
  <c r="B61" i="26"/>
  <c r="B85" i="26"/>
  <c r="B87" i="26" s="1"/>
  <c r="B88" i="26" s="1"/>
  <c r="B92" i="26" s="1"/>
  <c r="B94" i="26"/>
  <c r="B62" i="26"/>
  <c r="E47" i="26"/>
  <c r="E48" i="26" s="1"/>
  <c r="E26" i="26"/>
  <c r="D47" i="26"/>
  <c r="D48" i="26" s="1"/>
  <c r="D26" i="26"/>
  <c r="C47" i="26"/>
  <c r="C48" i="26" s="1"/>
  <c r="C26" i="26"/>
  <c r="B47" i="26"/>
  <c r="B48" i="26" s="1"/>
  <c r="B26" i="26"/>
  <c r="F93" i="26" l="1"/>
  <c r="F81" i="26"/>
  <c r="C63" i="26"/>
  <c r="C64" i="26" s="1"/>
  <c r="C79" i="26" s="1"/>
  <c r="I53" i="26"/>
  <c r="I68" i="26" s="1"/>
  <c r="H53" i="26"/>
  <c r="H68" i="26" s="1"/>
  <c r="H69" i="26" s="1"/>
  <c r="H63" i="26"/>
  <c r="H64" i="26" s="1"/>
  <c r="H79" i="26" s="1"/>
  <c r="H93" i="26" s="1"/>
  <c r="F53" i="26"/>
  <c r="F68" i="26" s="1"/>
  <c r="F69" i="26" s="1"/>
  <c r="G63" i="26"/>
  <c r="G64" i="26" s="1"/>
  <c r="G79" i="26" s="1"/>
  <c r="G93" i="26" s="1"/>
  <c r="F54" i="26"/>
  <c r="F67" i="26" s="1"/>
  <c r="I54" i="26"/>
  <c r="I67" i="26" s="1"/>
  <c r="G81" i="26"/>
  <c r="E75" i="26"/>
  <c r="E76" i="26" s="1"/>
  <c r="E80" i="26" s="1"/>
  <c r="E94" i="26" s="1"/>
  <c r="E69" i="26"/>
  <c r="D75" i="26"/>
  <c r="D76" i="26" s="1"/>
  <c r="D80" i="26" s="1"/>
  <c r="D94" i="26" s="1"/>
  <c r="D69" i="26"/>
  <c r="C93" i="26"/>
  <c r="C81" i="26"/>
  <c r="B69" i="26"/>
  <c r="B63" i="26"/>
  <c r="B64" i="26" s="1"/>
  <c r="E81" i="26" l="1"/>
  <c r="I69" i="26"/>
  <c r="I75" i="26"/>
  <c r="I76" i="26" s="1"/>
  <c r="I80" i="26" s="1"/>
  <c r="H75" i="26"/>
  <c r="H76" i="26" s="1"/>
  <c r="H80" i="26" s="1"/>
  <c r="D81" i="26"/>
  <c r="B79" i="26"/>
  <c r="B81" i="26" s="1"/>
  <c r="H94" i="26" l="1"/>
  <c r="H81" i="26"/>
  <c r="I94" i="26"/>
  <c r="I81" i="26"/>
  <c r="B93" i="26"/>
  <c r="W68" i="25" l="1"/>
  <c r="W69" i="25"/>
  <c r="F20" i="3" l="1"/>
  <c r="B20" i="3"/>
  <c r="B45" i="3" s="1"/>
  <c r="B43" i="3" s="1"/>
  <c r="B24" i="3"/>
  <c r="B21" i="3" s="1"/>
  <c r="E43" i="20" l="1"/>
  <c r="B44" i="3"/>
  <c r="E43" i="25" s="1"/>
  <c r="F43" i="25" s="1"/>
  <c r="G43" i="25" s="1"/>
  <c r="H43" i="25" s="1"/>
  <c r="Q43" i="25"/>
  <c r="C43" i="25"/>
  <c r="Z43" i="25"/>
  <c r="K43" i="25"/>
  <c r="W43" i="25"/>
  <c r="N43" i="25"/>
  <c r="D43" i="25"/>
  <c r="B43" i="25"/>
  <c r="B111" i="3"/>
  <c r="AD49" i="20" s="1"/>
  <c r="AE59" i="25"/>
  <c r="AD59" i="25"/>
  <c r="AC59" i="25"/>
  <c r="AA59" i="25"/>
  <c r="X59" i="25"/>
  <c r="U59" i="25"/>
  <c r="R59" i="25"/>
  <c r="O59" i="25"/>
  <c r="L59" i="25"/>
  <c r="J59" i="25"/>
  <c r="F59" i="25"/>
  <c r="AB57" i="25"/>
  <c r="Z57" i="25"/>
  <c r="Y57" i="25"/>
  <c r="W57" i="25"/>
  <c r="V57" i="25"/>
  <c r="T57" i="25"/>
  <c r="S57" i="25"/>
  <c r="Q57" i="25"/>
  <c r="P57" i="25"/>
  <c r="N57" i="25"/>
  <c r="M57" i="25"/>
  <c r="K57" i="25"/>
  <c r="AD55" i="25"/>
  <c r="AC55" i="25"/>
  <c r="AE48" i="25"/>
  <c r="AD48" i="25"/>
  <c r="AC48" i="25"/>
  <c r="AA48" i="25"/>
  <c r="X48" i="25"/>
  <c r="U48" i="25"/>
  <c r="R48" i="25"/>
  <c r="O48" i="25"/>
  <c r="L48" i="25"/>
  <c r="J48" i="25"/>
  <c r="I48" i="25"/>
  <c r="H48" i="25"/>
  <c r="G48" i="25"/>
  <c r="F48" i="25"/>
  <c r="AE47" i="25"/>
  <c r="AD47" i="25"/>
  <c r="AC47" i="25"/>
  <c r="Z47" i="25"/>
  <c r="W47" i="25"/>
  <c r="T47" i="25"/>
  <c r="Q47" i="25"/>
  <c r="N47" i="25"/>
  <c r="K47" i="25"/>
  <c r="H47" i="25"/>
  <c r="G47" i="25"/>
  <c r="F47" i="25"/>
  <c r="E47" i="25"/>
  <c r="D47" i="25"/>
  <c r="AE45" i="25"/>
  <c r="AE54" i="25" s="1"/>
  <c r="AD45" i="25"/>
  <c r="AD54" i="25" s="1"/>
  <c r="AC45" i="25"/>
  <c r="AC54" i="25" s="1"/>
  <c r="I43" i="25"/>
  <c r="I52" i="25" s="1"/>
  <c r="AE38" i="25"/>
  <c r="AD38" i="25"/>
  <c r="AC38" i="25"/>
  <c r="AB38" i="25"/>
  <c r="Y38" i="25"/>
  <c r="V38" i="25"/>
  <c r="S38" i="25"/>
  <c r="P38" i="25"/>
  <c r="M38" i="25"/>
  <c r="J38" i="25"/>
  <c r="I38" i="25"/>
  <c r="H38" i="25"/>
  <c r="G38" i="25"/>
  <c r="F38" i="25"/>
  <c r="E38" i="25"/>
  <c r="E39" i="25" s="1"/>
  <c r="D38" i="25"/>
  <c r="D39" i="25" s="1"/>
  <c r="C38" i="25"/>
  <c r="C39" i="25" s="1"/>
  <c r="B38" i="25"/>
  <c r="AA30" i="25"/>
  <c r="X30" i="25"/>
  <c r="U30" i="25"/>
  <c r="R30" i="25"/>
  <c r="O30" i="25"/>
  <c r="L30" i="25"/>
  <c r="I30" i="25"/>
  <c r="H30" i="25"/>
  <c r="G30" i="25"/>
  <c r="F30" i="25"/>
  <c r="AO24" i="25"/>
  <c r="AO25" i="25" s="1"/>
  <c r="AM24" i="25"/>
  <c r="AM25" i="25" s="1"/>
  <c r="AL24" i="25"/>
  <c r="AL25" i="25" s="1"/>
  <c r="AE24" i="25"/>
  <c r="AD24" i="25"/>
  <c r="AC24" i="25"/>
  <c r="I24" i="25"/>
  <c r="I25" i="25" s="1"/>
  <c r="G24" i="25"/>
  <c r="G25" i="25" s="1"/>
  <c r="F24" i="25"/>
  <c r="F25" i="25" s="1"/>
  <c r="J23" i="25"/>
  <c r="J30" i="25" s="1"/>
  <c r="H22" i="25"/>
  <c r="H24" i="25" s="1"/>
  <c r="H25" i="25" s="1"/>
  <c r="E22" i="25"/>
  <c r="E52" i="25" s="1"/>
  <c r="D22" i="25"/>
  <c r="D24" i="25" s="1"/>
  <c r="C22" i="25"/>
  <c r="C24" i="25" s="1"/>
  <c r="B22" i="25"/>
  <c r="AN17" i="25"/>
  <c r="AM17" i="25"/>
  <c r="AA17" i="25"/>
  <c r="X17" i="25"/>
  <c r="U17" i="25"/>
  <c r="R17" i="25"/>
  <c r="O17" i="25"/>
  <c r="L17" i="25"/>
  <c r="J17" i="25"/>
  <c r="B16" i="25"/>
  <c r="B56" i="25" s="1"/>
  <c r="AE15" i="25"/>
  <c r="AD15" i="25"/>
  <c r="AC15" i="25"/>
  <c r="Z14" i="25"/>
  <c r="W14" i="25"/>
  <c r="T14" i="25"/>
  <c r="Q14" i="25"/>
  <c r="N14" i="25"/>
  <c r="K14" i="25"/>
  <c r="AH11" i="25"/>
  <c r="AE11" i="25"/>
  <c r="AD11" i="25"/>
  <c r="AD16" i="25" s="1"/>
  <c r="AC11" i="25"/>
  <c r="AC16" i="25" s="1"/>
  <c r="AA11" i="25"/>
  <c r="Z11" i="25"/>
  <c r="Z16" i="25" s="1"/>
  <c r="X11" i="25"/>
  <c r="W11" i="25"/>
  <c r="U11" i="25"/>
  <c r="T11" i="25"/>
  <c r="R11" i="25"/>
  <c r="Q11" i="25"/>
  <c r="O11" i="25"/>
  <c r="N11" i="25"/>
  <c r="N16" i="25" s="1"/>
  <c r="L11" i="25"/>
  <c r="K11" i="25"/>
  <c r="K16" i="25" s="1"/>
  <c r="J11" i="25"/>
  <c r="I11" i="25"/>
  <c r="I16" i="25" s="1"/>
  <c r="I56" i="25" s="1"/>
  <c r="H11" i="25"/>
  <c r="H16" i="25" s="1"/>
  <c r="G11" i="25"/>
  <c r="F11" i="25"/>
  <c r="F16" i="25" s="1"/>
  <c r="E11" i="25"/>
  <c r="E16" i="25" s="1"/>
  <c r="D11" i="25"/>
  <c r="D16" i="25" s="1"/>
  <c r="C11" i="25"/>
  <c r="C16" i="25" s="1"/>
  <c r="C56" i="25" s="1"/>
  <c r="B10" i="25"/>
  <c r="B32" i="25" s="1"/>
  <c r="C32" i="25" s="1"/>
  <c r="D32" i="25" s="1"/>
  <c r="E32" i="25" s="1"/>
  <c r="AE8" i="25"/>
  <c r="AD8" i="25"/>
  <c r="AC8" i="25"/>
  <c r="AA8" i="25"/>
  <c r="AA7" i="25" s="1"/>
  <c r="Z8" i="25"/>
  <c r="X8" i="25"/>
  <c r="W8" i="25"/>
  <c r="U8" i="25"/>
  <c r="U10" i="25" s="1"/>
  <c r="T8" i="25"/>
  <c r="R8" i="25"/>
  <c r="R10" i="25" s="1"/>
  <c r="Q8" i="25"/>
  <c r="O8" i="25"/>
  <c r="N8" i="25"/>
  <c r="L8" i="25"/>
  <c r="K8" i="25"/>
  <c r="J8" i="25"/>
  <c r="J10" i="25" s="1"/>
  <c r="I8" i="25"/>
  <c r="I10" i="25" s="1"/>
  <c r="H8" i="25"/>
  <c r="H10" i="25" s="1"/>
  <c r="H39" i="25" s="1"/>
  <c r="G8" i="25"/>
  <c r="F8" i="25"/>
  <c r="E8" i="25"/>
  <c r="X7" i="25"/>
  <c r="U7" i="25"/>
  <c r="O7" i="25"/>
  <c r="L7" i="25"/>
  <c r="Z4" i="25"/>
  <c r="W4" i="25"/>
  <c r="T4" i="25"/>
  <c r="Q4" i="25"/>
  <c r="N4" i="25"/>
  <c r="K4" i="25"/>
  <c r="M57" i="20"/>
  <c r="N57" i="20"/>
  <c r="P57" i="20"/>
  <c r="Q57" i="20"/>
  <c r="S57" i="20"/>
  <c r="T57" i="20"/>
  <c r="V57" i="20"/>
  <c r="W57" i="20"/>
  <c r="Y57" i="20"/>
  <c r="Z57" i="20"/>
  <c r="AB57" i="20"/>
  <c r="K57" i="20"/>
  <c r="O49" i="20" l="1"/>
  <c r="R49" i="20"/>
  <c r="X49" i="20"/>
  <c r="Q16" i="25"/>
  <c r="G52" i="25"/>
  <c r="B52" i="25"/>
  <c r="B60" i="25" s="1"/>
  <c r="B61" i="25" s="1"/>
  <c r="B62" i="25" s="1"/>
  <c r="F52" i="25"/>
  <c r="T43" i="25"/>
  <c r="T16" i="25"/>
  <c r="AA49" i="20"/>
  <c r="F49" i="20"/>
  <c r="AC49" i="20"/>
  <c r="K56" i="25"/>
  <c r="W16" i="25"/>
  <c r="W56" i="25" s="1"/>
  <c r="G49" i="20"/>
  <c r="AE49" i="20"/>
  <c r="F10" i="25"/>
  <c r="O10" i="25"/>
  <c r="AA10" i="25"/>
  <c r="H49" i="20"/>
  <c r="J7" i="25"/>
  <c r="AE7" i="25" s="1"/>
  <c r="L49" i="20"/>
  <c r="G10" i="25"/>
  <c r="G32" i="25" s="1"/>
  <c r="X10" i="25"/>
  <c r="X12" i="25" s="1"/>
  <c r="X18" i="25" s="1"/>
  <c r="X19" i="25" s="1"/>
  <c r="D52" i="25"/>
  <c r="R7" i="25"/>
  <c r="R12" i="25" s="1"/>
  <c r="R18" i="25" s="1"/>
  <c r="R19" i="25" s="1"/>
  <c r="U12" i="25"/>
  <c r="U18" i="25" s="1"/>
  <c r="U19" i="25" s="1"/>
  <c r="L10" i="25"/>
  <c r="L12" i="25" s="1"/>
  <c r="L18" i="25" s="1"/>
  <c r="AD10" i="25"/>
  <c r="AD39" i="25" s="1"/>
  <c r="E24" i="25"/>
  <c r="M24" i="25"/>
  <c r="M25" i="25" s="1"/>
  <c r="F56" i="25"/>
  <c r="N56" i="25"/>
  <c r="I49" i="20"/>
  <c r="U49" i="20"/>
  <c r="I39" i="25"/>
  <c r="I12" i="25"/>
  <c r="I18" i="25" s="1"/>
  <c r="I19" i="25" s="1"/>
  <c r="I32" i="25"/>
  <c r="F32" i="25"/>
  <c r="F39" i="25"/>
  <c r="F12" i="25"/>
  <c r="F18" i="25" s="1"/>
  <c r="F19" i="25" s="1"/>
  <c r="J39" i="25"/>
  <c r="J12" i="25"/>
  <c r="J18" i="25" s="1"/>
  <c r="J32" i="25"/>
  <c r="O12" i="25"/>
  <c r="O18" i="25" s="1"/>
  <c r="O19" i="25" s="1"/>
  <c r="AA12" i="25"/>
  <c r="V39" i="25"/>
  <c r="Z56" i="25"/>
  <c r="G16" i="25"/>
  <c r="G56" i="25" s="1"/>
  <c r="Q56" i="25"/>
  <c r="AC56" i="25"/>
  <c r="B24" i="25"/>
  <c r="B39" i="25"/>
  <c r="D56" i="25"/>
  <c r="H56" i="25"/>
  <c r="T56" i="25"/>
  <c r="AD56" i="25"/>
  <c r="C52" i="25"/>
  <c r="C60" i="25" s="1"/>
  <c r="H52" i="25"/>
  <c r="AC7" i="25"/>
  <c r="AC10" i="25"/>
  <c r="AE16" i="25"/>
  <c r="AE56" i="25" s="1"/>
  <c r="AE10" i="25"/>
  <c r="H12" i="25"/>
  <c r="H18" i="25" s="1"/>
  <c r="H19" i="25" s="1"/>
  <c r="H32" i="25"/>
  <c r="S39" i="25"/>
  <c r="E56" i="25"/>
  <c r="E60" i="25" s="1"/>
  <c r="AD7" i="25"/>
  <c r="AA18" i="25"/>
  <c r="AA19" i="25" s="1"/>
  <c r="J24" i="25"/>
  <c r="C61" i="25" l="1"/>
  <c r="C62" i="25" s="1"/>
  <c r="G12" i="25"/>
  <c r="G18" i="25" s="1"/>
  <c r="G19" i="25" s="1"/>
  <c r="D60" i="25"/>
  <c r="D61" i="25" s="1"/>
  <c r="D62" i="25" s="1"/>
  <c r="E61" i="25"/>
  <c r="E62" i="25" s="1"/>
  <c r="G39" i="25"/>
  <c r="AD12" i="25"/>
  <c r="AD18" i="25" s="1"/>
  <c r="AD19" i="25" s="1"/>
  <c r="AD32" i="25"/>
  <c r="M39" i="25"/>
  <c r="M40" i="25" s="1"/>
  <c r="AB39" i="25"/>
  <c r="L19" i="25"/>
  <c r="Y39" i="25"/>
  <c r="Y40" i="25" s="1"/>
  <c r="P39" i="25"/>
  <c r="K22" i="25" s="1"/>
  <c r="J19" i="25"/>
  <c r="J57" i="25"/>
  <c r="AE32" i="25"/>
  <c r="AE12" i="25"/>
  <c r="AE18" i="25" s="1"/>
  <c r="AE39" i="25"/>
  <c r="V40" i="25"/>
  <c r="T22" i="25"/>
  <c r="T52" i="25" s="1"/>
  <c r="T60" i="25" s="1"/>
  <c r="S40" i="25"/>
  <c r="Q22" i="25"/>
  <c r="Q52" i="25" s="1"/>
  <c r="Q60" i="25" s="1"/>
  <c r="AC39" i="25"/>
  <c r="AC32" i="25"/>
  <c r="AC12" i="25"/>
  <c r="AC18" i="25" s="1"/>
  <c r="AB40" i="25"/>
  <c r="Z22" i="25"/>
  <c r="Z52" i="25" s="1"/>
  <c r="Z60" i="25" s="1"/>
  <c r="W22" i="25"/>
  <c r="N22" i="25" l="1"/>
  <c r="V24" i="25" s="1"/>
  <c r="V25" i="25" s="1"/>
  <c r="P40" i="25"/>
  <c r="W52" i="25"/>
  <c r="W60" i="25" s="1"/>
  <c r="AB24" i="25"/>
  <c r="AB25" i="25" s="1"/>
  <c r="K52" i="25"/>
  <c r="K60" i="25" s="1"/>
  <c r="P24" i="25"/>
  <c r="P25" i="25" s="1"/>
  <c r="AC19" i="25"/>
  <c r="Y24" i="25"/>
  <c r="Y25" i="25" s="1"/>
  <c r="N52" i="25"/>
  <c r="N60" i="25" s="1"/>
  <c r="AE19" i="25"/>
  <c r="S24" i="25" l="1"/>
  <c r="S25" i="25" s="1"/>
  <c r="F48" i="20"/>
  <c r="F30" i="20"/>
  <c r="T43" i="20"/>
  <c r="I43" i="20"/>
  <c r="R94" i="3"/>
  <c r="R92" i="3"/>
  <c r="R91" i="3"/>
  <c r="R93" i="3" s="1"/>
  <c r="B10" i="20"/>
  <c r="F11" i="20"/>
  <c r="K11" i="20"/>
  <c r="L11" i="20"/>
  <c r="J11" i="20"/>
  <c r="N11" i="20"/>
  <c r="I11" i="20"/>
  <c r="H11" i="20"/>
  <c r="G11" i="20"/>
  <c r="E11" i="20"/>
  <c r="C11" i="20"/>
  <c r="D11" i="20"/>
  <c r="B53" i="19" l="1"/>
  <c r="B54" i="19"/>
  <c r="B62" i="19" s="1"/>
  <c r="B52" i="19"/>
  <c r="B61" i="19" s="1"/>
  <c r="F48" i="3" l="1"/>
  <c r="F43" i="3" s="1"/>
  <c r="B18" i="2"/>
  <c r="G43" i="3"/>
  <c r="G20" i="3"/>
  <c r="G90" i="3" s="1"/>
  <c r="H20" i="3"/>
  <c r="H90" i="3" s="1"/>
  <c r="B60" i="19"/>
  <c r="F72" i="3" s="1"/>
  <c r="F63" i="3" s="1"/>
  <c r="T47" i="21"/>
  <c r="T8" i="21"/>
  <c r="Q8" i="21"/>
  <c r="N8" i="21"/>
  <c r="K8" i="21"/>
  <c r="U59" i="21"/>
  <c r="U48" i="21"/>
  <c r="V38" i="21"/>
  <c r="U23" i="21"/>
  <c r="U30" i="21" s="1"/>
  <c r="T22" i="21"/>
  <c r="V21" i="21"/>
  <c r="U17" i="21"/>
  <c r="U11" i="21"/>
  <c r="T11" i="21"/>
  <c r="U8" i="21"/>
  <c r="U7" i="21" s="1"/>
  <c r="T4" i="21"/>
  <c r="J8" i="21"/>
  <c r="W8" i="21"/>
  <c r="Q47" i="21"/>
  <c r="O48" i="21"/>
  <c r="N47" i="21"/>
  <c r="P38" i="21"/>
  <c r="O23" i="21"/>
  <c r="O30" i="21" s="1"/>
  <c r="N22" i="21"/>
  <c r="N52" i="21" s="1"/>
  <c r="P21" i="21"/>
  <c r="O17" i="21"/>
  <c r="O11" i="21"/>
  <c r="N11" i="21"/>
  <c r="O8" i="21"/>
  <c r="O7" i="21" s="1"/>
  <c r="N4" i="21"/>
  <c r="R59" i="21"/>
  <c r="R48" i="21"/>
  <c r="S38" i="21"/>
  <c r="R23" i="21"/>
  <c r="Q22" i="21"/>
  <c r="Q52" i="21" s="1"/>
  <c r="S21" i="21"/>
  <c r="R17" i="21"/>
  <c r="R11" i="21"/>
  <c r="Q11" i="21"/>
  <c r="R8" i="21"/>
  <c r="R7" i="21" s="1"/>
  <c r="Q4" i="21"/>
  <c r="I47" i="21"/>
  <c r="H47" i="21"/>
  <c r="I8" i="21"/>
  <c r="H8" i="21"/>
  <c r="G8" i="21"/>
  <c r="H48" i="21"/>
  <c r="H38" i="21"/>
  <c r="H23" i="21"/>
  <c r="H22" i="21"/>
  <c r="H52" i="21" s="1"/>
  <c r="H21" i="21"/>
  <c r="H14" i="21"/>
  <c r="U15" i="21" s="1"/>
  <c r="T14" i="21" s="1"/>
  <c r="H11" i="21"/>
  <c r="G48" i="21"/>
  <c r="G47" i="21"/>
  <c r="G38" i="21"/>
  <c r="G23" i="21"/>
  <c r="G22" i="21"/>
  <c r="G52" i="21" s="1"/>
  <c r="G21" i="21"/>
  <c r="G14" i="21"/>
  <c r="G11" i="21"/>
  <c r="I59" i="21"/>
  <c r="I48" i="21"/>
  <c r="I38" i="21"/>
  <c r="I23" i="21"/>
  <c r="I22" i="21"/>
  <c r="I52" i="21" s="1"/>
  <c r="I21" i="21"/>
  <c r="I14" i="21"/>
  <c r="I11" i="21"/>
  <c r="I10" i="21" s="1"/>
  <c r="I12" i="21" s="1"/>
  <c r="I18" i="21" s="1"/>
  <c r="I19" i="21" s="1"/>
  <c r="E47" i="20"/>
  <c r="AE47" i="20"/>
  <c r="T47" i="20"/>
  <c r="Q47" i="20"/>
  <c r="H47" i="20"/>
  <c r="D47" i="20"/>
  <c r="AE8" i="20"/>
  <c r="AD8" i="20"/>
  <c r="AC8" i="20"/>
  <c r="Z8" i="20"/>
  <c r="W8" i="20"/>
  <c r="T8" i="20"/>
  <c r="Q8" i="20"/>
  <c r="N8" i="20"/>
  <c r="R59" i="20"/>
  <c r="R48" i="20"/>
  <c r="S38" i="20"/>
  <c r="R30" i="20"/>
  <c r="R17" i="20"/>
  <c r="Q14" i="20"/>
  <c r="R11" i="20"/>
  <c r="Q11" i="20"/>
  <c r="R8" i="20"/>
  <c r="R7" i="20" s="1"/>
  <c r="Q4" i="20"/>
  <c r="H48" i="20"/>
  <c r="H30" i="20"/>
  <c r="G30" i="20"/>
  <c r="H8" i="20"/>
  <c r="H38" i="20"/>
  <c r="H22" i="20"/>
  <c r="H52" i="20" s="1"/>
  <c r="I16" i="20"/>
  <c r="I8" i="20"/>
  <c r="I10" i="20" s="1"/>
  <c r="E8" i="20"/>
  <c r="I52" i="20"/>
  <c r="I48" i="20"/>
  <c r="I38" i="20"/>
  <c r="I30" i="20"/>
  <c r="I24" i="20"/>
  <c r="I25" i="20" s="1"/>
  <c r="U59" i="20"/>
  <c r="U48" i="20"/>
  <c r="V38" i="20"/>
  <c r="U30" i="20"/>
  <c r="U17" i="20"/>
  <c r="T14" i="20"/>
  <c r="U11" i="20"/>
  <c r="T11" i="20"/>
  <c r="U8" i="20"/>
  <c r="U7" i="20" s="1"/>
  <c r="T4" i="20"/>
  <c r="G8" i="20"/>
  <c r="F8" i="20"/>
  <c r="G52" i="20"/>
  <c r="G48" i="20"/>
  <c r="G47" i="20"/>
  <c r="G38" i="20"/>
  <c r="G24" i="20"/>
  <c r="G25" i="20" s="1"/>
  <c r="X48" i="20"/>
  <c r="N47" i="20"/>
  <c r="AC45" i="20"/>
  <c r="AC54" i="20" s="1"/>
  <c r="X59" i="20"/>
  <c r="Y38" i="20"/>
  <c r="X30" i="20"/>
  <c r="X17" i="20"/>
  <c r="X11" i="20"/>
  <c r="X8" i="20"/>
  <c r="X7" i="20"/>
  <c r="L59" i="20"/>
  <c r="L48" i="20"/>
  <c r="M38" i="20"/>
  <c r="L30" i="20"/>
  <c r="L17" i="20"/>
  <c r="L8" i="20"/>
  <c r="L7" i="20" s="1"/>
  <c r="Z14" i="20"/>
  <c r="N14" i="20"/>
  <c r="N16" i="20" s="1"/>
  <c r="K14" i="20"/>
  <c r="N4" i="20"/>
  <c r="Z47" i="20"/>
  <c r="Z11" i="20"/>
  <c r="Z4" i="20"/>
  <c r="AB59" i="21"/>
  <c r="AA59" i="21"/>
  <c r="Z59" i="21"/>
  <c r="X59" i="21"/>
  <c r="L59" i="21"/>
  <c r="J59" i="21"/>
  <c r="F59" i="21"/>
  <c r="AB48" i="21"/>
  <c r="AA48" i="21"/>
  <c r="Z48" i="21"/>
  <c r="X48" i="21"/>
  <c r="L48" i="21"/>
  <c r="J48" i="21"/>
  <c r="F48" i="21"/>
  <c r="AA47" i="21"/>
  <c r="Z47" i="21"/>
  <c r="K47" i="21"/>
  <c r="F47" i="21"/>
  <c r="E47" i="21"/>
  <c r="AB47" i="21" s="1"/>
  <c r="D47" i="21"/>
  <c r="AB45" i="21"/>
  <c r="AA45" i="21"/>
  <c r="Z45" i="21"/>
  <c r="AB38" i="21"/>
  <c r="AA38" i="21"/>
  <c r="Z38" i="21"/>
  <c r="Y38" i="21"/>
  <c r="M38" i="21"/>
  <c r="J38" i="21"/>
  <c r="F38" i="21"/>
  <c r="E38" i="21"/>
  <c r="D38" i="21"/>
  <c r="C38" i="21"/>
  <c r="B38" i="21"/>
  <c r="AL24" i="21"/>
  <c r="AL25" i="21" s="1"/>
  <c r="AJ24" i="21"/>
  <c r="AJ25" i="21" s="1"/>
  <c r="AI24" i="21"/>
  <c r="AI25" i="21" s="1"/>
  <c r="X23" i="21"/>
  <c r="L23" i="21"/>
  <c r="L30" i="21" s="1"/>
  <c r="F23" i="21"/>
  <c r="F30" i="21" s="1"/>
  <c r="W22" i="21"/>
  <c r="W52" i="21" s="1"/>
  <c r="K22" i="21"/>
  <c r="K52" i="21" s="1"/>
  <c r="F22" i="21"/>
  <c r="F52" i="21" s="1"/>
  <c r="B22" i="21"/>
  <c r="B52" i="21" s="1"/>
  <c r="AB21" i="21"/>
  <c r="AB23" i="21" s="1"/>
  <c r="AB24" i="21" s="1"/>
  <c r="AA21" i="21"/>
  <c r="AA23" i="21" s="1"/>
  <c r="Z21" i="21"/>
  <c r="Z30" i="21" s="1"/>
  <c r="Y21" i="21"/>
  <c r="M21" i="21"/>
  <c r="J21" i="21"/>
  <c r="J23" i="21" s="1"/>
  <c r="J30" i="21" s="1"/>
  <c r="F21" i="21"/>
  <c r="E21" i="21"/>
  <c r="E22" i="21" s="1"/>
  <c r="E24" i="21" s="1"/>
  <c r="D21" i="21"/>
  <c r="D22" i="21" s="1"/>
  <c r="D52" i="21" s="1"/>
  <c r="C21" i="21"/>
  <c r="C22" i="21" s="1"/>
  <c r="C52" i="21" s="1"/>
  <c r="AK17" i="21"/>
  <c r="AJ17" i="21"/>
  <c r="X17" i="21"/>
  <c r="L17" i="21"/>
  <c r="J17" i="21"/>
  <c r="B16" i="21"/>
  <c r="B56" i="21" s="1"/>
  <c r="AB15" i="21"/>
  <c r="AA15" i="21"/>
  <c r="Z15" i="21"/>
  <c r="X15" i="21"/>
  <c r="W14" i="21" s="1"/>
  <c r="L15" i="21"/>
  <c r="K14" i="21" s="1"/>
  <c r="J15" i="21"/>
  <c r="AB14" i="21"/>
  <c r="AA14" i="21"/>
  <c r="Z14" i="21"/>
  <c r="F14" i="21"/>
  <c r="E14" i="21"/>
  <c r="R15" i="21" s="1"/>
  <c r="Q14" i="21" s="1"/>
  <c r="D14" i="21"/>
  <c r="C14" i="21"/>
  <c r="AE11" i="21"/>
  <c r="AB11" i="21"/>
  <c r="AA11" i="21"/>
  <c r="Z11" i="21"/>
  <c r="X11" i="21"/>
  <c r="W11" i="21"/>
  <c r="L11" i="21"/>
  <c r="K11" i="21"/>
  <c r="J11" i="21"/>
  <c r="F11" i="21"/>
  <c r="F16" i="21" s="1"/>
  <c r="E11" i="21"/>
  <c r="E16" i="21" s="1"/>
  <c r="D11" i="21"/>
  <c r="C11" i="21"/>
  <c r="B10" i="21"/>
  <c r="AB8" i="21"/>
  <c r="AA8" i="21"/>
  <c r="Z8" i="21"/>
  <c r="X8" i="21"/>
  <c r="X7" i="21" s="1"/>
  <c r="L8" i="21"/>
  <c r="L7" i="21" s="1"/>
  <c r="J7" i="21"/>
  <c r="AA7" i="21" s="1"/>
  <c r="F8" i="21"/>
  <c r="E8" i="21"/>
  <c r="D8" i="21"/>
  <c r="C8" i="21"/>
  <c r="W4" i="21"/>
  <c r="K4" i="21"/>
  <c r="AE59" i="20"/>
  <c r="AD59" i="20"/>
  <c r="AC59" i="20"/>
  <c r="AA59" i="20"/>
  <c r="O59" i="20"/>
  <c r="J59" i="20"/>
  <c r="F59" i="20"/>
  <c r="AD55" i="20"/>
  <c r="AC55" i="20"/>
  <c r="F52" i="20"/>
  <c r="AE48" i="20"/>
  <c r="AD48" i="20"/>
  <c r="AC48" i="20"/>
  <c r="AA48" i="20"/>
  <c r="O48" i="20"/>
  <c r="J48" i="20"/>
  <c r="AD47" i="20"/>
  <c r="AC47" i="20"/>
  <c r="W47" i="20"/>
  <c r="K47" i="20"/>
  <c r="F47" i="20"/>
  <c r="AE45" i="20"/>
  <c r="AE54" i="20" s="1"/>
  <c r="AD45" i="20"/>
  <c r="AD54" i="20" s="1"/>
  <c r="AE38" i="20"/>
  <c r="AD38" i="20"/>
  <c r="AC38" i="20"/>
  <c r="AB38" i="20"/>
  <c r="P38" i="20"/>
  <c r="J38" i="20"/>
  <c r="F38" i="20"/>
  <c r="E38" i="20"/>
  <c r="E39" i="20" s="1"/>
  <c r="D38" i="20"/>
  <c r="D39" i="20" s="1"/>
  <c r="C38" i="20"/>
  <c r="C39" i="20" s="1"/>
  <c r="B38" i="20"/>
  <c r="AA30" i="20"/>
  <c r="O30" i="20"/>
  <c r="AO24" i="20"/>
  <c r="AO25" i="20" s="1"/>
  <c r="AM24" i="20"/>
  <c r="AM25" i="20" s="1"/>
  <c r="AL24" i="20"/>
  <c r="AL25" i="20" s="1"/>
  <c r="AE24" i="20"/>
  <c r="AD24" i="20"/>
  <c r="AC24" i="20"/>
  <c r="F24" i="20"/>
  <c r="F25" i="20" s="1"/>
  <c r="J23" i="20"/>
  <c r="E22" i="20"/>
  <c r="M24" i="20" s="1"/>
  <c r="M25" i="20" s="1"/>
  <c r="D22" i="20"/>
  <c r="D52" i="20" s="1"/>
  <c r="C22" i="20"/>
  <c r="C52" i="20" s="1"/>
  <c r="B22" i="20"/>
  <c r="AN17" i="20"/>
  <c r="AM17" i="20"/>
  <c r="AA17" i="20"/>
  <c r="O17" i="20"/>
  <c r="J17" i="20"/>
  <c r="B16" i="20"/>
  <c r="B56" i="20" s="1"/>
  <c r="AE15" i="20"/>
  <c r="AD15" i="20"/>
  <c r="AC15" i="20"/>
  <c r="W14" i="20"/>
  <c r="AH11" i="20"/>
  <c r="AE11" i="20"/>
  <c r="AD11" i="20"/>
  <c r="AD16" i="20" s="1"/>
  <c r="AC11" i="20"/>
  <c r="AC16" i="20" s="1"/>
  <c r="AA11" i="20"/>
  <c r="W11" i="20"/>
  <c r="O11" i="20"/>
  <c r="K16" i="20"/>
  <c r="D16" i="20"/>
  <c r="AA8" i="20"/>
  <c r="O8" i="20"/>
  <c r="O7" i="20" s="1"/>
  <c r="K8" i="20"/>
  <c r="J8" i="20"/>
  <c r="W4" i="20"/>
  <c r="K4" i="20"/>
  <c r="V24" i="21" l="1"/>
  <c r="V25" i="21" s="1"/>
  <c r="AB7" i="21"/>
  <c r="Z10" i="21"/>
  <c r="Z39" i="21" s="1"/>
  <c r="U10" i="21"/>
  <c r="D24" i="20"/>
  <c r="D16" i="21"/>
  <c r="D56" i="21" s="1"/>
  <c r="D60" i="21" s="1"/>
  <c r="G10" i="21"/>
  <c r="G39" i="21" s="1"/>
  <c r="F89" i="3"/>
  <c r="F88" i="3" s="1"/>
  <c r="B39" i="21"/>
  <c r="C39" i="21" s="1"/>
  <c r="D39" i="21" s="1"/>
  <c r="E39" i="21" s="1"/>
  <c r="O10" i="21"/>
  <c r="H47" i="3"/>
  <c r="H72" i="3"/>
  <c r="AD56" i="20"/>
  <c r="R10" i="20"/>
  <c r="R12" i="20" s="1"/>
  <c r="R18" i="20" s="1"/>
  <c r="R57" i="20" s="1"/>
  <c r="G72" i="3"/>
  <c r="G63" i="3" s="1"/>
  <c r="H24" i="20"/>
  <c r="H25" i="20" s="1"/>
  <c r="O15" i="21"/>
  <c r="N14" i="21" s="1"/>
  <c r="O12" i="21"/>
  <c r="O18" i="21" s="1"/>
  <c r="O19" i="21" s="1"/>
  <c r="N16" i="21"/>
  <c r="N56" i="21" s="1"/>
  <c r="N60" i="21" s="1"/>
  <c r="P39" i="21"/>
  <c r="P40" i="21" s="1"/>
  <c r="B110" i="3"/>
  <c r="B95" i="3"/>
  <c r="B94" i="3"/>
  <c r="B88" i="3" s="1"/>
  <c r="B93" i="3"/>
  <c r="B92" i="3"/>
  <c r="B91" i="3"/>
  <c r="H89" i="3"/>
  <c r="H88" i="3" s="1"/>
  <c r="G47" i="3"/>
  <c r="H139" i="3"/>
  <c r="H106" i="3"/>
  <c r="H102" i="3" s="1"/>
  <c r="H16" i="21"/>
  <c r="H56" i="21" s="1"/>
  <c r="T52" i="21"/>
  <c r="G89" i="3"/>
  <c r="G88" i="3" s="1"/>
  <c r="F47" i="3"/>
  <c r="G139" i="3"/>
  <c r="G106" i="3"/>
  <c r="G102" i="3" s="1"/>
  <c r="L10" i="21"/>
  <c r="Z16" i="21"/>
  <c r="Z56" i="21" s="1"/>
  <c r="Z23" i="21"/>
  <c r="O57" i="21"/>
  <c r="H48" i="3"/>
  <c r="H43" i="3" s="1"/>
  <c r="F139" i="3"/>
  <c r="F106" i="3"/>
  <c r="F102" i="3" s="1"/>
  <c r="AA10" i="20"/>
  <c r="X10" i="20"/>
  <c r="X12" i="20" s="1"/>
  <c r="X18" i="20" s="1"/>
  <c r="X57" i="20" s="1"/>
  <c r="T16" i="20"/>
  <c r="AC10" i="20"/>
  <c r="AC32" i="20" s="1"/>
  <c r="W16" i="20"/>
  <c r="W56" i="20" s="1"/>
  <c r="J30" i="20"/>
  <c r="U10" i="20"/>
  <c r="U12" i="20" s="1"/>
  <c r="U18" i="20" s="1"/>
  <c r="U57" i="20" s="1"/>
  <c r="Q16" i="20"/>
  <c r="Q56" i="20" s="1"/>
  <c r="H34" i="3"/>
  <c r="F90" i="3"/>
  <c r="F34" i="3"/>
  <c r="G34" i="3"/>
  <c r="T16" i="21"/>
  <c r="T56" i="21" s="1"/>
  <c r="T60" i="21" s="1"/>
  <c r="U12" i="21"/>
  <c r="U18" i="21" s="1"/>
  <c r="U57" i="21" s="1"/>
  <c r="V39" i="21"/>
  <c r="V40" i="21" s="1"/>
  <c r="P24" i="21"/>
  <c r="P25" i="21" s="1"/>
  <c r="E10" i="21"/>
  <c r="W16" i="21"/>
  <c r="W56" i="21" s="1"/>
  <c r="W60" i="21" s="1"/>
  <c r="M24" i="21"/>
  <c r="M25" i="21" s="1"/>
  <c r="B32" i="21"/>
  <c r="C32" i="21" s="1"/>
  <c r="G16" i="21"/>
  <c r="G56" i="21" s="1"/>
  <c r="G30" i="21"/>
  <c r="C10" i="21"/>
  <c r="X10" i="21"/>
  <c r="X12" i="21" s="1"/>
  <c r="X18" i="21" s="1"/>
  <c r="X19" i="21" s="1"/>
  <c r="F56" i="21"/>
  <c r="H10" i="21"/>
  <c r="H12" i="21" s="1"/>
  <c r="H18" i="21" s="1"/>
  <c r="H19" i="21" s="1"/>
  <c r="R10" i="21"/>
  <c r="S39" i="21" s="1"/>
  <c r="S40" i="21" s="1"/>
  <c r="Z7" i="21"/>
  <c r="Z12" i="21" s="1"/>
  <c r="Z18" i="21" s="1"/>
  <c r="AB29" i="21"/>
  <c r="AB54" i="21" s="1"/>
  <c r="R30" i="21"/>
  <c r="L12" i="21"/>
  <c r="B24" i="21"/>
  <c r="F10" i="21"/>
  <c r="F39" i="21" s="1"/>
  <c r="AB10" i="21"/>
  <c r="AB39" i="21" s="1"/>
  <c r="F24" i="21"/>
  <c r="F25" i="21" s="1"/>
  <c r="C24" i="21"/>
  <c r="Z29" i="21"/>
  <c r="Z55" i="21" s="1"/>
  <c r="I16" i="21"/>
  <c r="I30" i="21"/>
  <c r="I57" i="21" s="1"/>
  <c r="K16" i="21"/>
  <c r="K56" i="21" s="1"/>
  <c r="K60" i="21" s="1"/>
  <c r="C16" i="21"/>
  <c r="C56" i="21" s="1"/>
  <c r="C60" i="21" s="1"/>
  <c r="AB16" i="21"/>
  <c r="AB56" i="21" s="1"/>
  <c r="AA29" i="21"/>
  <c r="AA55" i="21" s="1"/>
  <c r="E56" i="21"/>
  <c r="H30" i="21"/>
  <c r="S24" i="21"/>
  <c r="S25" i="21" s="1"/>
  <c r="Q16" i="21"/>
  <c r="Q56" i="21" s="1"/>
  <c r="Q60" i="21" s="1"/>
  <c r="R12" i="21"/>
  <c r="R18" i="21" s="1"/>
  <c r="R19" i="21" s="1"/>
  <c r="I56" i="21"/>
  <c r="H24" i="21"/>
  <c r="H25" i="21" s="1"/>
  <c r="G24" i="21"/>
  <c r="G25" i="21" s="1"/>
  <c r="I39" i="21"/>
  <c r="I32" i="21"/>
  <c r="I24" i="21"/>
  <c r="I25" i="21" s="1"/>
  <c r="I56" i="20"/>
  <c r="I32" i="20"/>
  <c r="I39" i="20"/>
  <c r="I12" i="20"/>
  <c r="I18" i="20" s="1"/>
  <c r="I19" i="20" s="1"/>
  <c r="T56" i="20"/>
  <c r="AE10" i="20"/>
  <c r="AE32" i="20" s="1"/>
  <c r="C16" i="20"/>
  <c r="C56" i="20" s="1"/>
  <c r="C60" i="20" s="1"/>
  <c r="E24" i="20"/>
  <c r="E52" i="20"/>
  <c r="AA7" i="20"/>
  <c r="E16" i="20"/>
  <c r="E56" i="20" s="1"/>
  <c r="O10" i="20"/>
  <c r="AC56" i="20"/>
  <c r="L10" i="20"/>
  <c r="Z16" i="20"/>
  <c r="Z56" i="20" s="1"/>
  <c r="N56" i="20"/>
  <c r="J7" i="20"/>
  <c r="J10" i="20"/>
  <c r="B39" i="20"/>
  <c r="B32" i="20"/>
  <c r="C32" i="20" s="1"/>
  <c r="D32" i="20" s="1"/>
  <c r="E32" i="20" s="1"/>
  <c r="F32" i="21"/>
  <c r="F16" i="20"/>
  <c r="F56" i="20" s="1"/>
  <c r="F10" i="20"/>
  <c r="F12" i="20" s="1"/>
  <c r="AA24" i="21"/>
  <c r="AD10" i="20"/>
  <c r="K56" i="20"/>
  <c r="AA16" i="21"/>
  <c r="AA10" i="21"/>
  <c r="L18" i="21"/>
  <c r="L19" i="21" s="1"/>
  <c r="J24" i="21"/>
  <c r="D32" i="21"/>
  <c r="M39" i="21"/>
  <c r="M40" i="21" s="1"/>
  <c r="AA56" i="21"/>
  <c r="AE16" i="20"/>
  <c r="AE56" i="20" s="1"/>
  <c r="B24" i="20"/>
  <c r="B52" i="20"/>
  <c r="B60" i="20" s="1"/>
  <c r="B61" i="20" s="1"/>
  <c r="B62" i="20" s="1"/>
  <c r="C21" i="23" s="1"/>
  <c r="B60" i="21"/>
  <c r="B61" i="21" s="1"/>
  <c r="B62" i="21" s="1"/>
  <c r="Z32" i="21"/>
  <c r="Y39" i="21"/>
  <c r="Y40" i="21" s="1"/>
  <c r="E52" i="21"/>
  <c r="Y24" i="21"/>
  <c r="Y25" i="21" s="1"/>
  <c r="X30" i="21"/>
  <c r="D56" i="20"/>
  <c r="D60" i="20" s="1"/>
  <c r="J10" i="21"/>
  <c r="D24" i="21"/>
  <c r="Z24" i="21"/>
  <c r="AA30" i="21"/>
  <c r="C24" i="20"/>
  <c r="J24" i="20"/>
  <c r="D10" i="21"/>
  <c r="AB30" i="21"/>
  <c r="F70" i="3"/>
  <c r="G70" i="3"/>
  <c r="H70" i="3"/>
  <c r="G26" i="3"/>
  <c r="H26" i="3"/>
  <c r="F26" i="3"/>
  <c r="B57" i="19"/>
  <c r="B56" i="19"/>
  <c r="E32" i="21" l="1"/>
  <c r="G32" i="21"/>
  <c r="AE39" i="20"/>
  <c r="G12" i="21"/>
  <c r="G18" i="21" s="1"/>
  <c r="G19" i="21" s="1"/>
  <c r="AC39" i="20"/>
  <c r="H32" i="21"/>
  <c r="F12" i="21"/>
  <c r="F18" i="21" s="1"/>
  <c r="F57" i="21" s="1"/>
  <c r="X19" i="20"/>
  <c r="H39" i="21"/>
  <c r="E60" i="20"/>
  <c r="E61" i="20" s="1"/>
  <c r="E62" i="20" s="1"/>
  <c r="C17" i="23" s="1"/>
  <c r="Z54" i="21"/>
  <c r="L57" i="21"/>
  <c r="H57" i="21"/>
  <c r="AB32" i="21"/>
  <c r="E60" i="21"/>
  <c r="Z19" i="21"/>
  <c r="Z57" i="21"/>
  <c r="AB39" i="20"/>
  <c r="Z22" i="20" s="1"/>
  <c r="Z52" i="20" s="1"/>
  <c r="Z60" i="20" s="1"/>
  <c r="I57" i="20"/>
  <c r="G57" i="21"/>
  <c r="AC49" i="25"/>
  <c r="AC57" i="25" s="1"/>
  <c r="F49" i="25"/>
  <c r="F57" i="25" s="1"/>
  <c r="AA49" i="25"/>
  <c r="AA57" i="25" s="1"/>
  <c r="AD49" i="25"/>
  <c r="AD57" i="25" s="1"/>
  <c r="I49" i="25"/>
  <c r="I57" i="25" s="1"/>
  <c r="X49" i="25"/>
  <c r="X57" i="25" s="1"/>
  <c r="H49" i="25"/>
  <c r="H57" i="25" s="1"/>
  <c r="AE49" i="25"/>
  <c r="AE57" i="25" s="1"/>
  <c r="U49" i="25"/>
  <c r="U57" i="25" s="1"/>
  <c r="L49" i="25"/>
  <c r="L57" i="25" s="1"/>
  <c r="G49" i="25"/>
  <c r="G57" i="25" s="1"/>
  <c r="R49" i="25"/>
  <c r="R57" i="25" s="1"/>
  <c r="O49" i="25"/>
  <c r="O57" i="25" s="1"/>
  <c r="AB44" i="21"/>
  <c r="AB53" i="21" s="1"/>
  <c r="AB60" i="21" s="1"/>
  <c r="AB61" i="21" s="1"/>
  <c r="AB62" i="21" s="1"/>
  <c r="U44" i="21"/>
  <c r="U53" i="21" s="1"/>
  <c r="J44" i="21"/>
  <c r="J53" i="21" s="1"/>
  <c r="F44" i="21"/>
  <c r="R44" i="21"/>
  <c r="R53" i="21" s="1"/>
  <c r="I44" i="21"/>
  <c r="I53" i="21" s="1"/>
  <c r="I60" i="21" s="1"/>
  <c r="I61" i="21" s="1"/>
  <c r="I62" i="21" s="1"/>
  <c r="F44" i="20"/>
  <c r="F53" i="20" s="1"/>
  <c r="Z44" i="21"/>
  <c r="Z53" i="21" s="1"/>
  <c r="O44" i="21"/>
  <c r="O53" i="21" s="1"/>
  <c r="O60" i="21" s="1"/>
  <c r="P60" i="21" s="1"/>
  <c r="P61" i="21" s="1"/>
  <c r="P62" i="21" s="1"/>
  <c r="H44" i="21"/>
  <c r="H53" i="21" s="1"/>
  <c r="H60" i="21" s="1"/>
  <c r="H61" i="21" s="1"/>
  <c r="H62" i="21" s="1"/>
  <c r="X44" i="21"/>
  <c r="X53" i="21" s="1"/>
  <c r="X60" i="21" s="1"/>
  <c r="Y60" i="21" s="1"/>
  <c r="Y61" i="21" s="1"/>
  <c r="Y62" i="21" s="1"/>
  <c r="L44" i="21"/>
  <c r="L53" i="21" s="1"/>
  <c r="G44" i="21"/>
  <c r="G53" i="21" s="1"/>
  <c r="AA44" i="21"/>
  <c r="AA53" i="21" s="1"/>
  <c r="H44" i="20"/>
  <c r="H53" i="20" s="1"/>
  <c r="G44" i="20"/>
  <c r="G53" i="20" s="1"/>
  <c r="AC44" i="20"/>
  <c r="AC53" i="20" s="1"/>
  <c r="L44" i="20"/>
  <c r="L53" i="20" s="1"/>
  <c r="AE44" i="20"/>
  <c r="AE53" i="20" s="1"/>
  <c r="AD44" i="20"/>
  <c r="AD53" i="20" s="1"/>
  <c r="R44" i="20"/>
  <c r="R53" i="20" s="1"/>
  <c r="O44" i="20"/>
  <c r="O53" i="20" s="1"/>
  <c r="AA44" i="20"/>
  <c r="AA53" i="20" s="1"/>
  <c r="X44" i="20"/>
  <c r="X53" i="20" s="1"/>
  <c r="X60" i="20" s="1"/>
  <c r="U44" i="20"/>
  <c r="U53" i="20" s="1"/>
  <c r="U60" i="20" s="1"/>
  <c r="I44" i="20"/>
  <c r="I53" i="20" s="1"/>
  <c r="I60" i="20" s="1"/>
  <c r="I61" i="20" s="1"/>
  <c r="I62" i="20" s="1"/>
  <c r="C19" i="23" s="1"/>
  <c r="J44" i="20"/>
  <c r="J53" i="20" s="1"/>
  <c r="R57" i="21"/>
  <c r="X57" i="21"/>
  <c r="AC44" i="25"/>
  <c r="AC53" i="25" s="1"/>
  <c r="AE44" i="25"/>
  <c r="AE53" i="25" s="1"/>
  <c r="U44" i="25"/>
  <c r="U53" i="25" s="1"/>
  <c r="L44" i="25"/>
  <c r="L53" i="25" s="1"/>
  <c r="AD44" i="25"/>
  <c r="AD53" i="25" s="1"/>
  <c r="R44" i="25"/>
  <c r="R53" i="25" s="1"/>
  <c r="J44" i="25"/>
  <c r="J53" i="25" s="1"/>
  <c r="J60" i="25" s="1"/>
  <c r="J61" i="25" s="1"/>
  <c r="J62" i="25" s="1"/>
  <c r="AA44" i="25"/>
  <c r="AA53" i="25" s="1"/>
  <c r="H44" i="25"/>
  <c r="H53" i="25" s="1"/>
  <c r="X44" i="25"/>
  <c r="X53" i="25" s="1"/>
  <c r="G44" i="25"/>
  <c r="G53" i="25" s="1"/>
  <c r="F44" i="25"/>
  <c r="F53" i="25" s="1"/>
  <c r="O44" i="25"/>
  <c r="O53" i="25" s="1"/>
  <c r="I44" i="25"/>
  <c r="I53" i="25" s="1"/>
  <c r="R19" i="20"/>
  <c r="R60" i="20"/>
  <c r="L12" i="20"/>
  <c r="L18" i="20" s="1"/>
  <c r="L57" i="20" s="1"/>
  <c r="D61" i="20"/>
  <c r="D62" i="20" s="1"/>
  <c r="C25" i="23" s="1"/>
  <c r="AA12" i="20"/>
  <c r="AA18" i="20" s="1"/>
  <c r="O12" i="20"/>
  <c r="O18" i="20" s="1"/>
  <c r="O57" i="20" s="1"/>
  <c r="V39" i="20"/>
  <c r="T22" i="20" s="1"/>
  <c r="T52" i="20" s="1"/>
  <c r="T60" i="20" s="1"/>
  <c r="C61" i="20"/>
  <c r="C62" i="20" s="1"/>
  <c r="C13" i="23" s="1"/>
  <c r="S39" i="20"/>
  <c r="Q22" i="20" s="1"/>
  <c r="Q52" i="20" s="1"/>
  <c r="Q60" i="20" s="1"/>
  <c r="G10" i="20"/>
  <c r="G32" i="20" s="1"/>
  <c r="J141" i="3"/>
  <c r="G141" i="3" s="1"/>
  <c r="J79" i="3"/>
  <c r="G79" i="3" s="1"/>
  <c r="U19" i="21"/>
  <c r="U60" i="21"/>
  <c r="V60" i="21" s="1"/>
  <c r="V61" i="21" s="1"/>
  <c r="V62" i="21" s="1"/>
  <c r="AB12" i="21"/>
  <c r="AB18" i="21" s="1"/>
  <c r="AB57" i="21" s="1"/>
  <c r="AA54" i="21"/>
  <c r="S40" i="20"/>
  <c r="U19" i="20"/>
  <c r="Y39" i="20"/>
  <c r="Y40" i="20" s="1"/>
  <c r="P39" i="20"/>
  <c r="K22" i="20" s="1"/>
  <c r="K52" i="20" s="1"/>
  <c r="G16" i="20"/>
  <c r="G56" i="20" s="1"/>
  <c r="AB19" i="21"/>
  <c r="P40" i="20"/>
  <c r="F19" i="21"/>
  <c r="AD32" i="20"/>
  <c r="AD39" i="20"/>
  <c r="J12" i="20"/>
  <c r="J18" i="20" s="1"/>
  <c r="J57" i="20" s="1"/>
  <c r="J39" i="20"/>
  <c r="J32" i="20"/>
  <c r="J39" i="21"/>
  <c r="J32" i="21"/>
  <c r="J12" i="21"/>
  <c r="J18" i="21" s="1"/>
  <c r="J57" i="21" s="1"/>
  <c r="E61" i="21"/>
  <c r="E62" i="21" s="1"/>
  <c r="C61" i="21"/>
  <c r="C62" i="21" s="1"/>
  <c r="F39" i="20"/>
  <c r="F32" i="20"/>
  <c r="F18" i="20"/>
  <c r="F57" i="20" s="1"/>
  <c r="D61" i="21"/>
  <c r="D62" i="21" s="1"/>
  <c r="AE7" i="20"/>
  <c r="AE12" i="20" s="1"/>
  <c r="AE18" i="20" s="1"/>
  <c r="AE57" i="20" s="1"/>
  <c r="AD7" i="20"/>
  <c r="AD12" i="20" s="1"/>
  <c r="AD18" i="20" s="1"/>
  <c r="AD57" i="20" s="1"/>
  <c r="AC7" i="20"/>
  <c r="AC12" i="20" s="1"/>
  <c r="AC18" i="20" s="1"/>
  <c r="AC57" i="20" s="1"/>
  <c r="AA39" i="21"/>
  <c r="AA12" i="21"/>
  <c r="AA18" i="21" s="1"/>
  <c r="AA57" i="21" s="1"/>
  <c r="AA32" i="21"/>
  <c r="B58" i="19"/>
  <c r="B59" i="19" s="1"/>
  <c r="F6" i="3"/>
  <c r="F7" i="3" s="1"/>
  <c r="B35" i="18"/>
  <c r="C35" i="18" s="1"/>
  <c r="F33" i="3"/>
  <c r="F35" i="3"/>
  <c r="G35" i="11" s="1"/>
  <c r="F51" i="3"/>
  <c r="F52" i="3" s="1"/>
  <c r="I36" i="18"/>
  <c r="F65" i="3"/>
  <c r="F66" i="3"/>
  <c r="F69" i="3"/>
  <c r="F71" i="3"/>
  <c r="O44" i="10"/>
  <c r="O42" i="10" s="1"/>
  <c r="F136" i="3"/>
  <c r="O74" i="10"/>
  <c r="O35" i="10"/>
  <c r="O9" i="10"/>
  <c r="O73" i="11"/>
  <c r="O74" i="11"/>
  <c r="O35" i="12"/>
  <c r="O16" i="12"/>
  <c r="O9" i="12"/>
  <c r="O16" i="18"/>
  <c r="J15" i="18"/>
  <c r="K15" i="18"/>
  <c r="L15" i="18"/>
  <c r="M15" i="18"/>
  <c r="N15" i="18"/>
  <c r="I15" i="18"/>
  <c r="C15" i="18"/>
  <c r="D15" i="18"/>
  <c r="E15" i="18"/>
  <c r="F15" i="18"/>
  <c r="G15" i="18"/>
  <c r="H15" i="18"/>
  <c r="B15" i="18"/>
  <c r="B23" i="18"/>
  <c r="N42" i="18"/>
  <c r="H42" i="18"/>
  <c r="G42" i="18"/>
  <c r="M42" i="18" s="1"/>
  <c r="N40" i="18"/>
  <c r="M40" i="18"/>
  <c r="L40" i="18"/>
  <c r="K40" i="18"/>
  <c r="J40" i="18"/>
  <c r="I40" i="18"/>
  <c r="N36" i="18"/>
  <c r="M36" i="18"/>
  <c r="O35" i="18"/>
  <c r="O57" i="18" s="1"/>
  <c r="O9" i="18"/>
  <c r="N8" i="18"/>
  <c r="M8" i="18"/>
  <c r="L8" i="18"/>
  <c r="K8" i="18"/>
  <c r="J8" i="18"/>
  <c r="I8" i="18"/>
  <c r="I50" i="3"/>
  <c r="I8" i="3"/>
  <c r="I9" i="3"/>
  <c r="I10" i="3" s="1"/>
  <c r="O35" i="11"/>
  <c r="O57" i="11" s="1"/>
  <c r="O9" i="11"/>
  <c r="B23" i="11"/>
  <c r="N23" i="11" s="1"/>
  <c r="R127" i="3"/>
  <c r="B14" i="2"/>
  <c r="C7" i="2"/>
  <c r="B5" i="2"/>
  <c r="I20" i="7" s="1"/>
  <c r="J15" i="3"/>
  <c r="F14" i="3" s="1"/>
  <c r="E6" i="2"/>
  <c r="E7" i="2" s="1"/>
  <c r="F5" i="2"/>
  <c r="L12" i="7" s="1"/>
  <c r="L13" i="7" s="1"/>
  <c r="C5" i="2"/>
  <c r="D8" i="7" s="1"/>
  <c r="H42" i="12"/>
  <c r="G6" i="3"/>
  <c r="G7" i="3" s="1"/>
  <c r="G51" i="3"/>
  <c r="H6" i="3"/>
  <c r="H7" i="3" s="1"/>
  <c r="J15" i="10" s="1"/>
  <c r="H51" i="3"/>
  <c r="R163" i="3"/>
  <c r="G8" i="2"/>
  <c r="J167" i="3" s="1"/>
  <c r="J168" i="3" s="1"/>
  <c r="R165" i="3"/>
  <c r="R156" i="3"/>
  <c r="J160" i="3"/>
  <c r="J161" i="3" s="1"/>
  <c r="R158" i="3"/>
  <c r="R172" i="3"/>
  <c r="R170" i="3"/>
  <c r="G113" i="3"/>
  <c r="I42" i="12" s="1"/>
  <c r="J42" i="12" s="1"/>
  <c r="H113" i="3"/>
  <c r="G80" i="3"/>
  <c r="N8" i="12" s="1"/>
  <c r="I3" i="7"/>
  <c r="G5" i="2"/>
  <c r="M20" i="7" s="1"/>
  <c r="H5" i="2"/>
  <c r="H8" i="7" s="1"/>
  <c r="E5" i="2"/>
  <c r="E16" i="7" s="1"/>
  <c r="I8" i="11"/>
  <c r="J8" i="11"/>
  <c r="K8" i="11"/>
  <c r="L8" i="11"/>
  <c r="M8" i="11"/>
  <c r="N8" i="11"/>
  <c r="D29" i="7"/>
  <c r="F53" i="3" s="1"/>
  <c r="F54" i="3" s="1"/>
  <c r="G42" i="10"/>
  <c r="M42" i="10" s="1"/>
  <c r="H42" i="10"/>
  <c r="G69" i="3"/>
  <c r="H69" i="3"/>
  <c r="B23" i="12"/>
  <c r="M23" i="12" s="1"/>
  <c r="M25" i="12" s="1"/>
  <c r="M26" i="12" s="1"/>
  <c r="B23" i="10"/>
  <c r="J19" i="3"/>
  <c r="B35" i="10"/>
  <c r="G7" i="2"/>
  <c r="H33" i="3"/>
  <c r="F3" i="7"/>
  <c r="F4" i="7" s="1"/>
  <c r="H35" i="3"/>
  <c r="G35" i="10" s="1"/>
  <c r="G3" i="7"/>
  <c r="G4" i="7"/>
  <c r="H3" i="7"/>
  <c r="H4" i="7" s="1"/>
  <c r="J62" i="3"/>
  <c r="E3" i="7"/>
  <c r="N42" i="10"/>
  <c r="B35" i="12"/>
  <c r="C35" i="12" s="1"/>
  <c r="G33" i="3"/>
  <c r="G35" i="3"/>
  <c r="G35" i="12" s="1"/>
  <c r="G42" i="12"/>
  <c r="M42" i="12"/>
  <c r="G42" i="11"/>
  <c r="M42" i="11" s="1"/>
  <c r="H42" i="11"/>
  <c r="M36" i="11"/>
  <c r="N42" i="11"/>
  <c r="B28" i="7"/>
  <c r="D16" i="7"/>
  <c r="B20" i="7"/>
  <c r="F20" i="7"/>
  <c r="J20" i="7"/>
  <c r="L20" i="7"/>
  <c r="F16" i="7"/>
  <c r="F17" i="7" s="1"/>
  <c r="J16" i="7"/>
  <c r="L16" i="7"/>
  <c r="D12" i="7"/>
  <c r="D13" i="7" s="1"/>
  <c r="F12" i="7"/>
  <c r="F13" i="7" s="1"/>
  <c r="J12" i="7"/>
  <c r="J13" i="7" s="1"/>
  <c r="M12" i="7"/>
  <c r="F8" i="7"/>
  <c r="I7" i="7"/>
  <c r="I8" i="7" s="1"/>
  <c r="I9" i="7" s="1"/>
  <c r="J7" i="7"/>
  <c r="J8" i="7" s="1"/>
  <c r="J9" i="7" s="1"/>
  <c r="K7" i="7"/>
  <c r="L7" i="7"/>
  <c r="L8" i="7" s="1"/>
  <c r="M7" i="7"/>
  <c r="N7" i="7"/>
  <c r="C29" i="7"/>
  <c r="G53" i="3" s="1"/>
  <c r="G54" i="3" s="1"/>
  <c r="B29" i="7"/>
  <c r="H53" i="3" s="1"/>
  <c r="H54" i="3" s="1"/>
  <c r="C28" i="7"/>
  <c r="D28" i="7"/>
  <c r="D5" i="2"/>
  <c r="G71" i="3"/>
  <c r="H71" i="3"/>
  <c r="C10" i="2"/>
  <c r="F11" i="2" s="1"/>
  <c r="H10" i="2"/>
  <c r="B10" i="2"/>
  <c r="E10" i="2"/>
  <c r="F10" i="2"/>
  <c r="G10" i="2"/>
  <c r="J18" i="3"/>
  <c r="J61" i="3"/>
  <c r="J68" i="3"/>
  <c r="G68" i="3" s="1"/>
  <c r="H66" i="3"/>
  <c r="G66" i="3"/>
  <c r="H65" i="3"/>
  <c r="G65" i="3"/>
  <c r="G136" i="3"/>
  <c r="H136" i="3"/>
  <c r="N40" i="12"/>
  <c r="M40" i="12"/>
  <c r="L40" i="12"/>
  <c r="K40" i="12"/>
  <c r="J40" i="12"/>
  <c r="I40" i="12"/>
  <c r="N40" i="10"/>
  <c r="M40" i="10"/>
  <c r="L40" i="10"/>
  <c r="K40" i="10"/>
  <c r="J40" i="10"/>
  <c r="I40" i="10"/>
  <c r="N40" i="11"/>
  <c r="M40" i="11"/>
  <c r="L40" i="11"/>
  <c r="K40" i="11"/>
  <c r="J40" i="11"/>
  <c r="I40" i="11"/>
  <c r="J50" i="3"/>
  <c r="J52" i="3"/>
  <c r="F6" i="2"/>
  <c r="F8" i="2" s="1"/>
  <c r="C8" i="2"/>
  <c r="B7" i="2"/>
  <c r="B8" i="2"/>
  <c r="H6" i="2"/>
  <c r="H7" i="2"/>
  <c r="B36" i="7"/>
  <c r="B39" i="7"/>
  <c r="C39" i="7"/>
  <c r="D39" i="7"/>
  <c r="E39" i="7"/>
  <c r="B35" i="7"/>
  <c r="C35" i="7"/>
  <c r="D35" i="7"/>
  <c r="E35" i="7"/>
  <c r="C36" i="7"/>
  <c r="D36" i="7"/>
  <c r="E36" i="7"/>
  <c r="B37" i="7"/>
  <c r="C37" i="7"/>
  <c r="D37" i="7"/>
  <c r="E37" i="7"/>
  <c r="B38" i="7"/>
  <c r="C38" i="7"/>
  <c r="D38" i="7"/>
  <c r="E38" i="7"/>
  <c r="C34" i="7"/>
  <c r="D34" i="7"/>
  <c r="E34" i="7"/>
  <c r="B34" i="7"/>
  <c r="F7" i="2"/>
  <c r="J14" i="3"/>
  <c r="J38" i="3" l="1"/>
  <c r="I99" i="26"/>
  <c r="I100" i="26" s="1"/>
  <c r="I101" i="26"/>
  <c r="H99" i="26"/>
  <c r="H100" i="26" s="1"/>
  <c r="C102" i="26"/>
  <c r="G102" i="26"/>
  <c r="C99" i="26"/>
  <c r="C100" i="26" s="1"/>
  <c r="D99" i="26"/>
  <c r="D100" i="26" s="1"/>
  <c r="F102" i="26"/>
  <c r="G99" i="26"/>
  <c r="G100" i="26" s="1"/>
  <c r="B99" i="26"/>
  <c r="E99" i="26"/>
  <c r="E100" i="26" s="1"/>
  <c r="B102" i="26"/>
  <c r="F99" i="26"/>
  <c r="D101" i="26"/>
  <c r="E101" i="26"/>
  <c r="D102" i="26"/>
  <c r="F101" i="26"/>
  <c r="G101" i="26"/>
  <c r="H101" i="26"/>
  <c r="E102" i="26"/>
  <c r="C101" i="26"/>
  <c r="I102" i="26"/>
  <c r="H102" i="26"/>
  <c r="B101" i="26"/>
  <c r="K8" i="7"/>
  <c r="M16" i="7"/>
  <c r="M17" i="7" s="1"/>
  <c r="K20" i="7"/>
  <c r="G16" i="7"/>
  <c r="G17" i="7" s="1"/>
  <c r="M9" i="11"/>
  <c r="K12" i="7"/>
  <c r="K13" i="7" s="1"/>
  <c r="L9" i="11"/>
  <c r="G60" i="21"/>
  <c r="G61" i="21" s="1"/>
  <c r="G62" i="21" s="1"/>
  <c r="K16" i="7"/>
  <c r="G20" i="7"/>
  <c r="K9" i="11"/>
  <c r="L60" i="21"/>
  <c r="M60" i="21" s="1"/>
  <c r="M61" i="21" s="1"/>
  <c r="M62" i="21" s="1"/>
  <c r="J17" i="7"/>
  <c r="G11" i="2"/>
  <c r="B11" i="2"/>
  <c r="J126" i="3"/>
  <c r="H11" i="2"/>
  <c r="G8" i="7"/>
  <c r="G12" i="7"/>
  <c r="I16" i="7"/>
  <c r="I17" i="7" s="1"/>
  <c r="E20" i="7"/>
  <c r="E4" i="7"/>
  <c r="J138" i="3"/>
  <c r="F138" i="3" s="1"/>
  <c r="H122" i="3"/>
  <c r="F122" i="3"/>
  <c r="G122" i="3"/>
  <c r="M8" i="7"/>
  <c r="M9" i="7" s="1"/>
  <c r="E8" i="7"/>
  <c r="E9" i="7" s="1"/>
  <c r="E12" i="7"/>
  <c r="E13" i="7" s="1"/>
  <c r="Z60" i="21"/>
  <c r="Z61" i="21" s="1"/>
  <c r="Z62" i="21" s="1"/>
  <c r="G60" i="25"/>
  <c r="G61" i="25" s="1"/>
  <c r="G62" i="25" s="1"/>
  <c r="AD60" i="25"/>
  <c r="AD61" i="25" s="1"/>
  <c r="AD62" i="25" s="1"/>
  <c r="U60" i="25"/>
  <c r="V60" i="25" s="1"/>
  <c r="V61" i="25" s="1"/>
  <c r="V62" i="25" s="1"/>
  <c r="AC60" i="25"/>
  <c r="AC61" i="25" s="1"/>
  <c r="AC62" i="25" s="1"/>
  <c r="AE60" i="25"/>
  <c r="AE61" i="25" s="1"/>
  <c r="AE62" i="25" s="1"/>
  <c r="AA60" i="25"/>
  <c r="AB60" i="25" s="1"/>
  <c r="AB61" i="25" s="1"/>
  <c r="AB62" i="25" s="1"/>
  <c r="O60" i="25"/>
  <c r="P60" i="25" s="1"/>
  <c r="P61" i="25" s="1"/>
  <c r="P62" i="25" s="1"/>
  <c r="F5" i="7"/>
  <c r="D9" i="7"/>
  <c r="G9" i="7"/>
  <c r="C16" i="7"/>
  <c r="C17" i="7" s="1"/>
  <c r="J9" i="11"/>
  <c r="J148" i="3"/>
  <c r="H147" i="3" s="1"/>
  <c r="C45" i="10" s="1"/>
  <c r="C12" i="7"/>
  <c r="C13" i="7" s="1"/>
  <c r="I12" i="7"/>
  <c r="I13" i="7" s="1"/>
  <c r="G5" i="7"/>
  <c r="I9" i="11"/>
  <c r="H60" i="25"/>
  <c r="H61" i="25" s="1"/>
  <c r="H62" i="25" s="1"/>
  <c r="E11" i="2"/>
  <c r="B12" i="7"/>
  <c r="B13" i="7" s="1"/>
  <c r="G13" i="7"/>
  <c r="B16" i="7"/>
  <c r="B17" i="7" s="1"/>
  <c r="E21" i="7"/>
  <c r="C4" i="7"/>
  <c r="D4" i="7"/>
  <c r="D5" i="7" s="1"/>
  <c r="J174" i="3"/>
  <c r="J175" i="3" s="1"/>
  <c r="J152" i="3"/>
  <c r="L9" i="18"/>
  <c r="L9" i="7"/>
  <c r="B8" i="7"/>
  <c r="B9" i="7" s="1"/>
  <c r="C11" i="2"/>
  <c r="M13" i="7"/>
  <c r="L17" i="7"/>
  <c r="C20" i="7"/>
  <c r="C8" i="7"/>
  <c r="C9" i="7" s="1"/>
  <c r="B4" i="7"/>
  <c r="H9" i="7"/>
  <c r="R60" i="21"/>
  <c r="S60" i="21" s="1"/>
  <c r="S61" i="21" s="1"/>
  <c r="S62" i="21" s="1"/>
  <c r="K9" i="7"/>
  <c r="F9" i="7"/>
  <c r="J129" i="3"/>
  <c r="H129" i="3" s="1"/>
  <c r="K17" i="7"/>
  <c r="D20" i="7"/>
  <c r="D21" i="7" s="1"/>
  <c r="W22" i="20"/>
  <c r="W52" i="20" s="1"/>
  <c r="W60" i="20" s="1"/>
  <c r="I60" i="25"/>
  <c r="I61" i="25" s="1"/>
  <c r="I62" i="25" s="1"/>
  <c r="R60" i="25"/>
  <c r="S60" i="25" s="1"/>
  <c r="S61" i="25" s="1"/>
  <c r="S62" i="25" s="1"/>
  <c r="J130" i="3"/>
  <c r="H130" i="3" s="1"/>
  <c r="J150" i="3"/>
  <c r="G149" i="3" s="1"/>
  <c r="J29" i="3"/>
  <c r="E8" i="2"/>
  <c r="N8" i="7"/>
  <c r="N9" i="7" s="1"/>
  <c r="N12" i="7"/>
  <c r="N13" i="7" s="1"/>
  <c r="H12" i="7"/>
  <c r="H13" i="7" s="1"/>
  <c r="E17" i="7"/>
  <c r="N20" i="7"/>
  <c r="N9" i="11"/>
  <c r="J115" i="3"/>
  <c r="F115" i="3" s="1"/>
  <c r="F114" i="3" s="1"/>
  <c r="F113" i="3" s="1"/>
  <c r="I9" i="18"/>
  <c r="M9" i="18"/>
  <c r="AB40" i="20"/>
  <c r="X60" i="25"/>
  <c r="Y60" i="25" s="1"/>
  <c r="Y61" i="25" s="1"/>
  <c r="Y62" i="25" s="1"/>
  <c r="J127" i="3"/>
  <c r="F127" i="3" s="1"/>
  <c r="J41" i="3"/>
  <c r="J36" i="3" s="1"/>
  <c r="F36" i="3" s="1"/>
  <c r="J134" i="3"/>
  <c r="G132" i="3" s="1"/>
  <c r="J28" i="3"/>
  <c r="F27" i="3" s="1"/>
  <c r="J40" i="3"/>
  <c r="J137" i="3"/>
  <c r="F137" i="3" s="1"/>
  <c r="H137" i="3" s="1"/>
  <c r="N16" i="7"/>
  <c r="N17" i="7" s="1"/>
  <c r="H16" i="7"/>
  <c r="H17" i="7" s="1"/>
  <c r="D17" i="7"/>
  <c r="H20" i="7"/>
  <c r="J170" i="3"/>
  <c r="J125" i="3"/>
  <c r="J124" i="3" s="1"/>
  <c r="G124" i="3" s="1"/>
  <c r="J9" i="18"/>
  <c r="N9" i="18"/>
  <c r="N22" i="20"/>
  <c r="N52" i="20" s="1"/>
  <c r="N60" i="20" s="1"/>
  <c r="AA19" i="20"/>
  <c r="AA57" i="20"/>
  <c r="AA60" i="20" s="1"/>
  <c r="AB60" i="20" s="1"/>
  <c r="J133" i="3"/>
  <c r="F132" i="3" s="1"/>
  <c r="J67" i="3"/>
  <c r="F67" i="3" s="1"/>
  <c r="J39" i="3"/>
  <c r="N9" i="12"/>
  <c r="N12" i="12" s="1"/>
  <c r="J156" i="3"/>
  <c r="J163" i="3"/>
  <c r="J164" i="3" s="1"/>
  <c r="I11" i="3"/>
  <c r="K9" i="18"/>
  <c r="F60" i="25"/>
  <c r="F61" i="25" s="1"/>
  <c r="F62" i="25" s="1"/>
  <c r="L60" i="25"/>
  <c r="M60" i="25" s="1"/>
  <c r="M61" i="25" s="1"/>
  <c r="M62" i="25" s="1"/>
  <c r="V60" i="20"/>
  <c r="V61" i="20" s="1"/>
  <c r="V62" i="20" s="1"/>
  <c r="C20" i="23" s="1"/>
  <c r="O19" i="20"/>
  <c r="O60" i="20"/>
  <c r="L19" i="20"/>
  <c r="L60" i="20"/>
  <c r="V40" i="20"/>
  <c r="S60" i="20"/>
  <c r="S61" i="20" s="1"/>
  <c r="S62" i="20" s="1"/>
  <c r="C28" i="23" s="1"/>
  <c r="O16" i="11"/>
  <c r="O16" i="10"/>
  <c r="K15" i="11"/>
  <c r="G32" i="3"/>
  <c r="G31" i="3" s="1"/>
  <c r="E35" i="12" s="1"/>
  <c r="F35" i="12" s="1"/>
  <c r="H32" i="3"/>
  <c r="H31" i="3" s="1"/>
  <c r="E35" i="10" s="1"/>
  <c r="F35" i="10" s="1"/>
  <c r="F32" i="3"/>
  <c r="F31" i="3" s="1"/>
  <c r="E35" i="18" s="1"/>
  <c r="F35" i="18" s="1"/>
  <c r="H10" i="20"/>
  <c r="H16" i="20"/>
  <c r="H56" i="20" s="1"/>
  <c r="G12" i="20"/>
  <c r="G18" i="20" s="1"/>
  <c r="G57" i="20" s="1"/>
  <c r="G39" i="20"/>
  <c r="L15" i="11"/>
  <c r="G15" i="11"/>
  <c r="H46" i="3"/>
  <c r="H35" i="10" s="1"/>
  <c r="B35" i="11"/>
  <c r="D35" i="11" s="1"/>
  <c r="F8" i="3"/>
  <c r="F11" i="3" s="1"/>
  <c r="AD19" i="20"/>
  <c r="AD60" i="20"/>
  <c r="AD61" i="20" s="1"/>
  <c r="AD62" i="20" s="1"/>
  <c r="C14" i="23" s="1"/>
  <c r="AE19" i="20"/>
  <c r="AE60" i="20"/>
  <c r="AE61" i="20" s="1"/>
  <c r="AE62" i="20" s="1"/>
  <c r="C18" i="23" s="1"/>
  <c r="J19" i="21"/>
  <c r="J60" i="21"/>
  <c r="J61" i="21" s="1"/>
  <c r="J62" i="21" s="1"/>
  <c r="AA19" i="21"/>
  <c r="AA60" i="21"/>
  <c r="AA61" i="21" s="1"/>
  <c r="AA62" i="21" s="1"/>
  <c r="J60" i="20"/>
  <c r="J61" i="20" s="1"/>
  <c r="J62" i="20" s="1"/>
  <c r="C29" i="23" s="1"/>
  <c r="J19" i="20"/>
  <c r="AC19" i="20"/>
  <c r="AC60" i="20"/>
  <c r="AC61" i="20" s="1"/>
  <c r="AC62" i="20" s="1"/>
  <c r="C22" i="23" s="1"/>
  <c r="F19" i="20"/>
  <c r="F60" i="20"/>
  <c r="F61" i="20" s="1"/>
  <c r="F62" i="20" s="1"/>
  <c r="C23" i="23" s="1"/>
  <c r="AB24" i="20"/>
  <c r="AB25" i="20" s="1"/>
  <c r="K60" i="20"/>
  <c r="P24" i="20"/>
  <c r="P25" i="20" s="1"/>
  <c r="O44" i="11"/>
  <c r="O42" i="11" s="1"/>
  <c r="N15" i="11"/>
  <c r="I15" i="11"/>
  <c r="M15" i="11"/>
  <c r="J15" i="11"/>
  <c r="K36" i="12"/>
  <c r="B42" i="12"/>
  <c r="D42" i="12" s="1"/>
  <c r="J36" i="18"/>
  <c r="F9" i="3"/>
  <c r="F10" i="3" s="1"/>
  <c r="L36" i="11"/>
  <c r="N42" i="12"/>
  <c r="G46" i="3"/>
  <c r="H35" i="12" s="1"/>
  <c r="G35" i="18"/>
  <c r="E15" i="11"/>
  <c r="H15" i="11"/>
  <c r="F46" i="3"/>
  <c r="H35" i="18" s="1"/>
  <c r="N32" i="11"/>
  <c r="N55" i="11" s="1"/>
  <c r="N84" i="11"/>
  <c r="N99" i="11" s="1"/>
  <c r="I23" i="12"/>
  <c r="I83" i="12" s="1"/>
  <c r="G138" i="3"/>
  <c r="H138" i="3"/>
  <c r="C23" i="12"/>
  <c r="C24" i="12" s="1"/>
  <c r="H68" i="3"/>
  <c r="F68" i="3"/>
  <c r="N31" i="11"/>
  <c r="N52" i="11" s="1"/>
  <c r="N25" i="11"/>
  <c r="N83" i="11"/>
  <c r="N93" i="11" s="1"/>
  <c r="J15" i="12"/>
  <c r="D15" i="12"/>
  <c r="J23" i="11"/>
  <c r="J25" i="11" s="1"/>
  <c r="C23" i="11"/>
  <c r="C83" i="11" s="1"/>
  <c r="C93" i="11" s="1"/>
  <c r="C23" i="18"/>
  <c r="D23" i="18" s="1"/>
  <c r="J23" i="18"/>
  <c r="J31" i="18" s="1"/>
  <c r="I23" i="18"/>
  <c r="I31" i="18" s="1"/>
  <c r="J158" i="3"/>
  <c r="J159" i="3" s="1"/>
  <c r="B83" i="11"/>
  <c r="B93" i="11" s="1"/>
  <c r="J157" i="3"/>
  <c r="L23" i="11"/>
  <c r="L83" i="11" s="1"/>
  <c r="L93" i="11" s="1"/>
  <c r="O44" i="12"/>
  <c r="O42" i="12" s="1"/>
  <c r="O58" i="12" s="1"/>
  <c r="K23" i="12"/>
  <c r="K25" i="12" s="1"/>
  <c r="B84" i="12"/>
  <c r="B99" i="12" s="1"/>
  <c r="B24" i="12"/>
  <c r="B49" i="12" s="1"/>
  <c r="O44" i="18"/>
  <c r="O42" i="18" s="1"/>
  <c r="O58" i="18" s="1"/>
  <c r="O56" i="18" s="1"/>
  <c r="O61" i="18" s="1"/>
  <c r="L36" i="18"/>
  <c r="I36" i="11"/>
  <c r="J36" i="11"/>
  <c r="N36" i="11"/>
  <c r="N50" i="11" s="1"/>
  <c r="N73" i="11" s="1"/>
  <c r="K36" i="18"/>
  <c r="K36" i="11"/>
  <c r="F50" i="3"/>
  <c r="B83" i="12"/>
  <c r="B93" i="12" s="1"/>
  <c r="D15" i="11"/>
  <c r="B15" i="11"/>
  <c r="C15" i="11"/>
  <c r="F15" i="11"/>
  <c r="J165" i="3"/>
  <c r="J166" i="3" s="1"/>
  <c r="M31" i="12"/>
  <c r="M83" i="12"/>
  <c r="M93" i="12" s="1"/>
  <c r="C35" i="10"/>
  <c r="B84" i="10"/>
  <c r="B99" i="10" s="1"/>
  <c r="B83" i="10"/>
  <c r="B93" i="10" s="1"/>
  <c r="L23" i="10"/>
  <c r="J23" i="10"/>
  <c r="I23" i="10"/>
  <c r="B24" i="10"/>
  <c r="B26" i="10" s="1"/>
  <c r="K23" i="10"/>
  <c r="K83" i="10" s="1"/>
  <c r="K93" i="10" s="1"/>
  <c r="K15" i="10"/>
  <c r="E15" i="10"/>
  <c r="M15" i="10"/>
  <c r="H15" i="10"/>
  <c r="H8" i="3"/>
  <c r="H11" i="3" s="1"/>
  <c r="N15" i="10"/>
  <c r="F15" i="10"/>
  <c r="G15" i="10"/>
  <c r="L15" i="10"/>
  <c r="B15" i="10"/>
  <c r="G9" i="3"/>
  <c r="G10" i="3" s="1"/>
  <c r="F15" i="12"/>
  <c r="L15" i="12"/>
  <c r="I15" i="12"/>
  <c r="G8" i="3"/>
  <c r="G11" i="3" s="1"/>
  <c r="B15" i="12"/>
  <c r="H9" i="3"/>
  <c r="H10" i="3" s="1"/>
  <c r="C23" i="10"/>
  <c r="E15" i="12"/>
  <c r="K15" i="12"/>
  <c r="D15" i="10"/>
  <c r="N15" i="12"/>
  <c r="C15" i="12"/>
  <c r="C15" i="10"/>
  <c r="L8" i="12"/>
  <c r="L9" i="12" s="1"/>
  <c r="H80" i="3"/>
  <c r="J8" i="12"/>
  <c r="J9" i="12" s="1"/>
  <c r="M32" i="12"/>
  <c r="M55" i="12" s="1"/>
  <c r="M23" i="10"/>
  <c r="K8" i="12"/>
  <c r="K9" i="12" s="1"/>
  <c r="G15" i="12"/>
  <c r="I15" i="10"/>
  <c r="D42" i="10"/>
  <c r="C42" i="10"/>
  <c r="B42" i="10"/>
  <c r="D35" i="18"/>
  <c r="M51" i="12"/>
  <c r="M84" i="12"/>
  <c r="M99" i="12" s="1"/>
  <c r="D35" i="10"/>
  <c r="M8" i="12"/>
  <c r="M9" i="12" s="1"/>
  <c r="I8" i="12"/>
  <c r="I9" i="12" s="1"/>
  <c r="M15" i="12"/>
  <c r="N23" i="10"/>
  <c r="H52" i="3"/>
  <c r="H50" i="3"/>
  <c r="H15" i="12"/>
  <c r="G14" i="3"/>
  <c r="H14" i="3"/>
  <c r="J3" i="7"/>
  <c r="I4" i="7"/>
  <c r="I5" i="7" s="1"/>
  <c r="B24" i="18"/>
  <c r="B26" i="18" s="1"/>
  <c r="K23" i="18"/>
  <c r="K25" i="18" s="1"/>
  <c r="K51" i="18" s="1"/>
  <c r="N23" i="18"/>
  <c r="N32" i="18" s="1"/>
  <c r="N55" i="18" s="1"/>
  <c r="J23" i="12"/>
  <c r="J83" i="12" s="1"/>
  <c r="J93" i="12" s="1"/>
  <c r="N23" i="12"/>
  <c r="L23" i="12"/>
  <c r="G50" i="3"/>
  <c r="G52" i="3"/>
  <c r="K23" i="11"/>
  <c r="I23" i="11"/>
  <c r="B84" i="11"/>
  <c r="B99" i="11" s="1"/>
  <c r="D35" i="12"/>
  <c r="G147" i="3"/>
  <c r="M23" i="18"/>
  <c r="L23" i="18"/>
  <c r="B84" i="18"/>
  <c r="B99" i="18" s="1"/>
  <c r="B83" i="18"/>
  <c r="B93" i="18" s="1"/>
  <c r="B24" i="11"/>
  <c r="M23" i="11"/>
  <c r="F100" i="26" l="1"/>
  <c r="I21" i="23" s="1"/>
  <c r="I5" i="23"/>
  <c r="B5" i="7"/>
  <c r="I25" i="23"/>
  <c r="B100" i="26"/>
  <c r="C5" i="7"/>
  <c r="F117" i="3"/>
  <c r="F118" i="3" s="1"/>
  <c r="F116" i="3" s="1"/>
  <c r="H115" i="3"/>
  <c r="H117" i="3" s="1"/>
  <c r="H118" i="3" s="1"/>
  <c r="H116" i="3" s="1"/>
  <c r="F42" i="10" s="1"/>
  <c r="J171" i="3"/>
  <c r="G130" i="3"/>
  <c r="F130" i="3"/>
  <c r="J37" i="3"/>
  <c r="F37" i="3" s="1"/>
  <c r="H37" i="3" s="1"/>
  <c r="H149" i="3"/>
  <c r="G67" i="3"/>
  <c r="F149" i="3"/>
  <c r="H67" i="3"/>
  <c r="C35" i="11"/>
  <c r="G115" i="3"/>
  <c r="G117" i="3" s="1"/>
  <c r="G118" i="3" s="1"/>
  <c r="G116" i="3" s="1"/>
  <c r="E42" i="12" s="1"/>
  <c r="F42" i="12" s="1"/>
  <c r="H132" i="3"/>
  <c r="F147" i="3"/>
  <c r="C45" i="11" s="1"/>
  <c r="J172" i="3"/>
  <c r="J173" i="3" s="1"/>
  <c r="F129" i="3"/>
  <c r="G129" i="3"/>
  <c r="F21" i="7"/>
  <c r="J21" i="7"/>
  <c r="G137" i="3"/>
  <c r="F124" i="3"/>
  <c r="F123" i="3" s="1"/>
  <c r="L21" i="7"/>
  <c r="V24" i="20"/>
  <c r="V25" i="20" s="1"/>
  <c r="M21" i="7"/>
  <c r="H124" i="3"/>
  <c r="H123" i="3" s="1"/>
  <c r="Y24" i="20"/>
  <c r="Y25" i="20" s="1"/>
  <c r="S24" i="20"/>
  <c r="S25" i="20" s="1"/>
  <c r="H21" i="7"/>
  <c r="N21" i="7"/>
  <c r="B21" i="7"/>
  <c r="C21" i="7"/>
  <c r="K21" i="7"/>
  <c r="H5" i="7"/>
  <c r="I21" i="7"/>
  <c r="G21" i="7"/>
  <c r="E5" i="7"/>
  <c r="G127" i="3"/>
  <c r="H127" i="3"/>
  <c r="E35" i="11"/>
  <c r="F35" i="11" s="1"/>
  <c r="P60" i="20"/>
  <c r="P61" i="20" s="1"/>
  <c r="P62" i="20" s="1"/>
  <c r="C16" i="23" s="1"/>
  <c r="K12" i="12"/>
  <c r="M12" i="12"/>
  <c r="L12" i="12"/>
  <c r="N18" i="12"/>
  <c r="N17" i="12" s="1"/>
  <c r="H12" i="20"/>
  <c r="H18" i="20" s="1"/>
  <c r="H57" i="20" s="1"/>
  <c r="H32" i="20"/>
  <c r="H39" i="20"/>
  <c r="M39" i="20"/>
  <c r="M40" i="20" s="1"/>
  <c r="G36" i="3"/>
  <c r="AB61" i="20"/>
  <c r="AB62" i="20" s="1"/>
  <c r="Y60" i="20"/>
  <c r="Y61" i="20" s="1"/>
  <c r="Y62" i="20" s="1"/>
  <c r="M60" i="20"/>
  <c r="G19" i="20"/>
  <c r="G60" i="20"/>
  <c r="G61" i="20" s="1"/>
  <c r="G62" i="20" s="1"/>
  <c r="C15" i="23" s="1"/>
  <c r="C42" i="12"/>
  <c r="L36" i="12"/>
  <c r="L50" i="12" s="1"/>
  <c r="O58" i="11"/>
  <c r="O56" i="11" s="1"/>
  <c r="O61" i="11" s="1"/>
  <c r="C24" i="11"/>
  <c r="C26" i="11" s="1"/>
  <c r="J155" i="3"/>
  <c r="J154" i="3" s="1"/>
  <c r="N36" i="12"/>
  <c r="N50" i="12" s="1"/>
  <c r="M36" i="12"/>
  <c r="M50" i="12" s="1"/>
  <c r="M73" i="12" s="1"/>
  <c r="H63" i="3"/>
  <c r="N36" i="10" s="1"/>
  <c r="N50" i="10" s="1"/>
  <c r="N73" i="10" s="1"/>
  <c r="J36" i="12"/>
  <c r="J50" i="12" s="1"/>
  <c r="J73" i="12" s="1"/>
  <c r="I36" i="12"/>
  <c r="I50" i="12" s="1"/>
  <c r="J32" i="18"/>
  <c r="J55" i="18" s="1"/>
  <c r="J50" i="11"/>
  <c r="J73" i="11" s="1"/>
  <c r="C84" i="12"/>
  <c r="C99" i="12" s="1"/>
  <c r="K84" i="10"/>
  <c r="K99" i="10" s="1"/>
  <c r="J162" i="3"/>
  <c r="J153" i="3" s="1"/>
  <c r="H35" i="11"/>
  <c r="B60" i="12"/>
  <c r="J32" i="11"/>
  <c r="J55" i="11" s="1"/>
  <c r="I25" i="12"/>
  <c r="I26" i="12" s="1"/>
  <c r="I84" i="12"/>
  <c r="I99" i="12" s="1"/>
  <c r="I83" i="18"/>
  <c r="I93" i="18" s="1"/>
  <c r="I50" i="18"/>
  <c r="I73" i="18" s="1"/>
  <c r="K31" i="18"/>
  <c r="K52" i="18" s="1"/>
  <c r="L50" i="11"/>
  <c r="I31" i="12"/>
  <c r="I53" i="12" s="1"/>
  <c r="J50" i="18"/>
  <c r="J73" i="18" s="1"/>
  <c r="I32" i="12"/>
  <c r="I55" i="12" s="1"/>
  <c r="L31" i="11"/>
  <c r="L53" i="11" s="1"/>
  <c r="K50" i="18"/>
  <c r="K73" i="18" s="1"/>
  <c r="J83" i="18"/>
  <c r="J93" i="18" s="1"/>
  <c r="K83" i="18"/>
  <c r="K93" i="18" s="1"/>
  <c r="B26" i="12"/>
  <c r="J84" i="18"/>
  <c r="J99" i="18" s="1"/>
  <c r="L32" i="11"/>
  <c r="L55" i="11" s="1"/>
  <c r="L84" i="11"/>
  <c r="L99" i="11" s="1"/>
  <c r="J25" i="18"/>
  <c r="J26" i="18" s="1"/>
  <c r="L25" i="11"/>
  <c r="L51" i="11" s="1"/>
  <c r="B60" i="10"/>
  <c r="B49" i="10"/>
  <c r="D23" i="12"/>
  <c r="D83" i="12" s="1"/>
  <c r="D93" i="12" s="1"/>
  <c r="B49" i="18"/>
  <c r="B73" i="18" s="1"/>
  <c r="B60" i="18"/>
  <c r="C83" i="12"/>
  <c r="C93" i="12" s="1"/>
  <c r="C84" i="18"/>
  <c r="C99" i="18" s="1"/>
  <c r="D23" i="11"/>
  <c r="D24" i="11" s="1"/>
  <c r="K50" i="12"/>
  <c r="H36" i="3"/>
  <c r="K31" i="12"/>
  <c r="K84" i="12"/>
  <c r="K99" i="12" s="1"/>
  <c r="N51" i="11"/>
  <c r="N26" i="11"/>
  <c r="N50" i="18"/>
  <c r="N73" i="18" s="1"/>
  <c r="C24" i="18"/>
  <c r="C26" i="18" s="1"/>
  <c r="K32" i="12"/>
  <c r="K55" i="12" s="1"/>
  <c r="C83" i="18"/>
  <c r="C93" i="18" s="1"/>
  <c r="E8" i="18"/>
  <c r="E9" i="18" s="1"/>
  <c r="B8" i="18"/>
  <c r="B9" i="18" s="1"/>
  <c r="H8" i="11"/>
  <c r="H9" i="11" s="1"/>
  <c r="F8" i="11"/>
  <c r="F9" i="11" s="1"/>
  <c r="F8" i="18"/>
  <c r="F9" i="18" s="1"/>
  <c r="D8" i="11"/>
  <c r="D9" i="11" s="1"/>
  <c r="G8" i="11"/>
  <c r="G9" i="11" s="1"/>
  <c r="D8" i="18"/>
  <c r="D9" i="18" s="1"/>
  <c r="E8" i="11"/>
  <c r="E9" i="11" s="1"/>
  <c r="H8" i="18"/>
  <c r="H9" i="18" s="1"/>
  <c r="C8" i="18"/>
  <c r="C9" i="18" s="1"/>
  <c r="B8" i="11"/>
  <c r="B9" i="11" s="1"/>
  <c r="G8" i="18"/>
  <c r="G9" i="18" s="1"/>
  <c r="C8" i="11"/>
  <c r="C9" i="11" s="1"/>
  <c r="I84" i="18"/>
  <c r="I99" i="18" s="1"/>
  <c r="I25" i="18"/>
  <c r="J83" i="11"/>
  <c r="J93" i="11" s="1"/>
  <c r="J84" i="11"/>
  <c r="J99" i="11" s="1"/>
  <c r="I32" i="18"/>
  <c r="I55" i="18" s="1"/>
  <c r="K26" i="18"/>
  <c r="K32" i="18"/>
  <c r="K55" i="18" s="1"/>
  <c r="J31" i="11"/>
  <c r="J52" i="11" s="1"/>
  <c r="C84" i="11"/>
  <c r="C99" i="11" s="1"/>
  <c r="K83" i="12"/>
  <c r="K93" i="12" s="1"/>
  <c r="J84" i="12"/>
  <c r="J99" i="12" s="1"/>
  <c r="J31" i="12"/>
  <c r="J32" i="12"/>
  <c r="J55" i="12" s="1"/>
  <c r="F8" i="10"/>
  <c r="F9" i="10" s="1"/>
  <c r="B8" i="10"/>
  <c r="B9" i="10" s="1"/>
  <c r="C8" i="10"/>
  <c r="C9" i="10" s="1"/>
  <c r="G8" i="10"/>
  <c r="G9" i="10" s="1"/>
  <c r="D8" i="10"/>
  <c r="D9" i="10" s="1"/>
  <c r="H8" i="10"/>
  <c r="H9" i="10" s="1"/>
  <c r="E8" i="10"/>
  <c r="E9" i="10" s="1"/>
  <c r="J26" i="11"/>
  <c r="J51" i="11"/>
  <c r="J53" i="18"/>
  <c r="J52" i="18"/>
  <c r="J32" i="10"/>
  <c r="J55" i="10" s="1"/>
  <c r="J31" i="10"/>
  <c r="J84" i="10"/>
  <c r="J99" i="10" s="1"/>
  <c r="J83" i="10"/>
  <c r="J93" i="10" s="1"/>
  <c r="J25" i="10"/>
  <c r="J25" i="12"/>
  <c r="J26" i="12" s="1"/>
  <c r="I50" i="11"/>
  <c r="I83" i="11"/>
  <c r="I93" i="11" s="1"/>
  <c r="I25" i="11"/>
  <c r="I31" i="11"/>
  <c r="I84" i="11"/>
  <c r="I99" i="11" s="1"/>
  <c r="I32" i="11"/>
  <c r="I55" i="11" s="1"/>
  <c r="E8" i="12"/>
  <c r="E9" i="12" s="1"/>
  <c r="H8" i="12"/>
  <c r="H9" i="12" s="1"/>
  <c r="C8" i="12"/>
  <c r="C9" i="12" s="1"/>
  <c r="C12" i="12" s="1"/>
  <c r="B8" i="12"/>
  <c r="B9" i="12" s="1"/>
  <c r="B12" i="12" s="1"/>
  <c r="G8" i="12"/>
  <c r="G9" i="12" s="1"/>
  <c r="G12" i="12" s="1"/>
  <c r="F8" i="12"/>
  <c r="F9" i="12" s="1"/>
  <c r="D8" i="12"/>
  <c r="D9" i="12" s="1"/>
  <c r="N10" i="12" s="1"/>
  <c r="N25" i="18"/>
  <c r="N31" i="18"/>
  <c r="N52" i="18" s="1"/>
  <c r="M83" i="10"/>
  <c r="M93" i="10" s="1"/>
  <c r="M32" i="10"/>
  <c r="M55" i="10" s="1"/>
  <c r="M84" i="10"/>
  <c r="M99" i="10" s="1"/>
  <c r="M31" i="10"/>
  <c r="M25" i="10"/>
  <c r="K32" i="10"/>
  <c r="K55" i="10" s="1"/>
  <c r="K31" i="10"/>
  <c r="L84" i="10"/>
  <c r="L99" i="10" s="1"/>
  <c r="L32" i="10"/>
  <c r="L55" i="10" s="1"/>
  <c r="L25" i="10"/>
  <c r="L83" i="10"/>
  <c r="L93" i="10" s="1"/>
  <c r="L31" i="10"/>
  <c r="N83" i="18"/>
  <c r="N93" i="18" s="1"/>
  <c r="K50" i="11"/>
  <c r="K25" i="11"/>
  <c r="K32" i="11"/>
  <c r="K55" i="11" s="1"/>
  <c r="K84" i="11"/>
  <c r="K99" i="11" s="1"/>
  <c r="K83" i="11"/>
  <c r="K93" i="11" s="1"/>
  <c r="K31" i="11"/>
  <c r="L31" i="12"/>
  <c r="L84" i="12"/>
  <c r="L99" i="12" s="1"/>
  <c r="L83" i="12"/>
  <c r="L93" i="12" s="1"/>
  <c r="L25" i="12"/>
  <c r="L32" i="12"/>
  <c r="L55" i="12" s="1"/>
  <c r="K3" i="7"/>
  <c r="J4" i="7"/>
  <c r="J5" i="7" s="1"/>
  <c r="O23" i="10"/>
  <c r="O73" i="10" s="1"/>
  <c r="N25" i="10"/>
  <c r="N31" i="10"/>
  <c r="N52" i="10" s="1"/>
  <c r="N32" i="10"/>
  <c r="N55" i="10" s="1"/>
  <c r="N83" i="10"/>
  <c r="N93" i="10" s="1"/>
  <c r="N84" i="10"/>
  <c r="N99" i="10" s="1"/>
  <c r="N8" i="10"/>
  <c r="N9" i="10" s="1"/>
  <c r="L8" i="10"/>
  <c r="L9" i="10" s="1"/>
  <c r="I8" i="10"/>
  <c r="I9" i="10" s="1"/>
  <c r="J80" i="3"/>
  <c r="M8" i="10"/>
  <c r="M9" i="10" s="1"/>
  <c r="J8" i="10"/>
  <c r="J9" i="10" s="1"/>
  <c r="K8" i="10"/>
  <c r="K9" i="10" s="1"/>
  <c r="C24" i="10"/>
  <c r="C49" i="10" s="1"/>
  <c r="C73" i="10" s="1"/>
  <c r="D23" i="10"/>
  <c r="C83" i="10"/>
  <c r="C93" i="10" s="1"/>
  <c r="C84" i="10"/>
  <c r="C99" i="10" s="1"/>
  <c r="M52" i="12"/>
  <c r="M53" i="12"/>
  <c r="N84" i="18"/>
  <c r="N99" i="18" s="1"/>
  <c r="K84" i="18"/>
  <c r="K99" i="18" s="1"/>
  <c r="K25" i="10"/>
  <c r="K51" i="10" s="1"/>
  <c r="O58" i="10"/>
  <c r="G123" i="3"/>
  <c r="N31" i="12"/>
  <c r="N52" i="12" s="1"/>
  <c r="N83" i="12"/>
  <c r="N93" i="12" s="1"/>
  <c r="N84" i="12"/>
  <c r="N99" i="12" s="1"/>
  <c r="N25" i="12"/>
  <c r="N32" i="12"/>
  <c r="N55" i="12" s="1"/>
  <c r="J42" i="10"/>
  <c r="I42" i="10"/>
  <c r="K51" i="12"/>
  <c r="K26" i="12"/>
  <c r="I84" i="10"/>
  <c r="I99" i="10" s="1"/>
  <c r="I83" i="10"/>
  <c r="I93" i="10" s="1"/>
  <c r="I25" i="10"/>
  <c r="I31" i="10"/>
  <c r="I32" i="10"/>
  <c r="I55" i="10" s="1"/>
  <c r="E42" i="10"/>
  <c r="D84" i="18"/>
  <c r="D99" i="18" s="1"/>
  <c r="E23" i="18"/>
  <c r="D83" i="18"/>
  <c r="D93" i="18" s="1"/>
  <c r="D24" i="18"/>
  <c r="D60" i="18" s="1"/>
  <c r="C45" i="18"/>
  <c r="C45" i="12"/>
  <c r="C60" i="12" s="1"/>
  <c r="B26" i="11"/>
  <c r="B49" i="11"/>
  <c r="B60" i="11"/>
  <c r="L32" i="18"/>
  <c r="L55" i="18" s="1"/>
  <c r="L31" i="18"/>
  <c r="L25" i="18"/>
  <c r="L84" i="18"/>
  <c r="L99" i="18" s="1"/>
  <c r="L83" i="18"/>
  <c r="L93" i="18" s="1"/>
  <c r="L50" i="18"/>
  <c r="L73" i="18" s="1"/>
  <c r="B73" i="12"/>
  <c r="M83" i="18"/>
  <c r="M93" i="18" s="1"/>
  <c r="M32" i="18"/>
  <c r="M55" i="18" s="1"/>
  <c r="M84" i="18"/>
  <c r="M99" i="18" s="1"/>
  <c r="M31" i="18"/>
  <c r="M25" i="18"/>
  <c r="M50" i="18"/>
  <c r="M73" i="18" s="1"/>
  <c r="C49" i="12"/>
  <c r="C26" i="12"/>
  <c r="I93" i="12"/>
  <c r="M25" i="11"/>
  <c r="M32" i="11"/>
  <c r="M55" i="11" s="1"/>
  <c r="M31" i="11"/>
  <c r="M83" i="11"/>
  <c r="M93" i="11" s="1"/>
  <c r="M50" i="11"/>
  <c r="M73" i="11" s="1"/>
  <c r="M84" i="11"/>
  <c r="M99" i="11" s="1"/>
  <c r="I52" i="18"/>
  <c r="I53" i="18"/>
  <c r="I17" i="23" l="1"/>
  <c r="I13" i="23"/>
  <c r="J169" i="3"/>
  <c r="R169" i="3" s="1"/>
  <c r="G37" i="3"/>
  <c r="K42" i="12"/>
  <c r="L42" i="12" s="1"/>
  <c r="M61" i="20"/>
  <c r="M62" i="20" s="1"/>
  <c r="C24" i="23" s="1"/>
  <c r="N59" i="12"/>
  <c r="N61" i="12" s="1"/>
  <c r="M10" i="12"/>
  <c r="L10" i="12"/>
  <c r="K10" i="12"/>
  <c r="J10" i="12"/>
  <c r="H10" i="12"/>
  <c r="H12" i="12"/>
  <c r="I10" i="12"/>
  <c r="H19" i="20"/>
  <c r="H60" i="20"/>
  <c r="H61" i="20" s="1"/>
  <c r="H62" i="20" s="1"/>
  <c r="C27" i="23" s="1"/>
  <c r="L36" i="10"/>
  <c r="L50" i="10" s="1"/>
  <c r="L73" i="10" s="1"/>
  <c r="I36" i="10"/>
  <c r="I50" i="10" s="1"/>
  <c r="I73" i="10" s="1"/>
  <c r="J36" i="10"/>
  <c r="J50" i="10" s="1"/>
  <c r="J73" i="10" s="1"/>
  <c r="M36" i="10"/>
  <c r="M50" i="10" s="1"/>
  <c r="M73" i="10" s="1"/>
  <c r="R155" i="3"/>
  <c r="I52" i="12"/>
  <c r="C60" i="11"/>
  <c r="C49" i="11"/>
  <c r="C73" i="11" s="1"/>
  <c r="D24" i="12"/>
  <c r="D26" i="12" s="1"/>
  <c r="I51" i="12"/>
  <c r="K36" i="10"/>
  <c r="K50" i="10" s="1"/>
  <c r="K73" i="10" s="1"/>
  <c r="K53" i="18"/>
  <c r="R162" i="3"/>
  <c r="J51" i="18"/>
  <c r="K73" i="12"/>
  <c r="L26" i="11"/>
  <c r="C60" i="18"/>
  <c r="C49" i="18"/>
  <c r="C73" i="18" s="1"/>
  <c r="E23" i="11"/>
  <c r="F23" i="11" s="1"/>
  <c r="K26" i="10"/>
  <c r="B73" i="10"/>
  <c r="I73" i="12"/>
  <c r="D84" i="12"/>
  <c r="D99" i="12" s="1"/>
  <c r="L73" i="11"/>
  <c r="L52" i="11"/>
  <c r="D83" i="11"/>
  <c r="D93" i="11" s="1"/>
  <c r="E23" i="12"/>
  <c r="E24" i="12" s="1"/>
  <c r="E60" i="12" s="1"/>
  <c r="D84" i="11"/>
  <c r="D99" i="11" s="1"/>
  <c r="J53" i="11"/>
  <c r="B10" i="11"/>
  <c r="B12" i="11"/>
  <c r="I10" i="18"/>
  <c r="L10" i="18"/>
  <c r="J10" i="18"/>
  <c r="D12" i="18"/>
  <c r="O10" i="18"/>
  <c r="D10" i="18"/>
  <c r="K10" i="18"/>
  <c r="N10" i="18"/>
  <c r="M10" i="18"/>
  <c r="F12" i="11"/>
  <c r="F11" i="11" s="1"/>
  <c r="F10" i="11"/>
  <c r="C12" i="18"/>
  <c r="C10" i="18"/>
  <c r="G12" i="11"/>
  <c r="G11" i="11" s="1"/>
  <c r="G10" i="11"/>
  <c r="H12" i="11"/>
  <c r="H11" i="11" s="1"/>
  <c r="H10" i="11"/>
  <c r="M10" i="10"/>
  <c r="N10" i="10"/>
  <c r="I26" i="18"/>
  <c r="I51" i="18"/>
  <c r="C12" i="11"/>
  <c r="C10" i="11"/>
  <c r="H12" i="18"/>
  <c r="H10" i="18"/>
  <c r="D10" i="11"/>
  <c r="N10" i="11"/>
  <c r="L10" i="11"/>
  <c r="J10" i="11"/>
  <c r="K10" i="11"/>
  <c r="M10" i="11"/>
  <c r="I10" i="11"/>
  <c r="D12" i="11"/>
  <c r="O10" i="11"/>
  <c r="B12" i="18"/>
  <c r="B10" i="18"/>
  <c r="J51" i="12"/>
  <c r="G12" i="18"/>
  <c r="G11" i="18" s="1"/>
  <c r="G10" i="18"/>
  <c r="E12" i="11"/>
  <c r="E11" i="11" s="1"/>
  <c r="E10" i="11"/>
  <c r="F10" i="18"/>
  <c r="F12" i="18"/>
  <c r="F11" i="18" s="1"/>
  <c r="E10" i="18"/>
  <c r="E12" i="18"/>
  <c r="E11" i="18" s="1"/>
  <c r="K53" i="12"/>
  <c r="K52" i="12"/>
  <c r="N73" i="12"/>
  <c r="D83" i="10"/>
  <c r="D93" i="10" s="1"/>
  <c r="D24" i="10"/>
  <c r="E23" i="10"/>
  <c r="D84" i="10"/>
  <c r="D99" i="10" s="1"/>
  <c r="L51" i="12"/>
  <c r="L26" i="12"/>
  <c r="K53" i="11"/>
  <c r="K52" i="11"/>
  <c r="K26" i="11"/>
  <c r="K51" i="11"/>
  <c r="L26" i="10"/>
  <c r="L51" i="10"/>
  <c r="M51" i="10"/>
  <c r="M26" i="10"/>
  <c r="N51" i="18"/>
  <c r="N26" i="18"/>
  <c r="B10" i="12"/>
  <c r="J53" i="10"/>
  <c r="J52" i="10"/>
  <c r="D12" i="10"/>
  <c r="O10" i="10"/>
  <c r="D10" i="10"/>
  <c r="F12" i="10"/>
  <c r="F10" i="10"/>
  <c r="C26" i="10"/>
  <c r="C60" i="10"/>
  <c r="K4" i="7"/>
  <c r="K5" i="7" s="1"/>
  <c r="L3" i="7"/>
  <c r="K73" i="11"/>
  <c r="M52" i="10"/>
  <c r="M53" i="10"/>
  <c r="O10" i="12"/>
  <c r="D12" i="12"/>
  <c r="D18" i="12" s="1"/>
  <c r="D10" i="12"/>
  <c r="C10" i="12"/>
  <c r="I73" i="11"/>
  <c r="J26" i="10"/>
  <c r="J51" i="10"/>
  <c r="G10" i="10"/>
  <c r="G12" i="10"/>
  <c r="I53" i="10"/>
  <c r="I52" i="10"/>
  <c r="K10" i="10"/>
  <c r="I10" i="10"/>
  <c r="N26" i="10"/>
  <c r="O26" i="10" s="1"/>
  <c r="N51" i="10"/>
  <c r="O25" i="10"/>
  <c r="O57" i="10" s="1"/>
  <c r="O56" i="10" s="1"/>
  <c r="O61" i="10" s="1"/>
  <c r="L73" i="12"/>
  <c r="L52" i="10"/>
  <c r="L53" i="10"/>
  <c r="F12" i="12"/>
  <c r="F10" i="12"/>
  <c r="I52" i="11"/>
  <c r="I53" i="11"/>
  <c r="E12" i="10"/>
  <c r="E10" i="10"/>
  <c r="C12" i="10"/>
  <c r="C10" i="10"/>
  <c r="J52" i="12"/>
  <c r="J53" i="12"/>
  <c r="I51" i="10"/>
  <c r="I26" i="10"/>
  <c r="D60" i="11"/>
  <c r="D26" i="11"/>
  <c r="D49" i="11"/>
  <c r="D73" i="11" s="1"/>
  <c r="O25" i="12"/>
  <c r="O57" i="12" s="1"/>
  <c r="O56" i="12" s="1"/>
  <c r="O61" i="12" s="1"/>
  <c r="N26" i="12"/>
  <c r="O26" i="12" s="1"/>
  <c r="N51" i="12"/>
  <c r="J10" i="10"/>
  <c r="L10" i="10"/>
  <c r="L52" i="12"/>
  <c r="L53" i="12"/>
  <c r="K52" i="10"/>
  <c r="K53" i="10"/>
  <c r="G10" i="12"/>
  <c r="E12" i="12"/>
  <c r="E11" i="12" s="1"/>
  <c r="E10" i="12"/>
  <c r="I51" i="11"/>
  <c r="I26" i="11"/>
  <c r="H12" i="10"/>
  <c r="H11" i="10" s="1"/>
  <c r="H10" i="10"/>
  <c r="B12" i="10"/>
  <c r="B10" i="10"/>
  <c r="C73" i="12"/>
  <c r="M53" i="18"/>
  <c r="M52" i="18"/>
  <c r="D26" i="18"/>
  <c r="D49" i="18"/>
  <c r="F42" i="18"/>
  <c r="E42" i="18"/>
  <c r="E42" i="11"/>
  <c r="F42" i="11"/>
  <c r="L53" i="18"/>
  <c r="L52" i="18"/>
  <c r="B73" i="11"/>
  <c r="E83" i="18"/>
  <c r="E93" i="18" s="1"/>
  <c r="F23" i="18"/>
  <c r="O23" i="18"/>
  <c r="E84" i="18"/>
  <c r="E99" i="18" s="1"/>
  <c r="E24" i="18"/>
  <c r="K42" i="10"/>
  <c r="L42" i="10"/>
  <c r="M53" i="11"/>
  <c r="M52" i="11"/>
  <c r="M26" i="18"/>
  <c r="M51" i="18"/>
  <c r="M51" i="11"/>
  <c r="M26" i="11"/>
  <c r="C42" i="18"/>
  <c r="B42" i="18"/>
  <c r="D42" i="18"/>
  <c r="D42" i="11"/>
  <c r="B42" i="11"/>
  <c r="C42" i="11"/>
  <c r="L51" i="18"/>
  <c r="L26" i="18"/>
  <c r="N12" i="11" l="1"/>
  <c r="N18" i="11" s="1"/>
  <c r="D60" i="12"/>
  <c r="D49" i="12"/>
  <c r="D73" i="12" s="1"/>
  <c r="E84" i="12"/>
  <c r="E99" i="12" s="1"/>
  <c r="E24" i="11"/>
  <c r="E60" i="11" s="1"/>
  <c r="E18" i="11"/>
  <c r="E17" i="11" s="1"/>
  <c r="E86" i="11" s="1"/>
  <c r="E94" i="11" s="1"/>
  <c r="E83" i="12"/>
  <c r="E93" i="12" s="1"/>
  <c r="O23" i="12"/>
  <c r="E83" i="11"/>
  <c r="E93" i="11" s="1"/>
  <c r="E84" i="11"/>
  <c r="E99" i="11" s="1"/>
  <c r="F23" i="12"/>
  <c r="F84" i="12" s="1"/>
  <c r="F99" i="12" s="1"/>
  <c r="L12" i="18"/>
  <c r="L18" i="18" s="1"/>
  <c r="L17" i="18" s="1"/>
  <c r="M12" i="18"/>
  <c r="M18" i="18" s="1"/>
  <c r="D11" i="11"/>
  <c r="D18" i="11"/>
  <c r="D17" i="11" s="1"/>
  <c r="J12" i="11"/>
  <c r="E18" i="18"/>
  <c r="E17" i="18" s="1"/>
  <c r="E87" i="18" s="1"/>
  <c r="K11" i="12"/>
  <c r="K13" i="12" s="1"/>
  <c r="K20" i="12" s="1"/>
  <c r="N12" i="10"/>
  <c r="N11" i="10" s="1"/>
  <c r="N13" i="10" s="1"/>
  <c r="N20" i="10" s="1"/>
  <c r="L12" i="11"/>
  <c r="H11" i="18"/>
  <c r="N12" i="18"/>
  <c r="E18" i="12"/>
  <c r="E17" i="12" s="1"/>
  <c r="B11" i="18"/>
  <c r="I12" i="18"/>
  <c r="B18" i="18"/>
  <c r="B17" i="18" s="1"/>
  <c r="M12" i="11"/>
  <c r="C11" i="18"/>
  <c r="C18" i="18"/>
  <c r="C17" i="18" s="1"/>
  <c r="J12" i="18"/>
  <c r="D11" i="18"/>
  <c r="D18" i="18"/>
  <c r="D17" i="18" s="1"/>
  <c r="I12" i="11"/>
  <c r="B11" i="11"/>
  <c r="B18" i="11"/>
  <c r="B17" i="11" s="1"/>
  <c r="L12" i="10"/>
  <c r="L18" i="10" s="1"/>
  <c r="L17" i="10" s="1"/>
  <c r="K12" i="11"/>
  <c r="C11" i="11"/>
  <c r="C18" i="11"/>
  <c r="C17" i="11" s="1"/>
  <c r="K12" i="18"/>
  <c r="G11" i="10"/>
  <c r="M12" i="10"/>
  <c r="C11" i="12"/>
  <c r="C18" i="12"/>
  <c r="C18" i="10"/>
  <c r="C11" i="10"/>
  <c r="F11" i="12"/>
  <c r="B18" i="10"/>
  <c r="B11" i="10"/>
  <c r="I12" i="10"/>
  <c r="G11" i="12"/>
  <c r="H11" i="12"/>
  <c r="J12" i="10"/>
  <c r="D11" i="10"/>
  <c r="D18" i="10"/>
  <c r="B11" i="12"/>
  <c r="B18" i="12"/>
  <c r="I12" i="12"/>
  <c r="F23" i="10"/>
  <c r="F18" i="10" s="1"/>
  <c r="E84" i="10"/>
  <c r="E99" i="10" s="1"/>
  <c r="E24" i="10"/>
  <c r="E83" i="10"/>
  <c r="E93" i="10" s="1"/>
  <c r="F24" i="11"/>
  <c r="F60" i="11" s="1"/>
  <c r="F84" i="11"/>
  <c r="F99" i="11" s="1"/>
  <c r="G23" i="11"/>
  <c r="F83" i="11"/>
  <c r="F93" i="11" s="1"/>
  <c r="F18" i="11"/>
  <c r="F17" i="11" s="1"/>
  <c r="E11" i="10"/>
  <c r="E18" i="10"/>
  <c r="F11" i="10"/>
  <c r="D26" i="10"/>
  <c r="D49" i="10"/>
  <c r="D73" i="10" s="1"/>
  <c r="K12" i="10"/>
  <c r="J12" i="12"/>
  <c r="D11" i="12"/>
  <c r="M3" i="7"/>
  <c r="L4" i="7"/>
  <c r="L5" i="7" s="1"/>
  <c r="D60" i="10"/>
  <c r="I42" i="11"/>
  <c r="J42" i="11"/>
  <c r="E49" i="18"/>
  <c r="E26" i="18"/>
  <c r="L42" i="18"/>
  <c r="K42" i="18"/>
  <c r="F83" i="18"/>
  <c r="F93" i="18" s="1"/>
  <c r="F24" i="18"/>
  <c r="F60" i="18" s="1"/>
  <c r="G23" i="18"/>
  <c r="F84" i="18"/>
  <c r="F99" i="18" s="1"/>
  <c r="F18" i="18"/>
  <c r="F17" i="18" s="1"/>
  <c r="D73" i="18"/>
  <c r="I42" i="18"/>
  <c r="J42" i="18"/>
  <c r="E60" i="18"/>
  <c r="K42" i="11"/>
  <c r="L42" i="11"/>
  <c r="E49" i="12"/>
  <c r="E26" i="12"/>
  <c r="N11" i="11" l="1"/>
  <c r="N13" i="11" s="1"/>
  <c r="N20" i="11" s="1"/>
  <c r="N54" i="11" s="1"/>
  <c r="L11" i="18"/>
  <c r="L13" i="18" s="1"/>
  <c r="L20" i="18" s="1"/>
  <c r="L21" i="18" s="1"/>
  <c r="E87" i="11"/>
  <c r="E100" i="11" s="1"/>
  <c r="M11" i="18"/>
  <c r="M13" i="18" s="1"/>
  <c r="M20" i="18" s="1"/>
  <c r="M54" i="18" s="1"/>
  <c r="F24" i="12"/>
  <c r="F60" i="12" s="1"/>
  <c r="E49" i="11"/>
  <c r="E73" i="11" s="1"/>
  <c r="E26" i="11"/>
  <c r="G23" i="12"/>
  <c r="G84" i="12" s="1"/>
  <c r="G99" i="12" s="1"/>
  <c r="E59" i="11"/>
  <c r="F83" i="12"/>
  <c r="F93" i="12" s="1"/>
  <c r="F18" i="12"/>
  <c r="F59" i="12" s="1"/>
  <c r="N18" i="10"/>
  <c r="N59" i="10" s="1"/>
  <c r="N61" i="10" s="1"/>
  <c r="B59" i="18"/>
  <c r="B76" i="18" s="1"/>
  <c r="L11" i="10"/>
  <c r="L13" i="10" s="1"/>
  <c r="L20" i="10" s="1"/>
  <c r="L54" i="10" s="1"/>
  <c r="K18" i="12"/>
  <c r="K17" i="12" s="1"/>
  <c r="E59" i="12"/>
  <c r="E75" i="12" s="1"/>
  <c r="C59" i="18"/>
  <c r="C87" i="11"/>
  <c r="C86" i="11"/>
  <c r="C94" i="11" s="1"/>
  <c r="D87" i="18"/>
  <c r="D86" i="18"/>
  <c r="D94" i="18" s="1"/>
  <c r="B87" i="18"/>
  <c r="B86" i="18"/>
  <c r="B94" i="18" s="1"/>
  <c r="C59" i="11"/>
  <c r="J11" i="11"/>
  <c r="J13" i="11" s="1"/>
  <c r="J20" i="11" s="1"/>
  <c r="J18" i="11"/>
  <c r="J17" i="11" s="1"/>
  <c r="E59" i="18"/>
  <c r="E76" i="18" s="1"/>
  <c r="B87" i="11"/>
  <c r="B86" i="11"/>
  <c r="B94" i="11" s="1"/>
  <c r="I11" i="18"/>
  <c r="I13" i="18" s="1"/>
  <c r="I20" i="18" s="1"/>
  <c r="I18" i="18"/>
  <c r="I17" i="18" s="1"/>
  <c r="M17" i="18"/>
  <c r="M59" i="18"/>
  <c r="L18" i="11"/>
  <c r="L17" i="11" s="1"/>
  <c r="L11" i="11"/>
  <c r="L13" i="11" s="1"/>
  <c r="L20" i="11" s="1"/>
  <c r="D59" i="18"/>
  <c r="D87" i="11"/>
  <c r="D86" i="11"/>
  <c r="D94" i="11" s="1"/>
  <c r="E86" i="18"/>
  <c r="E94" i="18" s="1"/>
  <c r="B59" i="11"/>
  <c r="B61" i="11" s="1"/>
  <c r="B64" i="11" s="1"/>
  <c r="K11" i="11"/>
  <c r="K13" i="11" s="1"/>
  <c r="K20" i="11" s="1"/>
  <c r="K18" i="11"/>
  <c r="K17" i="11" s="1"/>
  <c r="J18" i="18"/>
  <c r="J17" i="18" s="1"/>
  <c r="J11" i="18"/>
  <c r="J13" i="18" s="1"/>
  <c r="J20" i="18" s="1"/>
  <c r="N59" i="11"/>
  <c r="N17" i="11"/>
  <c r="L87" i="18"/>
  <c r="L86" i="18"/>
  <c r="L94" i="18" s="1"/>
  <c r="L59" i="18"/>
  <c r="L76" i="18" s="1"/>
  <c r="L59" i="10"/>
  <c r="L76" i="10" s="1"/>
  <c r="K11" i="18"/>
  <c r="K13" i="18" s="1"/>
  <c r="K20" i="18" s="1"/>
  <c r="K18" i="18"/>
  <c r="K17" i="18" s="1"/>
  <c r="I11" i="11"/>
  <c r="I13" i="11" s="1"/>
  <c r="I20" i="11" s="1"/>
  <c r="I18" i="11"/>
  <c r="I17" i="11" s="1"/>
  <c r="C87" i="18"/>
  <c r="C86" i="18"/>
  <c r="C94" i="18" s="1"/>
  <c r="M11" i="11"/>
  <c r="M13" i="11" s="1"/>
  <c r="M20" i="11" s="1"/>
  <c r="M18" i="11"/>
  <c r="N11" i="18"/>
  <c r="N13" i="18" s="1"/>
  <c r="N20" i="18" s="1"/>
  <c r="N18" i="18"/>
  <c r="D59" i="11"/>
  <c r="M4" i="7"/>
  <c r="M5" i="7" s="1"/>
  <c r="N3" i="7"/>
  <c r="N4" i="7" s="1"/>
  <c r="N5" i="7" s="1"/>
  <c r="K11" i="10"/>
  <c r="K13" i="10" s="1"/>
  <c r="K20" i="10" s="1"/>
  <c r="K18" i="10"/>
  <c r="F17" i="10"/>
  <c r="F59" i="10"/>
  <c r="E17" i="10"/>
  <c r="E59" i="10"/>
  <c r="I11" i="12"/>
  <c r="I18" i="12"/>
  <c r="M18" i="12"/>
  <c r="M11" i="12"/>
  <c r="M13" i="12" s="1"/>
  <c r="M20" i="12" s="1"/>
  <c r="B17" i="10"/>
  <c r="B59" i="10"/>
  <c r="D17" i="12"/>
  <c r="D59" i="12"/>
  <c r="F86" i="11"/>
  <c r="F94" i="11" s="1"/>
  <c r="F87" i="11"/>
  <c r="E49" i="10"/>
  <c r="E26" i="10"/>
  <c r="B17" i="12"/>
  <c r="B59" i="12"/>
  <c r="J11" i="10"/>
  <c r="J13" i="10" s="1"/>
  <c r="J20" i="10" s="1"/>
  <c r="J18" i="10"/>
  <c r="C59" i="10"/>
  <c r="C17" i="10"/>
  <c r="M11" i="10"/>
  <c r="M13" i="10" s="1"/>
  <c r="M20" i="10" s="1"/>
  <c r="M18" i="10"/>
  <c r="F59" i="18"/>
  <c r="F76" i="18" s="1"/>
  <c r="F26" i="11"/>
  <c r="F49" i="11"/>
  <c r="N11" i="12"/>
  <c r="N13" i="12" s="1"/>
  <c r="N20" i="12" s="1"/>
  <c r="I11" i="10"/>
  <c r="I13" i="10" s="1"/>
  <c r="I20" i="10" s="1"/>
  <c r="I18" i="10"/>
  <c r="L18" i="12"/>
  <c r="L11" i="12"/>
  <c r="L13" i="12" s="1"/>
  <c r="L20" i="12" s="1"/>
  <c r="C17" i="12"/>
  <c r="C59" i="12"/>
  <c r="J11" i="12"/>
  <c r="J13" i="12" s="1"/>
  <c r="J20" i="12" s="1"/>
  <c r="J18" i="12"/>
  <c r="N54" i="10"/>
  <c r="N21" i="10"/>
  <c r="K21" i="12"/>
  <c r="K54" i="12"/>
  <c r="L87" i="10"/>
  <c r="L86" i="10"/>
  <c r="L94" i="10" s="1"/>
  <c r="G83" i="11"/>
  <c r="G93" i="11" s="1"/>
  <c r="G18" i="11"/>
  <c r="H23" i="11"/>
  <c r="G24" i="11"/>
  <c r="G60" i="11" s="1"/>
  <c r="G84" i="11"/>
  <c r="G99" i="11" s="1"/>
  <c r="E60" i="10"/>
  <c r="F83" i="10"/>
  <c r="F93" i="10" s="1"/>
  <c r="G23" i="10"/>
  <c r="F24" i="10"/>
  <c r="F84" i="10"/>
  <c r="F99" i="10" s="1"/>
  <c r="D59" i="10"/>
  <c r="D17" i="10"/>
  <c r="F59" i="11"/>
  <c r="E73" i="18"/>
  <c r="F86" i="18"/>
  <c r="F94" i="18" s="1"/>
  <c r="F87" i="18"/>
  <c r="F26" i="18"/>
  <c r="F49" i="18"/>
  <c r="E100" i="18"/>
  <c r="E89" i="18"/>
  <c r="E95" i="18" s="1"/>
  <c r="E90" i="18"/>
  <c r="E101" i="18" s="1"/>
  <c r="E73" i="12"/>
  <c r="E87" i="12"/>
  <c r="E86" i="12"/>
  <c r="E94" i="12" s="1"/>
  <c r="G84" i="18"/>
  <c r="G99" i="18" s="1"/>
  <c r="G83" i="18"/>
  <c r="G93" i="18" s="1"/>
  <c r="H23" i="18"/>
  <c r="G24" i="18"/>
  <c r="G18" i="18"/>
  <c r="N21" i="11" l="1"/>
  <c r="L54" i="18"/>
  <c r="I13" i="12"/>
  <c r="I20" i="12" s="1"/>
  <c r="E89" i="11"/>
  <c r="E95" i="11" s="1"/>
  <c r="E96" i="11" s="1"/>
  <c r="F17" i="12"/>
  <c r="F86" i="12" s="1"/>
  <c r="F94" i="12" s="1"/>
  <c r="E90" i="11"/>
  <c r="E101" i="11" s="1"/>
  <c r="E102" i="11" s="1"/>
  <c r="M21" i="18"/>
  <c r="F49" i="12"/>
  <c r="F61" i="12" s="1"/>
  <c r="F26" i="12"/>
  <c r="E61" i="11"/>
  <c r="G24" i="12"/>
  <c r="G60" i="12" s="1"/>
  <c r="E76" i="11"/>
  <c r="G18" i="12"/>
  <c r="G59" i="12" s="1"/>
  <c r="N17" i="10"/>
  <c r="N86" i="10" s="1"/>
  <c r="N94" i="10" s="1"/>
  <c r="G83" i="12"/>
  <c r="G93" i="12" s="1"/>
  <c r="H23" i="12"/>
  <c r="H84" i="12" s="1"/>
  <c r="E74" i="11"/>
  <c r="B61" i="18"/>
  <c r="B64" i="18" s="1"/>
  <c r="C64" i="18" s="1"/>
  <c r="E61" i="12"/>
  <c r="B74" i="18"/>
  <c r="L21" i="10"/>
  <c r="E61" i="18"/>
  <c r="K59" i="12"/>
  <c r="K61" i="12" s="1"/>
  <c r="E74" i="12"/>
  <c r="E74" i="18"/>
  <c r="L74" i="18"/>
  <c r="L59" i="11"/>
  <c r="C74" i="18"/>
  <c r="C76" i="18"/>
  <c r="C61" i="18"/>
  <c r="J59" i="11"/>
  <c r="J61" i="11" s="1"/>
  <c r="E96" i="18"/>
  <c r="B76" i="11"/>
  <c r="J59" i="18"/>
  <c r="J61" i="18" s="1"/>
  <c r="N17" i="18"/>
  <c r="N59" i="18"/>
  <c r="K87" i="18"/>
  <c r="K86" i="18"/>
  <c r="K94" i="18" s="1"/>
  <c r="L90" i="18"/>
  <c r="L101" i="18" s="1"/>
  <c r="L89" i="18"/>
  <c r="L95" i="18" s="1"/>
  <c r="L96" i="18" s="1"/>
  <c r="L100" i="18"/>
  <c r="N61" i="11"/>
  <c r="N74" i="11"/>
  <c r="N76" i="11"/>
  <c r="K54" i="11"/>
  <c r="K21" i="11"/>
  <c r="D61" i="18"/>
  <c r="D76" i="18"/>
  <c r="D74" i="18"/>
  <c r="M86" i="18"/>
  <c r="M94" i="18" s="1"/>
  <c r="M87" i="18"/>
  <c r="C76" i="11"/>
  <c r="C74" i="11"/>
  <c r="C61" i="11"/>
  <c r="D90" i="18"/>
  <c r="D101" i="18" s="1"/>
  <c r="D89" i="18"/>
  <c r="D95" i="18" s="1"/>
  <c r="D96" i="18" s="1"/>
  <c r="D97" i="18" s="1"/>
  <c r="D100" i="18"/>
  <c r="F74" i="18"/>
  <c r="D74" i="11"/>
  <c r="D76" i="11"/>
  <c r="D61" i="11"/>
  <c r="N21" i="18"/>
  <c r="N54" i="18"/>
  <c r="C89" i="18"/>
  <c r="C95" i="18" s="1"/>
  <c r="C96" i="18" s="1"/>
  <c r="C100" i="18"/>
  <c r="C90" i="18"/>
  <c r="C101" i="18" s="1"/>
  <c r="K54" i="18"/>
  <c r="K21" i="18"/>
  <c r="J54" i="18"/>
  <c r="J21" i="18"/>
  <c r="L21" i="11"/>
  <c r="L54" i="11"/>
  <c r="I86" i="18"/>
  <c r="I94" i="18" s="1"/>
  <c r="I87" i="18"/>
  <c r="L61" i="18"/>
  <c r="B74" i="11"/>
  <c r="M59" i="11"/>
  <c r="M17" i="11"/>
  <c r="I87" i="11"/>
  <c r="I86" i="11"/>
  <c r="I94" i="11" s="1"/>
  <c r="L74" i="10"/>
  <c r="L61" i="10"/>
  <c r="I59" i="18"/>
  <c r="J86" i="18"/>
  <c r="J94" i="18" s="1"/>
  <c r="J87" i="18"/>
  <c r="K59" i="18"/>
  <c r="L86" i="11"/>
  <c r="L94" i="11" s="1"/>
  <c r="L87" i="11"/>
  <c r="I54" i="18"/>
  <c r="I21" i="18"/>
  <c r="B90" i="11"/>
  <c r="B101" i="11" s="1"/>
  <c r="B89" i="11"/>
  <c r="B95" i="11" s="1"/>
  <c r="B96" i="11" s="1"/>
  <c r="B100" i="11"/>
  <c r="J87" i="11"/>
  <c r="J86" i="11"/>
  <c r="J94" i="11" s="1"/>
  <c r="B100" i="18"/>
  <c r="B90" i="18"/>
  <c r="B101" i="18" s="1"/>
  <c r="B89" i="18"/>
  <c r="B95" i="18" s="1"/>
  <c r="B96" i="18" s="1"/>
  <c r="C100" i="11"/>
  <c r="C90" i="11"/>
  <c r="C101" i="11" s="1"/>
  <c r="C89" i="11"/>
  <c r="C95" i="11" s="1"/>
  <c r="C96" i="11" s="1"/>
  <c r="E102" i="18"/>
  <c r="M21" i="11"/>
  <c r="M54" i="11"/>
  <c r="I54" i="11"/>
  <c r="I21" i="11"/>
  <c r="I59" i="11"/>
  <c r="N86" i="11"/>
  <c r="N94" i="11" s="1"/>
  <c r="N87" i="11"/>
  <c r="K87" i="11"/>
  <c r="K86" i="11"/>
  <c r="K94" i="11" s="1"/>
  <c r="D89" i="11"/>
  <c r="D95" i="11" s="1"/>
  <c r="D96" i="11" s="1"/>
  <c r="D90" i="11"/>
  <c r="D101" i="11" s="1"/>
  <c r="D100" i="11"/>
  <c r="M61" i="18"/>
  <c r="M74" i="18"/>
  <c r="M76" i="18"/>
  <c r="J54" i="11"/>
  <c r="J21" i="11"/>
  <c r="K59" i="11"/>
  <c r="F76" i="11"/>
  <c r="F74" i="11"/>
  <c r="F26" i="10"/>
  <c r="F49" i="10"/>
  <c r="G59" i="11"/>
  <c r="G17" i="11"/>
  <c r="L90" i="10"/>
  <c r="L101" i="10" s="1"/>
  <c r="L100" i="10"/>
  <c r="L89" i="10"/>
  <c r="L95" i="10" s="1"/>
  <c r="L96" i="10" s="1"/>
  <c r="J59" i="12"/>
  <c r="J61" i="12" s="1"/>
  <c r="J17" i="12"/>
  <c r="C74" i="12"/>
  <c r="C75" i="12"/>
  <c r="C61" i="12"/>
  <c r="I59" i="10"/>
  <c r="I61" i="10" s="1"/>
  <c r="I17" i="10"/>
  <c r="F73" i="11"/>
  <c r="F61" i="11"/>
  <c r="C86" i="10"/>
  <c r="C94" i="10" s="1"/>
  <c r="C87" i="10"/>
  <c r="B75" i="12"/>
  <c r="B61" i="12"/>
  <c r="B74" i="12"/>
  <c r="F89" i="11"/>
  <c r="F95" i="11" s="1"/>
  <c r="F96" i="11" s="1"/>
  <c r="F100" i="11"/>
  <c r="F90" i="11"/>
  <c r="F101" i="11" s="1"/>
  <c r="B86" i="10"/>
  <c r="B94" i="10" s="1"/>
  <c r="B87" i="10"/>
  <c r="F87" i="10"/>
  <c r="F86" i="10"/>
  <c r="F94" i="10" s="1"/>
  <c r="D86" i="10"/>
  <c r="D94" i="10" s="1"/>
  <c r="D87" i="10"/>
  <c r="H23" i="10"/>
  <c r="G24" i="10"/>
  <c r="G83" i="10"/>
  <c r="G93" i="10" s="1"/>
  <c r="G84" i="10"/>
  <c r="G99" i="10" s="1"/>
  <c r="G18" i="10"/>
  <c r="J21" i="12"/>
  <c r="J54" i="12"/>
  <c r="C87" i="12"/>
  <c r="C86" i="12"/>
  <c r="C94" i="12" s="1"/>
  <c r="I54" i="10"/>
  <c r="I21" i="10"/>
  <c r="K86" i="12"/>
  <c r="K94" i="12" s="1"/>
  <c r="K87" i="12"/>
  <c r="C74" i="10"/>
  <c r="C76" i="10"/>
  <c r="C61" i="10"/>
  <c r="B86" i="12"/>
  <c r="B94" i="12" s="1"/>
  <c r="B87" i="12"/>
  <c r="M54" i="12"/>
  <c r="M21" i="12"/>
  <c r="E76" i="10"/>
  <c r="E74" i="10"/>
  <c r="K17" i="10"/>
  <c r="K59" i="10"/>
  <c r="K61" i="10" s="1"/>
  <c r="D76" i="10"/>
  <c r="D74" i="10"/>
  <c r="G49" i="11"/>
  <c r="G26" i="11"/>
  <c r="L21" i="12"/>
  <c r="L54" i="12"/>
  <c r="M17" i="10"/>
  <c r="M59" i="10"/>
  <c r="M61" i="10" s="1"/>
  <c r="J17" i="10"/>
  <c r="J59" i="10"/>
  <c r="J61" i="10" s="1"/>
  <c r="D61" i="12"/>
  <c r="D64" i="12" s="1"/>
  <c r="D74" i="12"/>
  <c r="D75" i="12"/>
  <c r="D61" i="10"/>
  <c r="M17" i="12"/>
  <c r="M59" i="12"/>
  <c r="M61" i="12" s="1"/>
  <c r="E87" i="10"/>
  <c r="E86" i="10"/>
  <c r="E94" i="10" s="1"/>
  <c r="K54" i="10"/>
  <c r="K21" i="10"/>
  <c r="F60" i="10"/>
  <c r="H84" i="11"/>
  <c r="H99" i="11" s="1"/>
  <c r="H24" i="11"/>
  <c r="H18" i="11"/>
  <c r="H83" i="11"/>
  <c r="H93" i="11" s="1"/>
  <c r="L17" i="12"/>
  <c r="L59" i="12"/>
  <c r="L61" i="12" s="1"/>
  <c r="N21" i="12"/>
  <c r="N54" i="12"/>
  <c r="N74" i="10"/>
  <c r="N76" i="10"/>
  <c r="M54" i="10"/>
  <c r="M21" i="10"/>
  <c r="J54" i="10"/>
  <c r="J21" i="10"/>
  <c r="E61" i="10"/>
  <c r="E73" i="10"/>
  <c r="D87" i="12"/>
  <c r="D86" i="12"/>
  <c r="D94" i="12" s="1"/>
  <c r="B76" i="10"/>
  <c r="B74" i="10"/>
  <c r="B61" i="10"/>
  <c r="B64" i="10" s="1"/>
  <c r="I17" i="12"/>
  <c r="I59" i="12"/>
  <c r="I61" i="12" s="1"/>
  <c r="F74" i="10"/>
  <c r="F76" i="10"/>
  <c r="G59" i="18"/>
  <c r="G17" i="18"/>
  <c r="G49" i="18"/>
  <c r="G26" i="18"/>
  <c r="F61" i="18"/>
  <c r="F73" i="18"/>
  <c r="F87" i="12"/>
  <c r="H84" i="18"/>
  <c r="H99" i="18" s="1"/>
  <c r="H18" i="18"/>
  <c r="H83" i="18"/>
  <c r="H93" i="18" s="1"/>
  <c r="H24" i="18"/>
  <c r="H60" i="18" s="1"/>
  <c r="B65" i="11"/>
  <c r="C64" i="11"/>
  <c r="I64" i="11"/>
  <c r="E89" i="12"/>
  <c r="E95" i="12" s="1"/>
  <c r="E96" i="12" s="1"/>
  <c r="E90" i="12"/>
  <c r="E101" i="12" s="1"/>
  <c r="E100" i="12"/>
  <c r="F74" i="12"/>
  <c r="F75" i="12"/>
  <c r="G60" i="18"/>
  <c r="F90" i="18"/>
  <c r="F101" i="18" s="1"/>
  <c r="F89" i="18"/>
  <c r="F95" i="18" s="1"/>
  <c r="F96" i="18" s="1"/>
  <c r="F100" i="18"/>
  <c r="I54" i="12" l="1"/>
  <c r="I21" i="12"/>
  <c r="H24" i="12"/>
  <c r="H60" i="12" s="1"/>
  <c r="H18" i="12"/>
  <c r="H59" i="12" s="1"/>
  <c r="J64" i="12"/>
  <c r="J65" i="12" s="1"/>
  <c r="N64" i="12"/>
  <c r="N65" i="12" s="1"/>
  <c r="N79" i="12" s="1"/>
  <c r="C64" i="12"/>
  <c r="C65" i="12" s="1"/>
  <c r="C79" i="12" s="1"/>
  <c r="G64" i="12"/>
  <c r="K64" i="12"/>
  <c r="K65" i="12" s="1"/>
  <c r="K79" i="12" s="1"/>
  <c r="O64" i="12"/>
  <c r="O65" i="12" s="1"/>
  <c r="B64" i="12"/>
  <c r="B65" i="12" s="1"/>
  <c r="H64" i="12"/>
  <c r="L64" i="12"/>
  <c r="L65" i="12" s="1"/>
  <c r="F64" i="12"/>
  <c r="F65" i="12" s="1"/>
  <c r="D65" i="12"/>
  <c r="D79" i="12" s="1"/>
  <c r="I64" i="12"/>
  <c r="I65" i="12" s="1"/>
  <c r="M64" i="12"/>
  <c r="M65" i="12" s="1"/>
  <c r="E64" i="12"/>
  <c r="E65" i="12" s="1"/>
  <c r="E79" i="12" s="1"/>
  <c r="F73" i="12"/>
  <c r="G49" i="12"/>
  <c r="G73" i="12" s="1"/>
  <c r="H83" i="12"/>
  <c r="H93" i="12" s="1"/>
  <c r="B65" i="18"/>
  <c r="B71" i="18" s="1"/>
  <c r="G26" i="12"/>
  <c r="I64" i="18"/>
  <c r="N87" i="10"/>
  <c r="N90" i="10" s="1"/>
  <c r="N101" i="10" s="1"/>
  <c r="G17" i="12"/>
  <c r="G87" i="12" s="1"/>
  <c r="K75" i="12"/>
  <c r="J76" i="11"/>
  <c r="L102" i="18"/>
  <c r="D102" i="11"/>
  <c r="D103" i="11" s="1"/>
  <c r="J74" i="11"/>
  <c r="K74" i="12"/>
  <c r="L74" i="11"/>
  <c r="D102" i="18"/>
  <c r="D103" i="18" s="1"/>
  <c r="L61" i="11"/>
  <c r="L76" i="11"/>
  <c r="F97" i="18"/>
  <c r="E102" i="12"/>
  <c r="B102" i="11"/>
  <c r="J74" i="18"/>
  <c r="J76" i="18"/>
  <c r="C97" i="11"/>
  <c r="D97" i="11"/>
  <c r="E97" i="11"/>
  <c r="K74" i="11"/>
  <c r="K76" i="11"/>
  <c r="K61" i="11"/>
  <c r="K76" i="18"/>
  <c r="K74" i="18"/>
  <c r="K61" i="18"/>
  <c r="I90" i="11"/>
  <c r="I101" i="11" s="1"/>
  <c r="I89" i="11"/>
  <c r="I95" i="11" s="1"/>
  <c r="I96" i="11" s="1"/>
  <c r="I97" i="11" s="1"/>
  <c r="I100" i="11"/>
  <c r="N86" i="18"/>
  <c r="N94" i="18" s="1"/>
  <c r="N87" i="18"/>
  <c r="F102" i="11"/>
  <c r="I61" i="11"/>
  <c r="I65" i="11" s="1"/>
  <c r="I76" i="11"/>
  <c r="I74" i="11"/>
  <c r="B102" i="18"/>
  <c r="B97" i="11"/>
  <c r="L100" i="11"/>
  <c r="L90" i="11"/>
  <c r="L101" i="11" s="1"/>
  <c r="L89" i="11"/>
  <c r="L95" i="11" s="1"/>
  <c r="L96" i="11" s="1"/>
  <c r="L97" i="11" s="1"/>
  <c r="J100" i="18"/>
  <c r="J89" i="18"/>
  <c r="J95" i="18" s="1"/>
  <c r="J96" i="18" s="1"/>
  <c r="J97" i="18" s="1"/>
  <c r="J90" i="18"/>
  <c r="J101" i="18" s="1"/>
  <c r="M86" i="11"/>
  <c r="M94" i="11" s="1"/>
  <c r="M87" i="11"/>
  <c r="I90" i="18"/>
  <c r="I101" i="18" s="1"/>
  <c r="I89" i="18"/>
  <c r="I95" i="18" s="1"/>
  <c r="I96" i="18" s="1"/>
  <c r="I97" i="18" s="1"/>
  <c r="I100" i="18"/>
  <c r="K89" i="18"/>
  <c r="K95" i="18" s="1"/>
  <c r="K96" i="18" s="1"/>
  <c r="K97" i="18" s="1"/>
  <c r="K100" i="18"/>
  <c r="K90" i="18"/>
  <c r="K101" i="18" s="1"/>
  <c r="F97" i="11"/>
  <c r="K100" i="11"/>
  <c r="K89" i="11"/>
  <c r="K95" i="11" s="1"/>
  <c r="K96" i="11" s="1"/>
  <c r="K97" i="11" s="1"/>
  <c r="K90" i="11"/>
  <c r="K101" i="11" s="1"/>
  <c r="C102" i="11"/>
  <c r="M76" i="11"/>
  <c r="M74" i="11"/>
  <c r="M61" i="11"/>
  <c r="C102" i="18"/>
  <c r="M100" i="18"/>
  <c r="M90" i="18"/>
  <c r="M101" i="18" s="1"/>
  <c r="M89" i="18"/>
  <c r="M95" i="18" s="1"/>
  <c r="M96" i="18" s="1"/>
  <c r="M97" i="18" s="1"/>
  <c r="L97" i="18"/>
  <c r="C97" i="18"/>
  <c r="L102" i="10"/>
  <c r="N100" i="11"/>
  <c r="N90" i="11"/>
  <c r="N101" i="11" s="1"/>
  <c r="N89" i="11"/>
  <c r="N95" i="11" s="1"/>
  <c r="N96" i="11" s="1"/>
  <c r="N97" i="11" s="1"/>
  <c r="B97" i="18"/>
  <c r="J89" i="11"/>
  <c r="J95" i="11" s="1"/>
  <c r="J96" i="11" s="1"/>
  <c r="J97" i="11" s="1"/>
  <c r="J90" i="11"/>
  <c r="J101" i="11" s="1"/>
  <c r="J100" i="11"/>
  <c r="I61" i="18"/>
  <c r="I74" i="18"/>
  <c r="I76" i="18"/>
  <c r="E97" i="18"/>
  <c r="N76" i="18"/>
  <c r="N74" i="18"/>
  <c r="N61" i="18"/>
  <c r="I75" i="12"/>
  <c r="I74" i="12"/>
  <c r="L75" i="12"/>
  <c r="L74" i="12"/>
  <c r="H17" i="11"/>
  <c r="H59" i="11"/>
  <c r="E89" i="10"/>
  <c r="E95" i="10" s="1"/>
  <c r="E96" i="10" s="1"/>
  <c r="E100" i="10"/>
  <c r="E90" i="10"/>
  <c r="E101" i="10" s="1"/>
  <c r="J86" i="10"/>
  <c r="J94" i="10" s="1"/>
  <c r="J87" i="10"/>
  <c r="B90" i="12"/>
  <c r="B101" i="12" s="1"/>
  <c r="B100" i="12"/>
  <c r="B89" i="12"/>
  <c r="B95" i="12" s="1"/>
  <c r="B96" i="12" s="1"/>
  <c r="I74" i="10"/>
  <c r="I76" i="10"/>
  <c r="J87" i="12"/>
  <c r="J86" i="12"/>
  <c r="J94" i="12" s="1"/>
  <c r="I86" i="12"/>
  <c r="I94" i="12" s="1"/>
  <c r="I87" i="12"/>
  <c r="L86" i="12"/>
  <c r="L94" i="12" s="1"/>
  <c r="L87" i="12"/>
  <c r="H26" i="11"/>
  <c r="H49" i="11"/>
  <c r="M74" i="12"/>
  <c r="M75" i="12"/>
  <c r="M76" i="10"/>
  <c r="M74" i="10"/>
  <c r="N75" i="12"/>
  <c r="N74" i="12"/>
  <c r="K76" i="10"/>
  <c r="K74" i="10"/>
  <c r="K100" i="12"/>
  <c r="K90" i="12"/>
  <c r="K101" i="12" s="1"/>
  <c r="K89" i="12"/>
  <c r="K95" i="12" s="1"/>
  <c r="K96" i="12" s="1"/>
  <c r="G17" i="10"/>
  <c r="G59" i="10"/>
  <c r="G26" i="10"/>
  <c r="G49" i="10"/>
  <c r="J75" i="12"/>
  <c r="J74" i="12"/>
  <c r="G87" i="11"/>
  <c r="G86" i="11"/>
  <c r="G94" i="11" s="1"/>
  <c r="C64" i="10"/>
  <c r="C65" i="10" s="1"/>
  <c r="B65" i="10"/>
  <c r="I64" i="10"/>
  <c r="I65" i="10" s="1"/>
  <c r="H60" i="11"/>
  <c r="M87" i="12"/>
  <c r="M86" i="12"/>
  <c r="M94" i="12" s="1"/>
  <c r="M86" i="10"/>
  <c r="M94" i="10" s="1"/>
  <c r="M87" i="10"/>
  <c r="N87" i="12"/>
  <c r="N86" i="12"/>
  <c r="N94" i="12" s="1"/>
  <c r="G61" i="11"/>
  <c r="G73" i="11"/>
  <c r="K87" i="10"/>
  <c r="K86" i="10"/>
  <c r="K94" i="10" s="1"/>
  <c r="C100" i="12"/>
  <c r="C89" i="12"/>
  <c r="C95" i="12" s="1"/>
  <c r="C96" i="12" s="1"/>
  <c r="C90" i="12"/>
  <c r="C101" i="12" s="1"/>
  <c r="G60" i="10"/>
  <c r="H18" i="10"/>
  <c r="H83" i="10"/>
  <c r="H24" i="10"/>
  <c r="H60" i="10" s="1"/>
  <c r="H84" i="10"/>
  <c r="B90" i="10"/>
  <c r="B101" i="10" s="1"/>
  <c r="B100" i="10"/>
  <c r="B89" i="10"/>
  <c r="B95" i="10" s="1"/>
  <c r="B96" i="10" s="1"/>
  <c r="G74" i="11"/>
  <c r="G76" i="11"/>
  <c r="D89" i="12"/>
  <c r="D95" i="12" s="1"/>
  <c r="D96" i="12" s="1"/>
  <c r="D97" i="12" s="1"/>
  <c r="D100" i="12"/>
  <c r="D90" i="12"/>
  <c r="D101" i="12" s="1"/>
  <c r="J74" i="10"/>
  <c r="J76" i="10"/>
  <c r="D89" i="10"/>
  <c r="D95" i="10" s="1"/>
  <c r="D96" i="10" s="1"/>
  <c r="D90" i="10"/>
  <c r="D101" i="10" s="1"/>
  <c r="D100" i="10"/>
  <c r="F100" i="10"/>
  <c r="F89" i="10"/>
  <c r="F95" i="10" s="1"/>
  <c r="F96" i="10" s="1"/>
  <c r="F90" i="10"/>
  <c r="F101" i="10" s="1"/>
  <c r="C100" i="10"/>
  <c r="C90" i="10"/>
  <c r="C101" i="10" s="1"/>
  <c r="C89" i="10"/>
  <c r="C95" i="10" s="1"/>
  <c r="C96" i="10" s="1"/>
  <c r="I86" i="10"/>
  <c r="I94" i="10" s="1"/>
  <c r="I87" i="10"/>
  <c r="F73" i="10"/>
  <c r="F61" i="10"/>
  <c r="B68" i="11"/>
  <c r="B71" i="11"/>
  <c r="H49" i="18"/>
  <c r="H26" i="18"/>
  <c r="G87" i="18"/>
  <c r="G86" i="18"/>
  <c r="G94" i="18" s="1"/>
  <c r="F102" i="18"/>
  <c r="H99" i="12"/>
  <c r="P84" i="12"/>
  <c r="F89" i="12"/>
  <c r="F95" i="12" s="1"/>
  <c r="F96" i="12" s="1"/>
  <c r="F90" i="12"/>
  <c r="F101" i="12" s="1"/>
  <c r="F100" i="12"/>
  <c r="G61" i="18"/>
  <c r="G73" i="18"/>
  <c r="G74" i="12"/>
  <c r="G75" i="12"/>
  <c r="G76" i="18"/>
  <c r="G74" i="18"/>
  <c r="D64" i="18"/>
  <c r="C65" i="18"/>
  <c r="J64" i="18"/>
  <c r="J65" i="18" s="1"/>
  <c r="J64" i="11"/>
  <c r="J65" i="11" s="1"/>
  <c r="D64" i="11"/>
  <c r="C65" i="11"/>
  <c r="H17" i="18"/>
  <c r="H59" i="18"/>
  <c r="F97" i="10" l="1"/>
  <c r="C97" i="10"/>
  <c r="H26" i="12"/>
  <c r="H49" i="12"/>
  <c r="H61" i="12" s="1"/>
  <c r="H65" i="12" s="1"/>
  <c r="H79" i="12" s="1"/>
  <c r="I71" i="12"/>
  <c r="I79" i="12"/>
  <c r="I66" i="12"/>
  <c r="F79" i="12"/>
  <c r="F71" i="12"/>
  <c r="L71" i="12"/>
  <c r="L79" i="12"/>
  <c r="E103" i="11"/>
  <c r="J66" i="12"/>
  <c r="N22" i="23" s="1"/>
  <c r="J79" i="12"/>
  <c r="M66" i="12"/>
  <c r="N26" i="23" s="1"/>
  <c r="M79" i="12"/>
  <c r="L66" i="12"/>
  <c r="J71" i="12"/>
  <c r="B66" i="12"/>
  <c r="B71" i="12"/>
  <c r="B68" i="12"/>
  <c r="J68" i="12"/>
  <c r="L68" i="12"/>
  <c r="C71" i="12"/>
  <c r="C66" i="12"/>
  <c r="C68" i="12"/>
  <c r="E71" i="12"/>
  <c r="E66" i="12"/>
  <c r="E77" i="12" s="1"/>
  <c r="E68" i="12"/>
  <c r="O68" i="12"/>
  <c r="K71" i="12"/>
  <c r="K68" i="12"/>
  <c r="K66" i="12"/>
  <c r="N14" i="23" s="1"/>
  <c r="F66" i="12"/>
  <c r="D71" i="12"/>
  <c r="O66" i="12"/>
  <c r="M68" i="12"/>
  <c r="M71" i="12"/>
  <c r="F68" i="12"/>
  <c r="D68" i="12"/>
  <c r="I68" i="12"/>
  <c r="P71" i="12"/>
  <c r="D66" i="12"/>
  <c r="N21" i="23" s="1"/>
  <c r="N68" i="12"/>
  <c r="N66" i="12"/>
  <c r="N72" i="12" s="1"/>
  <c r="N71" i="12"/>
  <c r="B72" i="12"/>
  <c r="G61" i="12"/>
  <c r="G65" i="12" s="1"/>
  <c r="G79" i="12" s="1"/>
  <c r="P83" i="12"/>
  <c r="B68" i="18"/>
  <c r="I65" i="18"/>
  <c r="I71" i="18" s="1"/>
  <c r="N89" i="10"/>
  <c r="N95" i="10" s="1"/>
  <c r="N96" i="10" s="1"/>
  <c r="N97" i="10" s="1"/>
  <c r="N100" i="10"/>
  <c r="N102" i="10" s="1"/>
  <c r="G86" i="12"/>
  <c r="G94" i="12" s="1"/>
  <c r="H17" i="12"/>
  <c r="H87" i="12" s="1"/>
  <c r="F103" i="18"/>
  <c r="F103" i="11"/>
  <c r="B103" i="11"/>
  <c r="C103" i="11"/>
  <c r="B102" i="12"/>
  <c r="C103" i="18"/>
  <c r="L103" i="18"/>
  <c r="J102" i="11"/>
  <c r="J103" i="11" s="1"/>
  <c r="E103" i="18"/>
  <c r="B103" i="18"/>
  <c r="K102" i="11"/>
  <c r="K103" i="11" s="1"/>
  <c r="F97" i="12"/>
  <c r="C97" i="12"/>
  <c r="C102" i="12"/>
  <c r="I102" i="18"/>
  <c r="I103" i="18" s="1"/>
  <c r="I71" i="11"/>
  <c r="I68" i="11"/>
  <c r="K102" i="12"/>
  <c r="K102" i="18"/>
  <c r="K103" i="18" s="1"/>
  <c r="N100" i="18"/>
  <c r="N90" i="18"/>
  <c r="N101" i="18" s="1"/>
  <c r="N89" i="18"/>
  <c r="N95" i="18" s="1"/>
  <c r="N96" i="18" s="1"/>
  <c r="N97" i="18" s="1"/>
  <c r="E97" i="10"/>
  <c r="M102" i="18"/>
  <c r="M103" i="18" s="1"/>
  <c r="L102" i="11"/>
  <c r="L103" i="11" s="1"/>
  <c r="F102" i="12"/>
  <c r="B97" i="12"/>
  <c r="N102" i="11"/>
  <c r="N103" i="11" s="1"/>
  <c r="M89" i="11"/>
  <c r="M95" i="11" s="1"/>
  <c r="M96" i="11" s="1"/>
  <c r="M97" i="11" s="1"/>
  <c r="M90" i="11"/>
  <c r="M101" i="11" s="1"/>
  <c r="M100" i="11"/>
  <c r="J102" i="18"/>
  <c r="J103" i="18" s="1"/>
  <c r="I102" i="11"/>
  <c r="I103" i="11" s="1"/>
  <c r="H93" i="10"/>
  <c r="P83" i="10"/>
  <c r="K89" i="10"/>
  <c r="K95" i="10" s="1"/>
  <c r="K96" i="10" s="1"/>
  <c r="K97" i="10" s="1"/>
  <c r="K100" i="10"/>
  <c r="K90" i="10"/>
  <c r="K101" i="10" s="1"/>
  <c r="I71" i="10"/>
  <c r="I68" i="10"/>
  <c r="G61" i="10"/>
  <c r="G73" i="10"/>
  <c r="J90" i="10"/>
  <c r="J101" i="10" s="1"/>
  <c r="J100" i="10"/>
  <c r="J89" i="10"/>
  <c r="J95" i="10" s="1"/>
  <c r="J96" i="10" s="1"/>
  <c r="J97" i="10" s="1"/>
  <c r="D97" i="10"/>
  <c r="L97" i="10"/>
  <c r="D102" i="12"/>
  <c r="H59" i="10"/>
  <c r="H17" i="10"/>
  <c r="N100" i="12"/>
  <c r="N89" i="12"/>
  <c r="N95" i="12" s="1"/>
  <c r="N96" i="12" s="1"/>
  <c r="N97" i="12" s="1"/>
  <c r="N90" i="12"/>
  <c r="N101" i="12" s="1"/>
  <c r="B71" i="10"/>
  <c r="B68" i="10"/>
  <c r="L100" i="12"/>
  <c r="L90" i="12"/>
  <c r="L101" i="12" s="1"/>
  <c r="L89" i="12"/>
  <c r="L95" i="12" s="1"/>
  <c r="L96" i="12" s="1"/>
  <c r="L97" i="12" s="1"/>
  <c r="H74" i="11"/>
  <c r="H76" i="11"/>
  <c r="F102" i="10"/>
  <c r="B97" i="10"/>
  <c r="H99" i="10"/>
  <c r="P84" i="10"/>
  <c r="C71" i="10"/>
  <c r="C68" i="10"/>
  <c r="M90" i="10"/>
  <c r="M101" i="10" s="1"/>
  <c r="M100" i="10"/>
  <c r="M89" i="10"/>
  <c r="M95" i="10" s="1"/>
  <c r="M96" i="10" s="1"/>
  <c r="M97" i="10" s="1"/>
  <c r="M89" i="12"/>
  <c r="M95" i="12" s="1"/>
  <c r="M96" i="12" s="1"/>
  <c r="M97" i="12" s="1"/>
  <c r="M90" i="12"/>
  <c r="M101" i="12" s="1"/>
  <c r="M100" i="12"/>
  <c r="J64" i="10"/>
  <c r="J65" i="10" s="1"/>
  <c r="D64" i="10"/>
  <c r="G100" i="11"/>
  <c r="G89" i="11"/>
  <c r="G95" i="11" s="1"/>
  <c r="G96" i="11" s="1"/>
  <c r="G97" i="11" s="1"/>
  <c r="G90" i="11"/>
  <c r="G101" i="11" s="1"/>
  <c r="G76" i="10"/>
  <c r="G74" i="10"/>
  <c r="H86" i="11"/>
  <c r="H94" i="11" s="1"/>
  <c r="H87" i="11"/>
  <c r="I100" i="10"/>
  <c r="I89" i="10"/>
  <c r="I95" i="10" s="1"/>
  <c r="I96" i="10" s="1"/>
  <c r="I97" i="10" s="1"/>
  <c r="I90" i="10"/>
  <c r="I101" i="10" s="1"/>
  <c r="C102" i="10"/>
  <c r="D102" i="10"/>
  <c r="B102" i="10"/>
  <c r="H49" i="10"/>
  <c r="H26" i="10"/>
  <c r="E97" i="12"/>
  <c r="G86" i="10"/>
  <c r="G94" i="10" s="1"/>
  <c r="G87" i="10"/>
  <c r="H73" i="11"/>
  <c r="H61" i="11"/>
  <c r="I90" i="12"/>
  <c r="I101" i="12" s="1"/>
  <c r="I89" i="12"/>
  <c r="I95" i="12" s="1"/>
  <c r="I96" i="12" s="1"/>
  <c r="I97" i="12" s="1"/>
  <c r="I100" i="12"/>
  <c r="J89" i="12"/>
  <c r="J95" i="12" s="1"/>
  <c r="J96" i="12" s="1"/>
  <c r="J97" i="12" s="1"/>
  <c r="J90" i="12"/>
  <c r="J101" i="12" s="1"/>
  <c r="J100" i="12"/>
  <c r="E102" i="10"/>
  <c r="K97" i="12"/>
  <c r="H87" i="18"/>
  <c r="H86" i="18"/>
  <c r="H94" i="18" s="1"/>
  <c r="K64" i="11"/>
  <c r="K65" i="11" s="1"/>
  <c r="D65" i="11"/>
  <c r="C66" i="11" s="1"/>
  <c r="E64" i="11"/>
  <c r="J68" i="11"/>
  <c r="J71" i="11"/>
  <c r="H74" i="18"/>
  <c r="H76" i="18"/>
  <c r="C68" i="11"/>
  <c r="C71" i="11"/>
  <c r="G89" i="12"/>
  <c r="G95" i="12" s="1"/>
  <c r="G90" i="12"/>
  <c r="G101" i="12" s="1"/>
  <c r="G100" i="12"/>
  <c r="J68" i="18"/>
  <c r="J71" i="18"/>
  <c r="H61" i="18"/>
  <c r="H73" i="18"/>
  <c r="C71" i="18"/>
  <c r="C68" i="18"/>
  <c r="G100" i="18"/>
  <c r="G90" i="18"/>
  <c r="G101" i="18" s="1"/>
  <c r="G89" i="18"/>
  <c r="G95" i="18" s="1"/>
  <c r="G96" i="18" s="1"/>
  <c r="G97" i="18" s="1"/>
  <c r="K64" i="18"/>
  <c r="K65" i="18" s="1"/>
  <c r="D65" i="18"/>
  <c r="C66" i="18" s="1"/>
  <c r="C67" i="18" s="1"/>
  <c r="E64" i="18"/>
  <c r="H74" i="12"/>
  <c r="H75" i="12"/>
  <c r="I77" i="12" l="1"/>
  <c r="L77" i="12"/>
  <c r="M77" i="12"/>
  <c r="M72" i="12"/>
  <c r="I72" i="12"/>
  <c r="J77" i="12"/>
  <c r="L72" i="12"/>
  <c r="C72" i="12"/>
  <c r="J72" i="12"/>
  <c r="H73" i="12"/>
  <c r="D72" i="12"/>
  <c r="D77" i="12"/>
  <c r="F72" i="12"/>
  <c r="N77" i="12"/>
  <c r="F77" i="12"/>
  <c r="N18" i="23"/>
  <c r="K77" i="12"/>
  <c r="E72" i="12"/>
  <c r="N13" i="23"/>
  <c r="C77" i="12"/>
  <c r="K72" i="12"/>
  <c r="G66" i="12"/>
  <c r="N25" i="23" s="1"/>
  <c r="G71" i="12"/>
  <c r="G68" i="12"/>
  <c r="I68" i="18"/>
  <c r="G96" i="12"/>
  <c r="G97" i="12" s="1"/>
  <c r="H86" i="12"/>
  <c r="H94" i="12" s="1"/>
  <c r="J66" i="18"/>
  <c r="N102" i="12"/>
  <c r="N103" i="12" s="1"/>
  <c r="M102" i="12"/>
  <c r="M103" i="12" s="1"/>
  <c r="J102" i="12"/>
  <c r="J103" i="12" s="1"/>
  <c r="M102" i="10"/>
  <c r="M103" i="10" s="1"/>
  <c r="C103" i="12"/>
  <c r="J102" i="10"/>
  <c r="J103" i="10" s="1"/>
  <c r="E103" i="10"/>
  <c r="I102" i="12"/>
  <c r="I103" i="12" s="1"/>
  <c r="M102" i="11"/>
  <c r="M103" i="11" s="1"/>
  <c r="K102" i="10"/>
  <c r="K103" i="10" s="1"/>
  <c r="F103" i="12"/>
  <c r="G102" i="11"/>
  <c r="G103" i="11" s="1"/>
  <c r="L102" i="12"/>
  <c r="L103" i="12" s="1"/>
  <c r="G102" i="12"/>
  <c r="G103" i="12" s="1"/>
  <c r="I102" i="10"/>
  <c r="I103" i="10" s="1"/>
  <c r="N102" i="18"/>
  <c r="N103" i="18" s="1"/>
  <c r="D103" i="10"/>
  <c r="L103" i="10"/>
  <c r="K64" i="10"/>
  <c r="K65" i="10" s="1"/>
  <c r="E64" i="10"/>
  <c r="D65" i="10"/>
  <c r="J66" i="10" s="1"/>
  <c r="H73" i="10"/>
  <c r="H61" i="10"/>
  <c r="C103" i="10"/>
  <c r="H100" i="11"/>
  <c r="H89" i="11"/>
  <c r="H95" i="11" s="1"/>
  <c r="H96" i="11" s="1"/>
  <c r="H97" i="11" s="1"/>
  <c r="H90" i="11"/>
  <c r="H101" i="11" s="1"/>
  <c r="J71" i="10"/>
  <c r="J68" i="10"/>
  <c r="F103" i="10"/>
  <c r="H86" i="10"/>
  <c r="H94" i="10" s="1"/>
  <c r="H87" i="10"/>
  <c r="G89" i="10"/>
  <c r="G95" i="10" s="1"/>
  <c r="G96" i="10" s="1"/>
  <c r="G97" i="10" s="1"/>
  <c r="G90" i="10"/>
  <c r="G101" i="10" s="1"/>
  <c r="G100" i="10"/>
  <c r="B103" i="10"/>
  <c r="H76" i="10"/>
  <c r="H74" i="10"/>
  <c r="N103" i="10"/>
  <c r="E103" i="12"/>
  <c r="K103" i="12"/>
  <c r="D103" i="12"/>
  <c r="B103" i="12"/>
  <c r="C72" i="18"/>
  <c r="C78" i="18"/>
  <c r="K68" i="18"/>
  <c r="K71" i="18"/>
  <c r="K66" i="18"/>
  <c r="K67" i="18" s="1"/>
  <c r="C78" i="11"/>
  <c r="C72" i="11"/>
  <c r="K71" i="11"/>
  <c r="K68" i="11"/>
  <c r="K66" i="11"/>
  <c r="L14" i="23" s="1"/>
  <c r="F64" i="18"/>
  <c r="E65" i="18"/>
  <c r="L64" i="18"/>
  <c r="L65" i="18" s="1"/>
  <c r="H100" i="12"/>
  <c r="H89" i="12"/>
  <c r="H95" i="12" s="1"/>
  <c r="H90" i="12"/>
  <c r="H101" i="12" s="1"/>
  <c r="H66" i="12"/>
  <c r="N17" i="23" s="1"/>
  <c r="H71" i="12"/>
  <c r="H68" i="12"/>
  <c r="D68" i="11"/>
  <c r="D71" i="11"/>
  <c r="D66" i="11"/>
  <c r="L21" i="23" s="1"/>
  <c r="I66" i="11"/>
  <c r="L22" i="23" s="1"/>
  <c r="G102" i="18"/>
  <c r="G103" i="18" s="1"/>
  <c r="D66" i="18"/>
  <c r="D67" i="18" s="1"/>
  <c r="D71" i="18"/>
  <c r="D68" i="18"/>
  <c r="B66" i="18"/>
  <c r="I66" i="18"/>
  <c r="I67" i="18" s="1"/>
  <c r="J66" i="11"/>
  <c r="F64" i="11"/>
  <c r="L64" i="11"/>
  <c r="L65" i="11" s="1"/>
  <c r="E65" i="11"/>
  <c r="H100" i="18"/>
  <c r="H89" i="18"/>
  <c r="H95" i="18" s="1"/>
  <c r="H96" i="18" s="1"/>
  <c r="H97" i="18" s="1"/>
  <c r="H90" i="18"/>
  <c r="H101" i="18" s="1"/>
  <c r="G72" i="12" l="1"/>
  <c r="G77" i="12"/>
  <c r="H96" i="12"/>
  <c r="H97" i="12" s="1"/>
  <c r="B72" i="11"/>
  <c r="J78" i="18"/>
  <c r="J67" i="18"/>
  <c r="B72" i="18"/>
  <c r="B67" i="18"/>
  <c r="J72" i="18"/>
  <c r="G102" i="10"/>
  <c r="G103" i="10" s="1"/>
  <c r="H102" i="11"/>
  <c r="H103" i="11" s="1"/>
  <c r="H89" i="10"/>
  <c r="H95" i="10" s="1"/>
  <c r="H96" i="10" s="1"/>
  <c r="H97" i="10" s="1"/>
  <c r="H100" i="10"/>
  <c r="H90" i="10"/>
  <c r="H101" i="10" s="1"/>
  <c r="K68" i="10"/>
  <c r="K66" i="10"/>
  <c r="M14" i="23" s="1"/>
  <c r="K71" i="10"/>
  <c r="J78" i="10"/>
  <c r="J72" i="10"/>
  <c r="D68" i="10"/>
  <c r="D71" i="10"/>
  <c r="D66" i="10"/>
  <c r="M21" i="23" s="1"/>
  <c r="B66" i="10"/>
  <c r="C66" i="10"/>
  <c r="I66" i="10"/>
  <c r="M22" i="23" s="1"/>
  <c r="F64" i="10"/>
  <c r="L64" i="10"/>
  <c r="L65" i="10" s="1"/>
  <c r="E65" i="10"/>
  <c r="E71" i="11"/>
  <c r="E68" i="11"/>
  <c r="E66" i="11"/>
  <c r="L13" i="23" s="1"/>
  <c r="H77" i="12"/>
  <c r="H72" i="12"/>
  <c r="I78" i="11"/>
  <c r="I72" i="11"/>
  <c r="F65" i="11"/>
  <c r="G64" i="11"/>
  <c r="M64" i="11"/>
  <c r="M65" i="11" s="1"/>
  <c r="G64" i="18"/>
  <c r="M64" i="18"/>
  <c r="M65" i="18" s="1"/>
  <c r="F65" i="18"/>
  <c r="L71" i="18"/>
  <c r="L66" i="18"/>
  <c r="L67" i="18" s="1"/>
  <c r="L68" i="18"/>
  <c r="L66" i="11"/>
  <c r="L68" i="11"/>
  <c r="L71" i="11"/>
  <c r="E66" i="18"/>
  <c r="E67" i="18" s="1"/>
  <c r="E71" i="18"/>
  <c r="E68" i="18"/>
  <c r="J72" i="11"/>
  <c r="J78" i="11"/>
  <c r="H102" i="18"/>
  <c r="H103" i="18" s="1"/>
  <c r="I78" i="18"/>
  <c r="I72" i="18"/>
  <c r="D72" i="18"/>
  <c r="D78" i="18"/>
  <c r="D78" i="11"/>
  <c r="D72" i="11"/>
  <c r="H102" i="12"/>
  <c r="H103" i="12" s="1"/>
  <c r="K72" i="11"/>
  <c r="K78" i="11"/>
  <c r="K72" i="18"/>
  <c r="K78" i="18"/>
  <c r="B72" i="10" l="1"/>
  <c r="E71" i="10"/>
  <c r="E66" i="10"/>
  <c r="M13" i="23" s="1"/>
  <c r="E68" i="10"/>
  <c r="C72" i="10"/>
  <c r="C78" i="10"/>
  <c r="L68" i="10"/>
  <c r="L66" i="10"/>
  <c r="L71" i="10"/>
  <c r="G64" i="10"/>
  <c r="F65" i="10"/>
  <c r="M64" i="10"/>
  <c r="M65" i="10" s="1"/>
  <c r="D72" i="10"/>
  <c r="D78" i="10"/>
  <c r="H102" i="10"/>
  <c r="H103" i="10" s="1"/>
  <c r="I72" i="10"/>
  <c r="I78" i="10"/>
  <c r="K78" i="10"/>
  <c r="K72" i="10"/>
  <c r="F66" i="11"/>
  <c r="F71" i="11"/>
  <c r="F68" i="11"/>
  <c r="E72" i="11"/>
  <c r="E78" i="11"/>
  <c r="E78" i="18"/>
  <c r="E72" i="18"/>
  <c r="M68" i="11"/>
  <c r="M71" i="11"/>
  <c r="M66" i="11"/>
  <c r="L26" i="23" s="1"/>
  <c r="M66" i="18"/>
  <c r="M67" i="18" s="1"/>
  <c r="M71" i="18"/>
  <c r="M68" i="18"/>
  <c r="L78" i="11"/>
  <c r="L72" i="11"/>
  <c r="N64" i="18"/>
  <c r="N65" i="18" s="1"/>
  <c r="H64" i="18"/>
  <c r="G65" i="18"/>
  <c r="L78" i="18"/>
  <c r="L72" i="18"/>
  <c r="F66" i="18"/>
  <c r="F67" i="18" s="1"/>
  <c r="F71" i="18"/>
  <c r="F68" i="18"/>
  <c r="N64" i="11"/>
  <c r="N65" i="11" s="1"/>
  <c r="G65" i="11"/>
  <c r="H64" i="11"/>
  <c r="M66" i="10" l="1"/>
  <c r="M26" i="23" s="1"/>
  <c r="M68" i="10"/>
  <c r="M71" i="10"/>
  <c r="L78" i="10"/>
  <c r="L72" i="10"/>
  <c r="F66" i="10"/>
  <c r="F68" i="10"/>
  <c r="F71" i="10"/>
  <c r="E72" i="10"/>
  <c r="E78" i="10"/>
  <c r="N64" i="10"/>
  <c r="N65" i="10" s="1"/>
  <c r="G65" i="10"/>
  <c r="H64" i="10"/>
  <c r="H65" i="18"/>
  <c r="O64" i="18"/>
  <c r="O65" i="18" s="1"/>
  <c r="M78" i="11"/>
  <c r="M72" i="11"/>
  <c r="H65" i="11"/>
  <c r="H66" i="11" s="1"/>
  <c r="L17" i="23" s="1"/>
  <c r="O64" i="11"/>
  <c r="O65" i="11" s="1"/>
  <c r="G68" i="11"/>
  <c r="G66" i="11"/>
  <c r="L25" i="23" s="1"/>
  <c r="G71" i="11"/>
  <c r="F78" i="18"/>
  <c r="F72" i="18"/>
  <c r="N68" i="18"/>
  <c r="N71" i="18"/>
  <c r="N66" i="18"/>
  <c r="N67" i="18" s="1"/>
  <c r="N66" i="11"/>
  <c r="L18" i="23" s="1"/>
  <c r="N71" i="11"/>
  <c r="N68" i="11"/>
  <c r="G68" i="18"/>
  <c r="G66" i="18"/>
  <c r="G67" i="18" s="1"/>
  <c r="G71" i="18"/>
  <c r="M78" i="18"/>
  <c r="M72" i="18"/>
  <c r="F78" i="11"/>
  <c r="F72" i="11"/>
  <c r="G71" i="10" l="1"/>
  <c r="G68" i="10"/>
  <c r="G66" i="10"/>
  <c r="M25" i="23" s="1"/>
  <c r="N66" i="10"/>
  <c r="M18" i="23" s="1"/>
  <c r="N71" i="10"/>
  <c r="N68" i="10"/>
  <c r="M78" i="10"/>
  <c r="M72" i="10"/>
  <c r="H65" i="10"/>
  <c r="O64" i="10"/>
  <c r="O65" i="10" s="1"/>
  <c r="F72" i="10"/>
  <c r="F78" i="10"/>
  <c r="N78" i="18"/>
  <c r="N72" i="18"/>
  <c r="O66" i="11"/>
  <c r="L29" i="23" s="1"/>
  <c r="O71" i="11"/>
  <c r="O68" i="11"/>
  <c r="O66" i="18"/>
  <c r="O67" i="18" s="1"/>
  <c r="O68" i="18"/>
  <c r="H68" i="11"/>
  <c r="H71" i="11"/>
  <c r="G72" i="18"/>
  <c r="G78" i="18"/>
  <c r="N78" i="11"/>
  <c r="N72" i="11"/>
  <c r="G78" i="11"/>
  <c r="G72" i="11"/>
  <c r="H68" i="18"/>
  <c r="H66" i="18"/>
  <c r="H67" i="18" s="1"/>
  <c r="H71" i="18"/>
  <c r="H66" i="10" l="1"/>
  <c r="M17" i="23" s="1"/>
  <c r="H68" i="10"/>
  <c r="H71" i="10"/>
  <c r="N72" i="10"/>
  <c r="N78" i="10"/>
  <c r="G78" i="10"/>
  <c r="G72" i="10"/>
  <c r="O66" i="10"/>
  <c r="O71" i="10"/>
  <c r="O68" i="10"/>
  <c r="O72" i="11"/>
  <c r="H78" i="18"/>
  <c r="H72" i="18"/>
  <c r="H72" i="11"/>
  <c r="H78" i="11"/>
  <c r="O72" i="10" l="1"/>
  <c r="H72" i="10"/>
  <c r="H78" i="10"/>
  <c r="F53" i="21"/>
  <c r="F60" i="21" s="1"/>
  <c r="F61" i="21" s="1"/>
  <c r="F62" i="2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Fredrik Hedenus</author>
    <author>Maria Magnusson</author>
  </authors>
  <commentList>
    <comment ref="D10" authorId="0" shapeId="0" xr:uid="{00000000-0006-0000-0200-000001000000}">
      <text>
        <r>
          <rPr>
            <b/>
            <sz val="8"/>
            <color indexed="81"/>
            <rFont val="Tahoma"/>
            <family val="2"/>
          </rPr>
          <t>Fredrik Hedenus:</t>
        </r>
        <r>
          <rPr>
            <sz val="8"/>
            <color indexed="81"/>
            <rFont val="Tahoma"/>
            <family val="2"/>
          </rPr>
          <t xml:space="preserve">
1000 km range</t>
        </r>
      </text>
    </comment>
    <comment ref="E10" authorId="0" shapeId="0" xr:uid="{00000000-0006-0000-0200-000002000000}">
      <text>
        <r>
          <rPr>
            <b/>
            <sz val="8"/>
            <color indexed="81"/>
            <rFont val="Tahoma"/>
            <family val="2"/>
          </rPr>
          <t>Fredrik Hedenus:</t>
        </r>
        <r>
          <rPr>
            <sz val="8"/>
            <color indexed="81"/>
            <rFont val="Tahoma"/>
            <family val="2"/>
          </rPr>
          <t xml:space="preserve">
1000 km range</t>
        </r>
      </text>
    </comment>
    <comment ref="B11" authorId="1" shapeId="0" xr:uid="{9E369CBA-C4CE-42EF-81C7-F3B34F3954A0}">
      <text>
        <r>
          <rPr>
            <b/>
            <sz val="9"/>
            <color indexed="81"/>
            <rFont val="Tahoma"/>
            <family val="2"/>
          </rPr>
          <t>Maria Magnusson:</t>
        </r>
        <r>
          <rPr>
            <sz val="9"/>
            <color indexed="81"/>
            <rFont val="Tahoma"/>
            <family val="2"/>
          </rPr>
          <t xml:space="preserve">
Antar att 0 är ICE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Selma Bengtsson</author>
  </authors>
  <commentList>
    <comment ref="C1" authorId="0" shapeId="0" xr:uid="{00000000-0006-0000-0A00-000001000000}">
      <text>
        <r>
          <rPr>
            <b/>
            <sz val="9"/>
            <color indexed="81"/>
            <rFont val="Tahoma"/>
            <family val="2"/>
          </rPr>
          <t>Selma Bengtsson:</t>
        </r>
        <r>
          <rPr>
            <sz val="9"/>
            <color indexed="81"/>
            <rFont val="Tahoma"/>
            <family val="2"/>
          </rPr>
          <t xml:space="preserve">
Diesel No 2</t>
        </r>
      </text>
    </comment>
    <comment ref="G1" authorId="0" shapeId="0" xr:uid="{00000000-0006-0000-0A00-000002000000}">
      <text>
        <r>
          <rPr>
            <b/>
            <sz val="9"/>
            <color indexed="81"/>
            <rFont val="Tahoma"/>
            <family val="2"/>
          </rPr>
          <t>Selma Bengtsson:</t>
        </r>
        <r>
          <rPr>
            <sz val="9"/>
            <color indexed="81"/>
            <rFont val="Tahoma"/>
            <family val="2"/>
          </rPr>
          <t xml:space="preserve">
Assumed methane!
</t>
        </r>
      </text>
    </comment>
    <comment ref="E6" authorId="0" shapeId="0" xr:uid="{00000000-0006-0000-0A00-000003000000}">
      <text>
        <r>
          <rPr>
            <b/>
            <sz val="9"/>
            <color indexed="81"/>
            <rFont val="Tahoma"/>
            <family val="2"/>
          </rPr>
          <t>Selma Bengtsson:</t>
        </r>
        <r>
          <rPr>
            <sz val="9"/>
            <color indexed="81"/>
            <rFont val="Tahoma"/>
            <family val="2"/>
          </rPr>
          <t xml:space="preserve">
MeOH Fiedler, Grossmann et al. (2000)</t>
        </r>
      </text>
    </comment>
    <comment ref="F6" authorId="0" shapeId="0" xr:uid="{00000000-0006-0000-0A00-000004000000}">
      <text>
        <r>
          <rPr>
            <b/>
            <sz val="9"/>
            <color indexed="81"/>
            <rFont val="Tahoma"/>
            <family val="2"/>
          </rPr>
          <t>Selma Bengtsson:</t>
        </r>
        <r>
          <rPr>
            <sz val="9"/>
            <color indexed="81"/>
            <rFont val="Tahoma"/>
            <family val="2"/>
          </rPr>
          <t xml:space="preserve">
MeOH Fiedler, Grossmann et al. (2000)</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Selma Bengtsson</author>
  </authors>
  <commentList>
    <comment ref="I1" authorId="0" shapeId="0" xr:uid="{00000000-0006-0000-0E00-000001000000}">
      <text>
        <r>
          <rPr>
            <b/>
            <sz val="9"/>
            <color indexed="81"/>
            <rFont val="Tahoma"/>
            <family val="2"/>
          </rPr>
          <t>Selma Bengtsson:</t>
        </r>
        <r>
          <rPr>
            <sz val="9"/>
            <color indexed="81"/>
            <rFont val="Tahoma"/>
            <family val="2"/>
          </rPr>
          <t xml:space="preserve">
Will this be possible?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Jim Anderson</author>
    <author>mwilli89</author>
    <author>Selma Brynolf</author>
  </authors>
  <commentList>
    <comment ref="AL1" authorId="0" shapeId="0" xr:uid="{00000000-0006-0000-0300-000001000000}">
      <text>
        <r>
          <rPr>
            <b/>
            <sz val="8"/>
            <color indexed="81"/>
            <rFont val="Tahoma"/>
            <family val="2"/>
          </rPr>
          <t>Jim Anderson:</t>
        </r>
        <r>
          <rPr>
            <sz val="8"/>
            <color indexed="81"/>
            <rFont val="Tahoma"/>
            <family val="2"/>
          </rPr>
          <t xml:space="preserve">
http://en.wikipedia.org/wiki/Prius</t>
        </r>
      </text>
    </comment>
    <comment ref="AO1" authorId="0" shapeId="0" xr:uid="{00000000-0006-0000-0300-000002000000}">
      <text>
        <r>
          <rPr>
            <b/>
            <sz val="8"/>
            <color indexed="81"/>
            <rFont val="Tahoma"/>
            <family val="2"/>
          </rPr>
          <t>Jim Anderson:</t>
        </r>
        <r>
          <rPr>
            <sz val="8"/>
            <color indexed="81"/>
            <rFont val="Tahoma"/>
            <family val="2"/>
          </rPr>
          <t xml:space="preserve">
http://en.wikipedia.org/wiki/Chevrolet_Volt</t>
        </r>
      </text>
    </comment>
    <comment ref="F7" authorId="0" shapeId="0" xr:uid="{00000000-0006-0000-0300-000003000000}">
      <text>
        <r>
          <rPr>
            <b/>
            <sz val="8"/>
            <color indexed="81"/>
            <rFont val="Tahoma"/>
            <family val="2"/>
          </rPr>
          <t>Jim Anderson:</t>
        </r>
        <r>
          <rPr>
            <sz val="8"/>
            <color indexed="81"/>
            <rFont val="Tahoma"/>
            <family val="2"/>
          </rPr>
          <t xml:space="preserve">
Currently used for calculating battery kWhr for all-electric range, but not used for overall PT efficiency calculation.</t>
        </r>
      </text>
    </comment>
    <comment ref="G7" authorId="0" shapeId="0" xr:uid="{00000000-0006-0000-0300-000004000000}">
      <text>
        <r>
          <rPr>
            <b/>
            <sz val="8"/>
            <color indexed="81"/>
            <rFont val="Tahoma"/>
            <family val="2"/>
          </rPr>
          <t>Jim Anderson:</t>
        </r>
        <r>
          <rPr>
            <sz val="8"/>
            <color indexed="81"/>
            <rFont val="Tahoma"/>
            <family val="2"/>
          </rPr>
          <t xml:space="preserve">
Currently used for calculating battery kWhr for all-electric range, but not used for overall PT efficiency calculation.</t>
        </r>
      </text>
    </comment>
    <comment ref="H7" authorId="0" shapeId="0" xr:uid="{00000000-0006-0000-0300-000005000000}">
      <text>
        <r>
          <rPr>
            <b/>
            <sz val="8"/>
            <color indexed="81"/>
            <rFont val="Tahoma"/>
            <family val="2"/>
          </rPr>
          <t>Jim Anderson:</t>
        </r>
        <r>
          <rPr>
            <sz val="8"/>
            <color indexed="81"/>
            <rFont val="Tahoma"/>
            <family val="2"/>
          </rPr>
          <t xml:space="preserve">
Currently used for calculating battery kWhr for all-electric range, but not used for overall PT efficiency calculation.</t>
        </r>
      </text>
    </comment>
    <comment ref="I7" authorId="0" shapeId="0" xr:uid="{00000000-0006-0000-0300-000006000000}">
      <text>
        <r>
          <rPr>
            <b/>
            <sz val="8"/>
            <color indexed="81"/>
            <rFont val="Tahoma"/>
            <family val="2"/>
          </rPr>
          <t>Jim Anderson:</t>
        </r>
        <r>
          <rPr>
            <sz val="8"/>
            <color indexed="81"/>
            <rFont val="Tahoma"/>
            <family val="2"/>
          </rPr>
          <t xml:space="preserve">
Currently used for calculating battery kWhr for all-electric range, but not used for overall PT efficiency calculation.</t>
        </r>
      </text>
    </comment>
    <comment ref="J7" authorId="0" shapeId="0" xr:uid="{00000000-0006-0000-0300-000007000000}">
      <text>
        <r>
          <rPr>
            <b/>
            <sz val="8"/>
            <color indexed="81"/>
            <rFont val="Tahoma"/>
            <family val="2"/>
          </rPr>
          <t>Jim Anderson:</t>
        </r>
        <r>
          <rPr>
            <sz val="8"/>
            <color indexed="81"/>
            <rFont val="Tahoma"/>
            <family val="2"/>
          </rPr>
          <t xml:space="preserve">
Currently used for calculating battery kWhr for all-electric range, but not used for overall PT efficiency calculation.</t>
        </r>
      </text>
    </comment>
    <comment ref="B8" authorId="0" shapeId="0" xr:uid="{00000000-0006-0000-0300-000008000000}">
      <text>
        <r>
          <rPr>
            <b/>
            <sz val="8"/>
            <color indexed="81"/>
            <rFont val="Tahoma"/>
            <family val="2"/>
          </rPr>
          <t>Jim Anderson:</t>
        </r>
        <r>
          <rPr>
            <sz val="8"/>
            <color indexed="81"/>
            <rFont val="Tahoma"/>
            <family val="2"/>
          </rPr>
          <t xml:space="preserve">
From NewTable_Trsp-conv file from Maria</t>
        </r>
      </text>
    </comment>
    <comment ref="F8" authorId="0" shapeId="0" xr:uid="{00000000-0006-0000-0300-000009000000}">
      <text>
        <r>
          <rPr>
            <b/>
            <sz val="8"/>
            <color indexed="81"/>
            <rFont val="Tahoma"/>
            <family val="2"/>
          </rPr>
          <t>Jim Anderson:</t>
        </r>
        <r>
          <rPr>
            <sz val="8"/>
            <color indexed="81"/>
            <rFont val="Tahoma"/>
            <family val="2"/>
          </rPr>
          <t xml:space="preserve">
Year 2050 Petro ICE efficiency x 1.3</t>
        </r>
      </text>
    </comment>
    <comment ref="G8" authorId="0" shapeId="0" xr:uid="{00000000-0006-0000-0300-00000A000000}">
      <text>
        <r>
          <rPr>
            <b/>
            <sz val="8"/>
            <color indexed="81"/>
            <rFont val="Tahoma"/>
            <family val="2"/>
          </rPr>
          <t>Jim Anderson:</t>
        </r>
        <r>
          <rPr>
            <sz val="8"/>
            <color indexed="81"/>
            <rFont val="Tahoma"/>
            <family val="2"/>
          </rPr>
          <t xml:space="preserve">
Year 2050 Petro ICE efficiency x 1.3</t>
        </r>
      </text>
    </comment>
    <comment ref="H8" authorId="0" shapeId="0" xr:uid="{00000000-0006-0000-0300-00000B000000}">
      <text>
        <r>
          <rPr>
            <b/>
            <sz val="8"/>
            <color indexed="81"/>
            <rFont val="Tahoma"/>
            <family val="2"/>
          </rPr>
          <t>Jim Anderson:</t>
        </r>
        <r>
          <rPr>
            <sz val="8"/>
            <color indexed="81"/>
            <rFont val="Tahoma"/>
            <family val="2"/>
          </rPr>
          <t xml:space="preserve">
Year 2050 Petro ICE efficiency x 1.3</t>
        </r>
      </text>
    </comment>
    <comment ref="I8" authorId="0" shapeId="0" xr:uid="{00000000-0006-0000-0300-00000C000000}">
      <text>
        <r>
          <rPr>
            <b/>
            <sz val="8"/>
            <color indexed="81"/>
            <rFont val="Tahoma"/>
            <family val="2"/>
          </rPr>
          <t>Jim Anderson:</t>
        </r>
        <r>
          <rPr>
            <sz val="8"/>
            <color indexed="81"/>
            <rFont val="Tahoma"/>
            <family val="2"/>
          </rPr>
          <t xml:space="preserve">
Year 2050 Petro ICE efficiency x 1.3</t>
        </r>
      </text>
    </comment>
    <comment ref="J8" authorId="0" shapeId="0" xr:uid="{00000000-0006-0000-0300-00000D000000}">
      <text>
        <r>
          <rPr>
            <b/>
            <sz val="8"/>
            <color indexed="81"/>
            <rFont val="Tahoma"/>
            <family val="2"/>
          </rPr>
          <t>Jim Anderson:</t>
        </r>
        <r>
          <rPr>
            <sz val="8"/>
            <color indexed="81"/>
            <rFont val="Tahoma"/>
            <family val="2"/>
          </rPr>
          <t xml:space="preserve">
Assume other efficiencies are the ones that vary to give temporal change in overall efficiency (not electric motor).</t>
        </r>
      </text>
    </comment>
    <comment ref="L8" authorId="0" shapeId="0" xr:uid="{00000000-0006-0000-0300-00000E000000}">
      <text>
        <r>
          <rPr>
            <b/>
            <sz val="8"/>
            <color indexed="81"/>
            <rFont val="Tahoma"/>
            <family val="2"/>
          </rPr>
          <t>Jim Anderson:</t>
        </r>
        <r>
          <rPr>
            <sz val="8"/>
            <color indexed="81"/>
            <rFont val="Tahoma"/>
            <family val="2"/>
          </rPr>
          <t xml:space="preserve">
Assume other efficiencies are the ones that vary to give temporal change in overall efficiency (not electric motor).</t>
        </r>
      </text>
    </comment>
    <comment ref="O8" authorId="0" shapeId="0" xr:uid="{00000000-0006-0000-0300-00000F000000}">
      <text>
        <r>
          <rPr>
            <b/>
            <sz val="8"/>
            <color indexed="81"/>
            <rFont val="Tahoma"/>
            <family val="2"/>
          </rPr>
          <t>Jim Anderson:</t>
        </r>
        <r>
          <rPr>
            <sz val="8"/>
            <color indexed="81"/>
            <rFont val="Tahoma"/>
            <family val="2"/>
          </rPr>
          <t xml:space="preserve">
Assume other efficiencies are the ones that vary to give temporal change in overall efficiency (not electric motor).</t>
        </r>
      </text>
    </comment>
    <comment ref="R8" authorId="0" shapeId="0" xr:uid="{00000000-0006-0000-0300-000010000000}">
      <text>
        <r>
          <rPr>
            <b/>
            <sz val="8"/>
            <color indexed="81"/>
            <rFont val="Tahoma"/>
            <family val="2"/>
          </rPr>
          <t>Jim Anderson:</t>
        </r>
        <r>
          <rPr>
            <sz val="8"/>
            <color indexed="81"/>
            <rFont val="Tahoma"/>
            <family val="2"/>
          </rPr>
          <t xml:space="preserve">
Assume other efficiencies are the ones that vary to give temporal change in overall efficiency (not electric motor).</t>
        </r>
      </text>
    </comment>
    <comment ref="U8" authorId="0" shapeId="0" xr:uid="{00000000-0006-0000-0300-000011000000}">
      <text>
        <r>
          <rPr>
            <b/>
            <sz val="8"/>
            <color indexed="81"/>
            <rFont val="Tahoma"/>
            <family val="2"/>
          </rPr>
          <t>Jim Anderson:</t>
        </r>
        <r>
          <rPr>
            <sz val="8"/>
            <color indexed="81"/>
            <rFont val="Tahoma"/>
            <family val="2"/>
          </rPr>
          <t xml:space="preserve">
Assume other efficiencies are the ones that vary to give temporal change in overall efficiency (not electric motor).</t>
        </r>
      </text>
    </comment>
    <comment ref="X8" authorId="0" shapeId="0" xr:uid="{00000000-0006-0000-0300-000012000000}">
      <text>
        <r>
          <rPr>
            <b/>
            <sz val="8"/>
            <color indexed="81"/>
            <rFont val="Tahoma"/>
            <family val="2"/>
          </rPr>
          <t>Jim Anderson:</t>
        </r>
        <r>
          <rPr>
            <sz val="8"/>
            <color indexed="81"/>
            <rFont val="Tahoma"/>
            <family val="2"/>
          </rPr>
          <t xml:space="preserve">
Assume other efficiencies are the ones that vary to give temporal change in overall efficiency (not electric motor).</t>
        </r>
      </text>
    </comment>
    <comment ref="AA8" authorId="0" shapeId="0" xr:uid="{00000000-0006-0000-0300-000013000000}">
      <text>
        <r>
          <rPr>
            <b/>
            <sz val="8"/>
            <color indexed="81"/>
            <rFont val="Tahoma"/>
            <family val="2"/>
          </rPr>
          <t>Jim Anderson:</t>
        </r>
        <r>
          <rPr>
            <sz val="8"/>
            <color indexed="81"/>
            <rFont val="Tahoma"/>
            <family val="2"/>
          </rPr>
          <t xml:space="preserve">
Assume other efficiencies are the ones that vary to give temporal change in overall efficiency (not electric motor).</t>
        </r>
      </text>
    </comment>
    <comment ref="A10" authorId="0" shapeId="0" xr:uid="{00000000-0006-0000-0300-000014000000}">
      <text>
        <r>
          <rPr>
            <b/>
            <sz val="8"/>
            <color indexed="81"/>
            <rFont val="Tahoma"/>
            <family val="2"/>
          </rPr>
          <t>Jim Anderson:</t>
        </r>
        <r>
          <rPr>
            <sz val="8"/>
            <color indexed="81"/>
            <rFont val="Tahoma"/>
            <family val="2"/>
          </rPr>
          <t xml:space="preserve">
These vehicle energy use figures based on assumptions in the VehicleEfficiency spreadsheet. Higher values required for advanced technologies due to added weight. Note that value was initially 0.4 for all vehicles in this spreadsheet.</t>
        </r>
      </text>
    </comment>
    <comment ref="AO10" authorId="0" shapeId="0" xr:uid="{00000000-0006-0000-0300-000015000000}">
      <text>
        <r>
          <rPr>
            <b/>
            <sz val="8"/>
            <color indexed="81"/>
            <rFont val="Tahoma"/>
            <family val="2"/>
          </rPr>
          <t>Jim Anderson:</t>
        </r>
        <r>
          <rPr>
            <sz val="8"/>
            <color indexed="81"/>
            <rFont val="Tahoma"/>
            <family val="2"/>
          </rPr>
          <t xml:space="preserve">
ASSUMED FOR CALCS
</t>
        </r>
      </text>
    </comment>
    <comment ref="F15" authorId="1" shapeId="0" xr:uid="{00000000-0006-0000-0300-000016000000}">
      <text>
        <r>
          <rPr>
            <b/>
            <sz val="8"/>
            <color indexed="81"/>
            <rFont val="Tahoma"/>
            <family val="2"/>
          </rPr>
          <t>mwilli89:</t>
        </r>
        <r>
          <rPr>
            <sz val="8"/>
            <color indexed="81"/>
            <rFont val="Tahoma"/>
            <family val="2"/>
          </rPr>
          <t xml:space="preserve">
It is not relevant to calculate HEV battery cost from distance like this. 
</t>
        </r>
        <r>
          <rPr>
            <b/>
            <sz val="8"/>
            <color indexed="81"/>
            <rFont val="Tahoma"/>
            <family val="2"/>
          </rPr>
          <t xml:space="preserve">Jim Anderson:
</t>
        </r>
        <r>
          <rPr>
            <sz val="8"/>
            <color indexed="81"/>
            <rFont val="Tahoma"/>
            <family val="2"/>
          </rPr>
          <t xml:space="preserve">Prius all-elec range is reportedly a couple km, but is not run in charge-depletion mode. The battery capacity is thus not well reflected by range only. Therefore, battery capacity also needs incorporate storage factor (charge maintained between 60% and 40%).
</t>
        </r>
      </text>
    </comment>
    <comment ref="G15" authorId="1" shapeId="0" xr:uid="{00000000-0006-0000-0300-000017000000}">
      <text>
        <r>
          <rPr>
            <b/>
            <sz val="8"/>
            <color indexed="81"/>
            <rFont val="Tahoma"/>
            <family val="2"/>
          </rPr>
          <t>mwilli89:</t>
        </r>
        <r>
          <rPr>
            <sz val="8"/>
            <color indexed="81"/>
            <rFont val="Tahoma"/>
            <family val="2"/>
          </rPr>
          <t xml:space="preserve">
It is not relevant to calculate HEV battery cost from distance like this. 
</t>
        </r>
        <r>
          <rPr>
            <b/>
            <sz val="8"/>
            <color indexed="81"/>
            <rFont val="Tahoma"/>
            <family val="2"/>
          </rPr>
          <t xml:space="preserve">Jim Anderson:
</t>
        </r>
        <r>
          <rPr>
            <sz val="8"/>
            <color indexed="81"/>
            <rFont val="Tahoma"/>
            <family val="2"/>
          </rPr>
          <t xml:space="preserve">Prius all-elec range is reportedly a couple km, but is not run in charge-depletion mode. The battery capacity is thus not well reflected by range only. Therefore, battery capacity also needs incorporate storage factor (charge maintained between 60% and 40%).
</t>
        </r>
      </text>
    </comment>
    <comment ref="H15" authorId="1" shapeId="0" xr:uid="{00000000-0006-0000-0300-000018000000}">
      <text>
        <r>
          <rPr>
            <b/>
            <sz val="8"/>
            <color indexed="81"/>
            <rFont val="Tahoma"/>
            <family val="2"/>
          </rPr>
          <t>mwilli89:</t>
        </r>
        <r>
          <rPr>
            <sz val="8"/>
            <color indexed="81"/>
            <rFont val="Tahoma"/>
            <family val="2"/>
          </rPr>
          <t xml:space="preserve">
It is not relevant to calculate HEV battery cost from distance like this. 
</t>
        </r>
        <r>
          <rPr>
            <b/>
            <sz val="8"/>
            <color indexed="81"/>
            <rFont val="Tahoma"/>
            <family val="2"/>
          </rPr>
          <t xml:space="preserve">Jim Anderson:
</t>
        </r>
        <r>
          <rPr>
            <sz val="8"/>
            <color indexed="81"/>
            <rFont val="Tahoma"/>
            <family val="2"/>
          </rPr>
          <t xml:space="preserve">Prius all-elec range is reportedly a couple km, but is not run in charge-depletion mode. The battery capacity is thus not well reflected by range only. Therefore, battery capacity also needs incorporate storage factor (charge maintained between 60% and 40%).
</t>
        </r>
      </text>
    </comment>
    <comment ref="I15" authorId="1" shapeId="0" xr:uid="{00000000-0006-0000-0300-000019000000}">
      <text>
        <r>
          <rPr>
            <b/>
            <sz val="8"/>
            <color indexed="81"/>
            <rFont val="Tahoma"/>
            <family val="2"/>
          </rPr>
          <t>mwilli89:</t>
        </r>
        <r>
          <rPr>
            <sz val="8"/>
            <color indexed="81"/>
            <rFont val="Tahoma"/>
            <family val="2"/>
          </rPr>
          <t xml:space="preserve">
It is not relevant to calculate HEV battery cost from distance like this. 
</t>
        </r>
        <r>
          <rPr>
            <b/>
            <sz val="8"/>
            <color indexed="81"/>
            <rFont val="Tahoma"/>
            <family val="2"/>
          </rPr>
          <t xml:space="preserve">Jim Anderson:
</t>
        </r>
        <r>
          <rPr>
            <sz val="8"/>
            <color indexed="81"/>
            <rFont val="Tahoma"/>
            <family val="2"/>
          </rPr>
          <t xml:space="preserve">Prius all-elec range is reportedly a couple km, but is not run in charge-depletion mode. The battery capacity is thus not well reflected by range only. Therefore, battery capacity also needs incorporate storage factor (charge maintained between 60% and 40%).
</t>
        </r>
      </text>
    </comment>
    <comment ref="J15" authorId="0" shapeId="0" xr:uid="{00000000-0006-0000-0300-00001A000000}">
      <text>
        <r>
          <rPr>
            <b/>
            <sz val="8"/>
            <color indexed="81"/>
            <rFont val="Tahoma"/>
            <family val="2"/>
          </rPr>
          <t>Jim Anderson:</t>
        </r>
        <r>
          <rPr>
            <sz val="8"/>
            <color indexed="81"/>
            <rFont val="Tahoma"/>
            <family val="2"/>
          </rPr>
          <t xml:space="preserve">
Arbitrarily selected as 200 km. May need to constrain penetration of BEVs as this is lower than 500 km used for other vehicles.</t>
        </r>
      </text>
    </comment>
    <comment ref="AC15" authorId="0" shapeId="0" xr:uid="{00000000-0006-0000-0300-00001B000000}">
      <text>
        <r>
          <rPr>
            <b/>
            <sz val="8"/>
            <color indexed="81"/>
            <rFont val="Tahoma"/>
            <family val="2"/>
          </rPr>
          <t>Jim Anderson:</t>
        </r>
        <r>
          <rPr>
            <sz val="8"/>
            <color indexed="81"/>
            <rFont val="Tahoma"/>
            <family val="2"/>
          </rPr>
          <t xml:space="preserve">
For FC, assume use of battery similar to HEV</t>
        </r>
        <r>
          <rPr>
            <i/>
            <sz val="8"/>
            <color indexed="81"/>
            <rFont val="Tahoma"/>
            <family val="2"/>
          </rPr>
          <t>.</t>
        </r>
      </text>
    </comment>
    <comment ref="A17" authorId="0" shapeId="0" xr:uid="{00000000-0006-0000-0300-00001C000000}">
      <text>
        <r>
          <rPr>
            <b/>
            <sz val="8"/>
            <color indexed="81"/>
            <rFont val="Tahoma"/>
            <family val="2"/>
          </rPr>
          <t>Jim Anderson:</t>
        </r>
        <r>
          <rPr>
            <sz val="8"/>
            <color indexed="81"/>
            <rFont val="Tahoma"/>
            <family val="2"/>
          </rPr>
          <t xml:space="preserve">
Current HEVs use battery in charge-sustaining mode and do not use entire state of charge (e.g., Prius operates in 20% window--between 60% and 40% of charge), thus storage factor is 5 = 1/0.2. 
For BEV and PHEV batteries operate in charge-depleting mode, thus storage factor is closer to 1.</t>
        </r>
      </text>
    </comment>
    <comment ref="J17" authorId="0" shapeId="0" xr:uid="{00000000-0006-0000-0300-00001D000000}">
      <text>
        <r>
          <rPr>
            <b/>
            <sz val="8"/>
            <color indexed="81"/>
            <rFont val="Tahoma"/>
            <family val="2"/>
          </rPr>
          <t>Jim Anderson:</t>
        </r>
        <r>
          <rPr>
            <sz val="8"/>
            <color indexed="81"/>
            <rFont val="Tahoma"/>
            <family val="2"/>
          </rPr>
          <t xml:space="preserve">
Assumes use of 80% of capacity in charge-depleting mode.</t>
        </r>
      </text>
    </comment>
    <comment ref="L17" authorId="0" shapeId="0" xr:uid="{00000000-0006-0000-0300-00001E000000}">
      <text>
        <r>
          <rPr>
            <b/>
            <sz val="8"/>
            <color indexed="81"/>
            <rFont val="Tahoma"/>
            <family val="2"/>
          </rPr>
          <t>Jim Anderson:</t>
        </r>
        <r>
          <rPr>
            <sz val="8"/>
            <color indexed="81"/>
            <rFont val="Tahoma"/>
            <family val="2"/>
          </rPr>
          <t xml:space="preserve">
Assumes use of 80% of capacity in charge-depleting mode.</t>
        </r>
      </text>
    </comment>
    <comment ref="O17" authorId="0" shapeId="0" xr:uid="{00000000-0006-0000-0300-00001F000000}">
      <text>
        <r>
          <rPr>
            <b/>
            <sz val="8"/>
            <color indexed="81"/>
            <rFont val="Tahoma"/>
            <family val="2"/>
          </rPr>
          <t>Jim Anderson:</t>
        </r>
        <r>
          <rPr>
            <sz val="8"/>
            <color indexed="81"/>
            <rFont val="Tahoma"/>
            <family val="2"/>
          </rPr>
          <t xml:space="preserve">
Assumes use of 80% of capacity in charge-depleting mode.</t>
        </r>
      </text>
    </comment>
    <comment ref="R17" authorId="0" shapeId="0" xr:uid="{00000000-0006-0000-0300-000020000000}">
      <text>
        <r>
          <rPr>
            <b/>
            <sz val="8"/>
            <color indexed="81"/>
            <rFont val="Tahoma"/>
            <family val="2"/>
          </rPr>
          <t>Jim Anderson:</t>
        </r>
        <r>
          <rPr>
            <sz val="8"/>
            <color indexed="81"/>
            <rFont val="Tahoma"/>
            <family val="2"/>
          </rPr>
          <t xml:space="preserve">
Assumes use of 80% of capacity in charge-depleting mode.</t>
        </r>
      </text>
    </comment>
    <comment ref="U17" authorId="0" shapeId="0" xr:uid="{00000000-0006-0000-0300-000021000000}">
      <text>
        <r>
          <rPr>
            <b/>
            <sz val="8"/>
            <color indexed="81"/>
            <rFont val="Tahoma"/>
            <family val="2"/>
          </rPr>
          <t>Jim Anderson:</t>
        </r>
        <r>
          <rPr>
            <sz val="8"/>
            <color indexed="81"/>
            <rFont val="Tahoma"/>
            <family val="2"/>
          </rPr>
          <t xml:space="preserve">
Assumes use of 80% of capacity in charge-depleting mode.</t>
        </r>
      </text>
    </comment>
    <comment ref="X17" authorId="0" shapeId="0" xr:uid="{00000000-0006-0000-0300-000022000000}">
      <text>
        <r>
          <rPr>
            <b/>
            <sz val="8"/>
            <color indexed="81"/>
            <rFont val="Tahoma"/>
            <family val="2"/>
          </rPr>
          <t>Jim Anderson:</t>
        </r>
        <r>
          <rPr>
            <sz val="8"/>
            <color indexed="81"/>
            <rFont val="Tahoma"/>
            <family val="2"/>
          </rPr>
          <t xml:space="preserve">
Assumes use of 80% of capacity in charge-depleting mode.</t>
        </r>
      </text>
    </comment>
    <comment ref="AA17" authorId="0" shapeId="0" xr:uid="{00000000-0006-0000-0300-000023000000}">
      <text>
        <r>
          <rPr>
            <b/>
            <sz val="8"/>
            <color indexed="81"/>
            <rFont val="Tahoma"/>
            <family val="2"/>
          </rPr>
          <t>Jim Anderson:</t>
        </r>
        <r>
          <rPr>
            <sz val="8"/>
            <color indexed="81"/>
            <rFont val="Tahoma"/>
            <family val="2"/>
          </rPr>
          <t xml:space="preserve">
Assumes use of 80% of capacity in charge-depleting mode.</t>
        </r>
      </text>
    </comment>
    <comment ref="AC17" authorId="0" shapeId="0" xr:uid="{00000000-0006-0000-0300-000024000000}">
      <text>
        <r>
          <rPr>
            <b/>
            <sz val="8"/>
            <color indexed="81"/>
            <rFont val="Tahoma"/>
            <family val="2"/>
          </rPr>
          <t>Jim Anderson:</t>
        </r>
        <r>
          <rPr>
            <sz val="8"/>
            <color indexed="81"/>
            <rFont val="Tahoma"/>
            <family val="2"/>
          </rPr>
          <t xml:space="preserve">
Assumes use of 80% of capacity in charge-depleting mode. No reference for this. Escape PHEV will use 70% of capacity.</t>
        </r>
      </text>
    </comment>
    <comment ref="AD17" authorId="0" shapeId="0" xr:uid="{00000000-0006-0000-0300-000025000000}">
      <text>
        <r>
          <rPr>
            <b/>
            <sz val="8"/>
            <color indexed="81"/>
            <rFont val="Tahoma"/>
            <family val="2"/>
          </rPr>
          <t>Jim Anderson:</t>
        </r>
        <r>
          <rPr>
            <sz val="8"/>
            <color indexed="81"/>
            <rFont val="Tahoma"/>
            <family val="2"/>
          </rPr>
          <t xml:space="preserve">
Assumes use of 80% of capacity in charge-depleting mode.</t>
        </r>
      </text>
    </comment>
    <comment ref="AE17" authorId="0" shapeId="0" xr:uid="{00000000-0006-0000-0300-000026000000}">
      <text>
        <r>
          <rPr>
            <b/>
            <sz val="8"/>
            <color indexed="81"/>
            <rFont val="Tahoma"/>
            <family val="2"/>
          </rPr>
          <t>Jim Anderson:</t>
        </r>
        <r>
          <rPr>
            <sz val="8"/>
            <color indexed="81"/>
            <rFont val="Tahoma"/>
            <family val="2"/>
          </rPr>
          <t xml:space="preserve">
Assumes use of 80% of capacity in charge-depleting mode.</t>
        </r>
      </text>
    </comment>
    <comment ref="AL17" authorId="0" shapeId="0" xr:uid="{00000000-0006-0000-0300-000027000000}">
      <text>
        <r>
          <rPr>
            <b/>
            <sz val="8"/>
            <color indexed="81"/>
            <rFont val="Tahoma"/>
            <family val="2"/>
          </rPr>
          <t>Jim Anderson:</t>
        </r>
        <r>
          <rPr>
            <sz val="8"/>
            <color indexed="81"/>
            <rFont val="Tahoma"/>
            <family val="2"/>
          </rPr>
          <t xml:space="preserve">
Prius operates in 20% charge window--between 60% and 40% state of charge), thus storage factor is 5 = 1/0.2. </t>
        </r>
      </text>
    </comment>
    <comment ref="AM17" authorId="0" shapeId="0" xr:uid="{00000000-0006-0000-0300-000028000000}">
      <text>
        <r>
          <rPr>
            <b/>
            <sz val="8"/>
            <color indexed="81"/>
            <rFont val="Tahoma"/>
            <family val="2"/>
          </rPr>
          <t>Jim Anderson:</t>
        </r>
        <r>
          <rPr>
            <sz val="8"/>
            <color indexed="81"/>
            <rFont val="Tahoma"/>
            <family val="2"/>
          </rPr>
          <t xml:space="preserve">
http://blogs.edmunds.com/GreenCarAdvisor/93</t>
        </r>
      </text>
    </comment>
    <comment ref="AO17" authorId="0" shapeId="0" xr:uid="{00000000-0006-0000-0300-000029000000}">
      <text>
        <r>
          <rPr>
            <b/>
            <sz val="8"/>
            <color indexed="81"/>
            <rFont val="Tahoma"/>
            <family val="2"/>
          </rPr>
          <t>Jim Anderson:</t>
        </r>
        <r>
          <rPr>
            <sz val="8"/>
            <color indexed="81"/>
            <rFont val="Tahoma"/>
            <family val="2"/>
          </rPr>
          <t xml:space="preserve">
State of charge will be maintained between 80% and 30%.</t>
        </r>
      </text>
    </comment>
    <comment ref="L19" authorId="0" shapeId="0" xr:uid="{00000000-0006-0000-0300-00002A000000}">
      <text>
        <r>
          <rPr>
            <b/>
            <sz val="8"/>
            <color indexed="81"/>
            <rFont val="Tahoma"/>
            <family val="2"/>
          </rPr>
          <t>Jim Anderson:</t>
        </r>
        <r>
          <rPr>
            <sz val="8"/>
            <color indexed="81"/>
            <rFont val="Tahoma"/>
            <family val="2"/>
          </rPr>
          <t xml:space="preserve">
Volt reportedly has 16 kWh storage for 64 km range. Probably due to use of only half of battery state of charge (between 80% and 30%).</t>
        </r>
      </text>
    </comment>
    <comment ref="O19" authorId="0" shapeId="0" xr:uid="{00000000-0006-0000-0300-00002B000000}">
      <text>
        <r>
          <rPr>
            <b/>
            <sz val="8"/>
            <color indexed="81"/>
            <rFont val="Tahoma"/>
            <family val="2"/>
          </rPr>
          <t>Jim Anderson:</t>
        </r>
        <r>
          <rPr>
            <sz val="8"/>
            <color indexed="81"/>
            <rFont val="Tahoma"/>
            <family val="2"/>
          </rPr>
          <t xml:space="preserve">
Volt reportedly has 16 kWh storage for 64 km range. Probably due to use of only half of battery state of charge (between 80% and 30%).</t>
        </r>
      </text>
    </comment>
    <comment ref="R19" authorId="0" shapeId="0" xr:uid="{00000000-0006-0000-0300-00002C000000}">
      <text>
        <r>
          <rPr>
            <b/>
            <sz val="8"/>
            <color indexed="81"/>
            <rFont val="Tahoma"/>
            <family val="2"/>
          </rPr>
          <t>Jim Anderson:</t>
        </r>
        <r>
          <rPr>
            <sz val="8"/>
            <color indexed="81"/>
            <rFont val="Tahoma"/>
            <family val="2"/>
          </rPr>
          <t xml:space="preserve">
Volt reportedly has 16 kWh storage for 64 km range. Probably due to use of only half of battery state of charge (between 80% and 30%).</t>
        </r>
      </text>
    </comment>
    <comment ref="U19" authorId="0" shapeId="0" xr:uid="{00000000-0006-0000-0300-00002D000000}">
      <text>
        <r>
          <rPr>
            <b/>
            <sz val="8"/>
            <color indexed="81"/>
            <rFont val="Tahoma"/>
            <family val="2"/>
          </rPr>
          <t>Jim Anderson:</t>
        </r>
        <r>
          <rPr>
            <sz val="8"/>
            <color indexed="81"/>
            <rFont val="Tahoma"/>
            <family val="2"/>
          </rPr>
          <t xml:space="preserve">
Volt reportedly has 16 kWh storage for 64 km range. Probably due to use of only half of battery state of charge (between 80% and 30%).</t>
        </r>
      </text>
    </comment>
    <comment ref="X19" authorId="0" shapeId="0" xr:uid="{00000000-0006-0000-0300-00002E000000}">
      <text>
        <r>
          <rPr>
            <b/>
            <sz val="8"/>
            <color indexed="81"/>
            <rFont val="Tahoma"/>
            <family val="2"/>
          </rPr>
          <t>Jim Anderson:</t>
        </r>
        <r>
          <rPr>
            <sz val="8"/>
            <color indexed="81"/>
            <rFont val="Tahoma"/>
            <family val="2"/>
          </rPr>
          <t xml:space="preserve">
Volt reportedly has 16 kWh storage for 64 km range. Probably due to use of only half of battery state of charge (between 80% and 30%).</t>
        </r>
      </text>
    </comment>
    <comment ref="AA19" authorId="0" shapeId="0" xr:uid="{00000000-0006-0000-0300-00002F000000}">
      <text>
        <r>
          <rPr>
            <b/>
            <sz val="8"/>
            <color indexed="81"/>
            <rFont val="Tahoma"/>
            <family val="2"/>
          </rPr>
          <t>Jim Anderson:</t>
        </r>
        <r>
          <rPr>
            <sz val="8"/>
            <color indexed="81"/>
            <rFont val="Tahoma"/>
            <family val="2"/>
          </rPr>
          <t xml:space="preserve">
Volt reportedly has 16 kWh storage for 64 km range. Probably due to use of only half of battery state of charge (between 80% and 30%).</t>
        </r>
      </text>
    </comment>
    <comment ref="AN19" authorId="0" shapeId="0" xr:uid="{00000000-0006-0000-0300-000030000000}">
      <text>
        <r>
          <rPr>
            <b/>
            <sz val="8"/>
            <color indexed="81"/>
            <rFont val="Tahoma"/>
            <family val="2"/>
          </rPr>
          <t>Jim Anderson:</t>
        </r>
        <r>
          <rPr>
            <sz val="8"/>
            <color indexed="81"/>
            <rFont val="Tahoma"/>
            <family val="2"/>
          </rPr>
          <t xml:space="preserve">
http://blogs.edmunds.com/GreenCarAdvisor/93</t>
        </r>
      </text>
    </comment>
    <comment ref="A21" authorId="0" shapeId="0" xr:uid="{00000000-0006-0000-0300-000031000000}">
      <text>
        <r>
          <rPr>
            <b/>
            <sz val="8"/>
            <color indexed="81"/>
            <rFont val="Tahoma"/>
            <family val="2"/>
          </rPr>
          <t>Jim Anderson:</t>
        </r>
        <r>
          <rPr>
            <sz val="8"/>
            <color indexed="81"/>
            <rFont val="Tahoma"/>
            <family val="2"/>
          </rPr>
          <t xml:space="preserve">
Assumption in initial spreadsheet of 80 kWm motor requirement, presumably for maximum acceleration condition. This is not necessarily directly proportional to "min energy use", which includes wind and rolling resistance. Assume ICE motor and electric motor together need to provide 80 kW of mechanical energy output for most severe driving load.</t>
        </r>
      </text>
    </comment>
    <comment ref="K22" authorId="0" shapeId="0" xr:uid="{00000000-0006-0000-0300-000032000000}">
      <text>
        <r>
          <rPr>
            <b/>
            <sz val="8"/>
            <color indexed="81"/>
            <rFont val="Tahoma"/>
            <family val="2"/>
          </rPr>
          <t>Jim Anderson:</t>
        </r>
        <r>
          <rPr>
            <sz val="8"/>
            <color indexed="81"/>
            <rFont val="Tahoma"/>
            <family val="2"/>
          </rPr>
          <t xml:space="preserve">
5/2/08 increased to 27 kW from 20 kW to accommodate sustained driving demand of 27 kW</t>
        </r>
      </text>
    </comment>
    <comment ref="N22" authorId="0" shapeId="0" xr:uid="{00000000-0006-0000-0300-000033000000}">
      <text>
        <r>
          <rPr>
            <b/>
            <sz val="8"/>
            <color indexed="81"/>
            <rFont val="Tahoma"/>
            <family val="2"/>
          </rPr>
          <t>Jim Anderson:</t>
        </r>
        <r>
          <rPr>
            <sz val="8"/>
            <color indexed="81"/>
            <rFont val="Tahoma"/>
            <family val="2"/>
          </rPr>
          <t xml:space="preserve">
5/2/08 increased to 27 kW from 20 kW to accommodate sustained driving demand of 27 kW</t>
        </r>
      </text>
    </comment>
    <comment ref="Q22" authorId="0" shapeId="0" xr:uid="{00000000-0006-0000-0300-000034000000}">
      <text>
        <r>
          <rPr>
            <b/>
            <sz val="8"/>
            <color indexed="81"/>
            <rFont val="Tahoma"/>
            <family val="2"/>
          </rPr>
          <t>Jim Anderson:</t>
        </r>
        <r>
          <rPr>
            <sz val="8"/>
            <color indexed="81"/>
            <rFont val="Tahoma"/>
            <family val="2"/>
          </rPr>
          <t xml:space="preserve">
5/2/08 increased to 27 kW from 20 kW to accommodate sustained driving demand of 27 kW</t>
        </r>
      </text>
    </comment>
    <comment ref="T22" authorId="0" shapeId="0" xr:uid="{00000000-0006-0000-0300-000035000000}">
      <text>
        <r>
          <rPr>
            <b/>
            <sz val="8"/>
            <color indexed="81"/>
            <rFont val="Tahoma"/>
            <family val="2"/>
          </rPr>
          <t>Jim Anderson:</t>
        </r>
        <r>
          <rPr>
            <sz val="8"/>
            <color indexed="81"/>
            <rFont val="Tahoma"/>
            <family val="2"/>
          </rPr>
          <t xml:space="preserve">
5/2/08 increased to 27 kW from 20 kW to accommodate sustained driving demand of 27 kW</t>
        </r>
      </text>
    </comment>
    <comment ref="W22" authorId="0" shapeId="0" xr:uid="{00000000-0006-0000-0300-000036000000}">
      <text>
        <r>
          <rPr>
            <b/>
            <sz val="8"/>
            <color indexed="81"/>
            <rFont val="Tahoma"/>
            <family val="2"/>
          </rPr>
          <t>Jim Anderson:</t>
        </r>
        <r>
          <rPr>
            <sz val="8"/>
            <color indexed="81"/>
            <rFont val="Tahoma"/>
            <family val="2"/>
          </rPr>
          <t xml:space="preserve">
5/2/08 increased to 27 kW from 20 kW to accommodate sustained driving demand of 27 kW</t>
        </r>
      </text>
    </comment>
    <comment ref="Z22" authorId="0" shapeId="0" xr:uid="{00000000-0006-0000-0300-000037000000}">
      <text>
        <r>
          <rPr>
            <b/>
            <sz val="8"/>
            <color indexed="81"/>
            <rFont val="Tahoma"/>
            <family val="2"/>
          </rPr>
          <t>Jim Anderson:</t>
        </r>
        <r>
          <rPr>
            <sz val="8"/>
            <color indexed="81"/>
            <rFont val="Tahoma"/>
            <family val="2"/>
          </rPr>
          <t xml:space="preserve">
5/2/08 increased to 27 kW from 20 kW to accommodate sustained driving demand of 27 kW</t>
        </r>
      </text>
    </comment>
    <comment ref="F23" authorId="0" shapeId="0" xr:uid="{00000000-0006-0000-0300-000038000000}">
      <text>
        <r>
          <rPr>
            <b/>
            <sz val="8"/>
            <color indexed="81"/>
            <rFont val="Tahoma"/>
            <family val="2"/>
          </rPr>
          <t>Jim Anderson:</t>
        </r>
        <r>
          <rPr>
            <sz val="8"/>
            <color indexed="81"/>
            <rFont val="Tahoma"/>
            <family val="2"/>
          </rPr>
          <t xml:space="preserve">
Increased from prior value of 20 kW. Prius has 50 kW power for electric motor and 57 kW power from ICE, but combined output is only 82 kW, however.  Maybe higher req't is because electric motor spins IC engine up to 1000 rpm during IC engine start-ups?</t>
        </r>
      </text>
    </comment>
    <comment ref="G23" authorId="0" shapeId="0" xr:uid="{00000000-0006-0000-0300-000039000000}">
      <text>
        <r>
          <rPr>
            <b/>
            <sz val="8"/>
            <color indexed="81"/>
            <rFont val="Tahoma"/>
            <family val="2"/>
          </rPr>
          <t>Jim Anderson:</t>
        </r>
        <r>
          <rPr>
            <sz val="8"/>
            <color indexed="81"/>
            <rFont val="Tahoma"/>
            <family val="2"/>
          </rPr>
          <t xml:space="preserve">
Increased from prior value of 20 kW. Prius has 50 kW power for electric motor and 57 kW power from ICE, but combined output is only 82 kW, however.  Maybe higher req't is because electric motor spins IC engine up to 1000 rpm during IC engine start-ups?</t>
        </r>
      </text>
    </comment>
    <comment ref="H23" authorId="0" shapeId="0" xr:uid="{00000000-0006-0000-0300-00003A000000}">
      <text>
        <r>
          <rPr>
            <b/>
            <sz val="8"/>
            <color indexed="81"/>
            <rFont val="Tahoma"/>
            <family val="2"/>
          </rPr>
          <t>Jim Anderson:</t>
        </r>
        <r>
          <rPr>
            <sz val="8"/>
            <color indexed="81"/>
            <rFont val="Tahoma"/>
            <family val="2"/>
          </rPr>
          <t xml:space="preserve">
Increased from prior value of 20 kW. Prius has 50 kW power for electric motor and 57 kW power from ICE, but combined output is only 82 kW, however.  Maybe higher req't is because electric motor spins IC engine up to 1000 rpm during IC engine start-ups?</t>
        </r>
      </text>
    </comment>
    <comment ref="I23" authorId="0" shapeId="0" xr:uid="{00000000-0006-0000-0300-00003B000000}">
      <text>
        <r>
          <rPr>
            <b/>
            <sz val="8"/>
            <color indexed="81"/>
            <rFont val="Tahoma"/>
            <family val="2"/>
          </rPr>
          <t>Jim Anderson:</t>
        </r>
        <r>
          <rPr>
            <sz val="8"/>
            <color indexed="81"/>
            <rFont val="Tahoma"/>
            <family val="2"/>
          </rPr>
          <t xml:space="preserve">
Increased from prior value of 20 kW. Prius has 50 kW power for electric motor and 57 kW power from ICE, but combined output is only 82 kW, however.  Maybe higher req't is because electric motor spins IC engine up to 1000 rpm during IC engine start-ups?</t>
        </r>
      </text>
    </comment>
    <comment ref="L23" authorId="0" shapeId="0" xr:uid="{00000000-0006-0000-0300-00003C000000}">
      <text>
        <r>
          <rPr>
            <b/>
            <sz val="8"/>
            <color indexed="81"/>
            <rFont val="Tahoma"/>
            <family val="2"/>
          </rPr>
          <t>Jim Anderson:</t>
        </r>
        <r>
          <rPr>
            <sz val="8"/>
            <color indexed="81"/>
            <rFont val="Tahoma"/>
            <family val="2"/>
          </rPr>
          <t xml:space="preserve">
Assumes maximum use of battery (60kW) and ICE (30kW) to achieve 80 kW during peak performance and ICE only to sustain 30 kW at max driving speed.</t>
        </r>
      </text>
    </comment>
    <comment ref="O23" authorId="0" shapeId="0" xr:uid="{00000000-0006-0000-0300-00003D000000}">
      <text>
        <r>
          <rPr>
            <b/>
            <sz val="8"/>
            <color indexed="81"/>
            <rFont val="Tahoma"/>
            <family val="2"/>
          </rPr>
          <t>Jim Anderson:</t>
        </r>
        <r>
          <rPr>
            <sz val="8"/>
            <color indexed="81"/>
            <rFont val="Tahoma"/>
            <family val="2"/>
          </rPr>
          <t xml:space="preserve">
Assumes maximum use of battery (60kW) and ICE (30kW) to achieve 80 kW during peak performance and ICE only to sustain 30 kW at max driving speed.</t>
        </r>
      </text>
    </comment>
    <comment ref="R23" authorId="0" shapeId="0" xr:uid="{00000000-0006-0000-0300-00003E000000}">
      <text>
        <r>
          <rPr>
            <b/>
            <sz val="8"/>
            <color indexed="81"/>
            <rFont val="Tahoma"/>
            <family val="2"/>
          </rPr>
          <t>Jim Anderson:</t>
        </r>
        <r>
          <rPr>
            <sz val="8"/>
            <color indexed="81"/>
            <rFont val="Tahoma"/>
            <family val="2"/>
          </rPr>
          <t xml:space="preserve">
Assumes maximum use of battery (60kW) and ICE (30kW) to achieve 80 kW during peak performance and ICE only to sustain 30 kW at max driving speed.</t>
        </r>
      </text>
    </comment>
    <comment ref="U23" authorId="0" shapeId="0" xr:uid="{00000000-0006-0000-0300-00003F000000}">
      <text>
        <r>
          <rPr>
            <b/>
            <sz val="8"/>
            <color indexed="81"/>
            <rFont val="Tahoma"/>
            <family val="2"/>
          </rPr>
          <t>Jim Anderson:</t>
        </r>
        <r>
          <rPr>
            <sz val="8"/>
            <color indexed="81"/>
            <rFont val="Tahoma"/>
            <family val="2"/>
          </rPr>
          <t xml:space="preserve">
Assumes maximum use of battery (60kW) and ICE (30kW) to achieve 80 kW during peak performance and ICE only to sustain 30 kW at max driving speed.</t>
        </r>
      </text>
    </comment>
    <comment ref="X23" authorId="0" shapeId="0" xr:uid="{00000000-0006-0000-0300-000040000000}">
      <text>
        <r>
          <rPr>
            <b/>
            <sz val="8"/>
            <color indexed="81"/>
            <rFont val="Tahoma"/>
            <family val="2"/>
          </rPr>
          <t>Jim Anderson:</t>
        </r>
        <r>
          <rPr>
            <sz val="8"/>
            <color indexed="81"/>
            <rFont val="Tahoma"/>
            <family val="2"/>
          </rPr>
          <t xml:space="preserve">
Assumes maximum use of battery (60kW) and ICE (30kW) to achieve 80 kW during peak performance and ICE only to sustain 30 kW at max driving speed.</t>
        </r>
      </text>
    </comment>
    <comment ref="AA23" authorId="0" shapeId="0" xr:uid="{00000000-0006-0000-0300-000041000000}">
      <text>
        <r>
          <rPr>
            <b/>
            <sz val="8"/>
            <color indexed="81"/>
            <rFont val="Tahoma"/>
            <family val="2"/>
          </rPr>
          <t>Jim Anderson:</t>
        </r>
        <r>
          <rPr>
            <sz val="8"/>
            <color indexed="81"/>
            <rFont val="Tahoma"/>
            <family val="2"/>
          </rPr>
          <t xml:space="preserve">
Assumes maximum use of battery (60kW) and ICE (30kW) to achieve 80 kW during peak performance and ICE only to sustain 30 kW at max driving speed.</t>
        </r>
      </text>
    </comment>
    <comment ref="AL23" authorId="0" shapeId="0" xr:uid="{00000000-0006-0000-0300-000042000000}">
      <text>
        <r>
          <rPr>
            <b/>
            <sz val="8"/>
            <color indexed="81"/>
            <rFont val="Tahoma"/>
            <family val="2"/>
          </rPr>
          <t>Jim Anderson:</t>
        </r>
        <r>
          <rPr>
            <sz val="8"/>
            <color indexed="81"/>
            <rFont val="Tahoma"/>
            <family val="2"/>
          </rPr>
          <t xml:space="preserve">
Electric motor spins IC engine up to speed during start-up.</t>
        </r>
      </text>
    </comment>
    <comment ref="AM23" authorId="0" shapeId="0" xr:uid="{00000000-0006-0000-0300-000043000000}">
      <text>
        <r>
          <rPr>
            <b/>
            <sz val="8"/>
            <color indexed="81"/>
            <rFont val="Tahoma"/>
            <family val="2"/>
          </rPr>
          <t>Jim Anderson:</t>
        </r>
        <r>
          <rPr>
            <sz val="8"/>
            <color indexed="81"/>
            <rFont val="Tahoma"/>
            <family val="2"/>
          </rPr>
          <t xml:space="preserve">
70 kW traction motor and 45 kW generator/motor</t>
        </r>
      </text>
    </comment>
    <comment ref="A27" authorId="0" shapeId="0" xr:uid="{00000000-0006-0000-0300-000044000000}">
      <text>
        <r>
          <rPr>
            <b/>
            <sz val="8"/>
            <color indexed="81"/>
            <rFont val="Tahoma"/>
            <family val="2"/>
          </rPr>
          <t>Jim Anderson:</t>
        </r>
        <r>
          <rPr>
            <sz val="8"/>
            <color indexed="81"/>
            <rFont val="Tahoma"/>
            <family val="2"/>
          </rPr>
          <t xml:space="preserve">
Energy to motor is provided by ICE, fuel cell, and battery. After conversion efficiencies, together need to supply 80 kW mech output at motors. for most severe driving load.</t>
        </r>
      </text>
    </comment>
    <comment ref="A29" authorId="0" shapeId="0" xr:uid="{00000000-0006-0000-0300-000045000000}">
      <text>
        <r>
          <rPr>
            <b/>
            <sz val="8"/>
            <color indexed="81"/>
            <rFont val="Tahoma"/>
            <family val="2"/>
          </rPr>
          <t>Jim Anderson:</t>
        </r>
        <r>
          <rPr>
            <sz val="8"/>
            <color indexed="81"/>
            <rFont val="Tahoma"/>
            <family val="2"/>
          </rPr>
          <t xml:space="preserve">
Assumed as fixed value.</t>
        </r>
      </text>
    </comment>
    <comment ref="A30" authorId="0" shapeId="0" xr:uid="{00000000-0006-0000-0300-000046000000}">
      <text>
        <r>
          <rPr>
            <b/>
            <sz val="8"/>
            <color indexed="81"/>
            <rFont val="Tahoma"/>
            <family val="2"/>
          </rPr>
          <t>Jim Anderson:</t>
        </r>
        <r>
          <rPr>
            <sz val="8"/>
            <color indexed="81"/>
            <rFont val="Tahoma"/>
            <family val="2"/>
          </rPr>
          <t xml:space="preserve">
Initially calculated as difference after accounting for supply from fuel cell or ICE, and accounting for elec motor efficiency of assumed 90% (higher than overall efficiency).
Now, all have peak battery related only to motor kW size (and including 90% batt efficiency).</t>
        </r>
      </text>
    </comment>
    <comment ref="AC30" authorId="0" shapeId="0" xr:uid="{00000000-0006-0000-0300-000047000000}">
      <text>
        <r>
          <rPr>
            <b/>
            <sz val="8"/>
            <color indexed="81"/>
            <rFont val="Tahoma"/>
            <family val="2"/>
          </rPr>
          <t>Jim Anderson:</t>
        </r>
        <r>
          <rPr>
            <sz val="8"/>
            <color indexed="81"/>
            <rFont val="Tahoma"/>
            <family val="2"/>
          </rPr>
          <t xml:space="preserve">
</t>
        </r>
      </text>
    </comment>
    <comment ref="AE30" authorId="0" shapeId="0" xr:uid="{00000000-0006-0000-0300-000048000000}">
      <text>
        <r>
          <rPr>
            <b/>
            <sz val="8"/>
            <color indexed="81"/>
            <rFont val="Tahoma"/>
            <family val="2"/>
          </rPr>
          <t>Jim Anderson:</t>
        </r>
        <r>
          <rPr>
            <sz val="8"/>
            <color indexed="81"/>
            <rFont val="Tahoma"/>
            <family val="2"/>
          </rPr>
          <t xml:space="preserve">
5/1/08 changed this back to 44 to assume parallel type FCV from prior 89 (which was an early change to series FCV).</t>
        </r>
      </text>
    </comment>
    <comment ref="A38" authorId="0" shapeId="0" xr:uid="{00000000-0006-0000-0300-000049000000}">
      <text>
        <r>
          <rPr>
            <b/>
            <sz val="8"/>
            <color indexed="81"/>
            <rFont val="Tahoma"/>
            <family val="2"/>
          </rPr>
          <t>Jim Anderson:</t>
        </r>
        <r>
          <rPr>
            <sz val="8"/>
            <color indexed="81"/>
            <rFont val="Tahoma"/>
            <family val="2"/>
          </rPr>
          <t xml:space="preserve">
Assume peak driving speed of 100 mi/hr or 161 km/hr</t>
        </r>
      </text>
    </comment>
    <comment ref="A39" authorId="0" shapeId="0" xr:uid="{00000000-0006-0000-0300-00004A000000}">
      <text>
        <r>
          <rPr>
            <b/>
            <sz val="8"/>
            <color indexed="81"/>
            <rFont val="Tahoma"/>
            <family val="2"/>
          </rPr>
          <t>Jim Anderson:</t>
        </r>
        <r>
          <rPr>
            <sz val="8"/>
            <color indexed="81"/>
            <rFont val="Tahoma"/>
            <family val="2"/>
          </rPr>
          <t xml:space="preserve">
Maximum sustained mechanical output for maximum driving speed</t>
        </r>
      </text>
    </comment>
    <comment ref="E43" authorId="0" shapeId="0" xr:uid="{00000000-0006-0000-0300-00004B000000}">
      <text>
        <r>
          <rPr>
            <b/>
            <sz val="8"/>
            <color indexed="81"/>
            <rFont val="Tahoma"/>
            <family val="2"/>
          </rPr>
          <t>Jim Anderson:</t>
        </r>
        <r>
          <rPr>
            <sz val="8"/>
            <color indexed="81"/>
            <rFont val="Tahoma"/>
            <family val="2"/>
          </rPr>
          <t xml:space="preserve">
Ford estimate that H2 powertrain costs $5/kW more than gasoline</t>
        </r>
      </text>
    </comment>
    <comment ref="AE47" authorId="0" shapeId="0" xr:uid="{00000000-0006-0000-0300-00004C000000}">
      <text>
        <r>
          <rPr>
            <b/>
            <sz val="8"/>
            <color indexed="81"/>
            <rFont val="Tahoma"/>
            <family val="2"/>
          </rPr>
          <t>Jim Anderson:</t>
        </r>
        <r>
          <rPr>
            <sz val="8"/>
            <color indexed="81"/>
            <rFont val="Tahoma"/>
            <family val="2"/>
          </rPr>
          <t xml:space="preserve">
Use same value as H2 ICE</t>
        </r>
      </text>
    </comment>
    <comment ref="A49" authorId="2" shapeId="0" xr:uid="{00000000-0006-0000-0300-00004D000000}">
      <text>
        <r>
          <rPr>
            <b/>
            <sz val="9"/>
            <color indexed="81"/>
            <rFont val="Tahoma"/>
            <family val="2"/>
          </rPr>
          <t>Selma Brynolf:</t>
        </r>
        <r>
          <rPr>
            <sz val="9"/>
            <color indexed="81"/>
            <rFont val="Tahoma"/>
            <family val="2"/>
          </rPr>
          <t xml:space="preserve">
Vid små batterier kan det vara effekten som är den begränsande faktorn och då bör kostanden beräknas kopplat till USD/kWe (40 USD/Kwe med dagen kostnader enligt Pohl et al (2017))</t>
        </r>
      </text>
    </comment>
    <comment ref="F49" authorId="0" shapeId="0" xr:uid="{00000000-0006-0000-0300-00004E000000}">
      <text>
        <r>
          <rPr>
            <sz val="8"/>
            <color indexed="81"/>
            <rFont val="Tahoma"/>
            <family val="2"/>
          </rPr>
          <t>Jim Anderson:
increasing this value has greatest impact on BEV&gt;PHEV&gt;FCV&gt;HEV.
Would be nice to have basis for this number.</t>
        </r>
      </text>
    </comment>
    <comment ref="G49" authorId="0" shapeId="0" xr:uid="{00000000-0006-0000-0300-00004F000000}">
      <text>
        <r>
          <rPr>
            <sz val="8"/>
            <color indexed="81"/>
            <rFont val="Tahoma"/>
            <family val="2"/>
          </rPr>
          <t>Jim Anderson:
increasing this value has greatest impact on BEV&gt;PHEV&gt;FCV&gt;HEV.
Would be nice to have basis for this number.</t>
        </r>
      </text>
    </comment>
    <comment ref="H49" authorId="0" shapeId="0" xr:uid="{00000000-0006-0000-0300-000050000000}">
      <text>
        <r>
          <rPr>
            <sz val="8"/>
            <color indexed="81"/>
            <rFont val="Tahoma"/>
            <family val="2"/>
          </rPr>
          <t>Jim Anderson:
increasing this value has greatest impact on BEV&gt;PHEV&gt;FCV&gt;HEV.
Would be nice to have basis for this number.</t>
        </r>
      </text>
    </comment>
    <comment ref="I49" authorId="0" shapeId="0" xr:uid="{00000000-0006-0000-0300-000051000000}">
      <text>
        <r>
          <rPr>
            <sz val="8"/>
            <color indexed="81"/>
            <rFont val="Tahoma"/>
            <family val="2"/>
          </rPr>
          <t>Jim Anderson:
increasing this value has greatest impact on BEV&gt;PHEV&gt;FCV&gt;HEV.
Would be nice to have basis for this number.</t>
        </r>
      </text>
    </comment>
    <comment ref="L49" authorId="0" shapeId="0" xr:uid="{00000000-0006-0000-0300-000052000000}">
      <text>
        <r>
          <rPr>
            <sz val="8"/>
            <color indexed="81"/>
            <rFont val="Tahoma"/>
            <family val="2"/>
          </rPr>
          <t>Jim Anderson:
increasing this value has greatest impact on BEV&gt;PHEV&gt;FCV&gt;HEV.
Would be nice to have basis for this number.</t>
        </r>
      </text>
    </comment>
    <comment ref="O49" authorId="0" shapeId="0" xr:uid="{00000000-0006-0000-0300-000053000000}">
      <text>
        <r>
          <rPr>
            <sz val="8"/>
            <color indexed="81"/>
            <rFont val="Tahoma"/>
            <family val="2"/>
          </rPr>
          <t>Jim Anderson:
increasing this value has greatest impact on BEV&gt;PHEV&gt;FCV&gt;HEV.
Would be nice to have basis for this number.</t>
        </r>
      </text>
    </comment>
    <comment ref="R49" authorId="0" shapeId="0" xr:uid="{00000000-0006-0000-0300-000054000000}">
      <text>
        <r>
          <rPr>
            <sz val="8"/>
            <color indexed="81"/>
            <rFont val="Tahoma"/>
            <family val="2"/>
          </rPr>
          <t>Jim Anderson:
increasing this value has greatest impact on BEV&gt;PHEV&gt;FCV&gt;HEV.
Would be nice to have basis for this number.</t>
        </r>
      </text>
    </comment>
    <comment ref="U49" authorId="0" shapeId="0" xr:uid="{00000000-0006-0000-0300-000055000000}">
      <text>
        <r>
          <rPr>
            <sz val="8"/>
            <color indexed="81"/>
            <rFont val="Tahoma"/>
            <family val="2"/>
          </rPr>
          <t>Jim Anderson:
increasing this value has greatest impact on BEV&gt;PHEV&gt;FCV&gt;HEV.
Would be nice to have basis for this number.</t>
        </r>
      </text>
    </comment>
    <comment ref="X49" authorId="0" shapeId="0" xr:uid="{00000000-0006-0000-0300-000056000000}">
      <text>
        <r>
          <rPr>
            <sz val="8"/>
            <color indexed="81"/>
            <rFont val="Tahoma"/>
            <family val="2"/>
          </rPr>
          <t>Jim Anderson:
increasing this value has greatest impact on BEV&gt;PHEV&gt;FCV&gt;HEV.
Would be nice to have basis for this number.</t>
        </r>
      </text>
    </comment>
    <comment ref="AA49" authorId="0" shapeId="0" xr:uid="{00000000-0006-0000-0300-000057000000}">
      <text>
        <r>
          <rPr>
            <sz val="8"/>
            <color indexed="81"/>
            <rFont val="Tahoma"/>
            <family val="2"/>
          </rPr>
          <t>Jim Anderson:
increasing this value has greatest impact on BEV&gt;PHEV&gt;FCV&gt;HEV.
Would be nice to have basis for this number.</t>
        </r>
      </text>
    </comment>
    <comment ref="AC49" authorId="0" shapeId="0" xr:uid="{00000000-0006-0000-0300-000058000000}">
      <text>
        <r>
          <rPr>
            <sz val="8"/>
            <color indexed="81"/>
            <rFont val="Tahoma"/>
            <family val="2"/>
          </rPr>
          <t>Jim Anderson:
increasing this value has greatest impact on BEV&gt;PHEV&gt;FCV&gt;HEV.
Would be nice to have basis for this number.</t>
        </r>
      </text>
    </comment>
    <comment ref="AD49" authorId="0" shapeId="0" xr:uid="{00000000-0006-0000-0300-000059000000}">
      <text>
        <r>
          <rPr>
            <sz val="8"/>
            <color indexed="81"/>
            <rFont val="Tahoma"/>
            <family val="2"/>
          </rPr>
          <t>Jim Anderson:
increasing this value has greatest impact on BEV&gt;PHEV&gt;FCV&gt;HEV.
Would be nice to have basis for this number.</t>
        </r>
      </text>
    </comment>
    <comment ref="AE49" authorId="0" shapeId="0" xr:uid="{00000000-0006-0000-0300-00005A000000}">
      <text>
        <r>
          <rPr>
            <sz val="8"/>
            <color indexed="81"/>
            <rFont val="Tahoma"/>
            <family val="2"/>
          </rPr>
          <t>Jim Anderson:
increasing this value has greatest impact on BEV&gt;PHEV&gt;FCV&gt;HEV.
Would be nice to have basis for this number.</t>
        </r>
      </text>
    </comment>
    <comment ref="W67" authorId="0" shapeId="0" xr:uid="{00000000-0006-0000-0300-00005B000000}">
      <text>
        <r>
          <rPr>
            <b/>
            <sz val="8"/>
            <color indexed="81"/>
            <rFont val="Tahoma"/>
            <family val="2"/>
          </rPr>
          <t>Jim Anderson:</t>
        </r>
        <r>
          <rPr>
            <sz val="8"/>
            <color indexed="81"/>
            <rFont val="Tahoma"/>
            <family val="2"/>
          </rPr>
          <t xml:space="preserve">
Ballard in 2007 estimates cost at $65/kW at high volume. http://phx.corporate-ir.net/phoenix.zhtml?c=76046&amp;p=irol-newsArticle&amp;ID=985592&amp;highlight=</t>
        </r>
      </text>
    </comment>
    <comment ref="X67" authorId="0" shapeId="0" xr:uid="{00000000-0006-0000-0300-00005C000000}">
      <text>
        <r>
          <rPr>
            <sz val="8"/>
            <color indexed="81"/>
            <rFont val="Tahoma"/>
            <family val="2"/>
          </rPr>
          <t>$65/kWe: Ballard
$125/kWe: CONCAWE with 1.2$/euro
$95/kWe: midpoint (reference)</t>
        </r>
      </text>
    </comment>
    <comment ref="X68" authorId="0" shapeId="0" xr:uid="{00000000-0006-0000-0300-00005D000000}">
      <text>
        <r>
          <rPr>
            <sz val="8"/>
            <color indexed="81"/>
            <rFont val="Tahoma"/>
            <family val="2"/>
          </rPr>
          <t>$1000/GJ - GET 1.0; 
$1300/GJ (based on CONCAWE 2010+)
$1150/GJ (midpoint, reference)</t>
        </r>
      </text>
    </comment>
    <comment ref="X69" authorId="0" shapeId="0" xr:uid="{00000000-0006-0000-0300-00005E000000}">
      <text>
        <r>
          <rPr>
            <sz val="8"/>
            <color indexed="81"/>
            <rFont val="Tahoma"/>
            <family val="2"/>
          </rPr>
          <t>$2000 GET 1.0, implies something cheaper than compressed gas based on NG storage cost; 
$1000 (midway between DOE targets)
$3000 (essentially the CONCAWE value)</t>
        </r>
      </text>
    </comment>
    <comment ref="X70" authorId="0" shapeId="0" xr:uid="{00000000-0006-0000-0300-00005F000000}">
      <text>
        <r>
          <rPr>
            <sz val="8"/>
            <color indexed="81"/>
            <rFont val="Tahoma"/>
            <family val="2"/>
          </rPr>
          <t>Current battery cost ($600/kWh, per Ford), USABC target ($100/kWh)</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Jim Anderson</author>
    <author>mwilli89</author>
    <author>Selma Brynolf</author>
  </authors>
  <commentList>
    <comment ref="AL1" authorId="0" shapeId="0" xr:uid="{00000000-0006-0000-0400-000001000000}">
      <text>
        <r>
          <rPr>
            <b/>
            <sz val="8"/>
            <color indexed="81"/>
            <rFont val="Tahoma"/>
            <family val="2"/>
          </rPr>
          <t>Jim Anderson:</t>
        </r>
        <r>
          <rPr>
            <sz val="8"/>
            <color indexed="81"/>
            <rFont val="Tahoma"/>
            <family val="2"/>
          </rPr>
          <t xml:space="preserve">
http://en.wikipedia.org/wiki/Prius</t>
        </r>
      </text>
    </comment>
    <comment ref="AO1" authorId="0" shapeId="0" xr:uid="{00000000-0006-0000-0400-000002000000}">
      <text>
        <r>
          <rPr>
            <b/>
            <sz val="8"/>
            <color indexed="81"/>
            <rFont val="Tahoma"/>
            <family val="2"/>
          </rPr>
          <t>Jim Anderson:</t>
        </r>
        <r>
          <rPr>
            <sz val="8"/>
            <color indexed="81"/>
            <rFont val="Tahoma"/>
            <family val="2"/>
          </rPr>
          <t xml:space="preserve">
http://en.wikipedia.org/wiki/Chevrolet_Volt</t>
        </r>
      </text>
    </comment>
    <comment ref="F7" authorId="0" shapeId="0" xr:uid="{00000000-0006-0000-0400-000003000000}">
      <text>
        <r>
          <rPr>
            <b/>
            <sz val="8"/>
            <color indexed="81"/>
            <rFont val="Tahoma"/>
            <family val="2"/>
          </rPr>
          <t>Jim Anderson:</t>
        </r>
        <r>
          <rPr>
            <sz val="8"/>
            <color indexed="81"/>
            <rFont val="Tahoma"/>
            <family val="2"/>
          </rPr>
          <t xml:space="preserve">
Currently used for calculating battery kWhr for all-electric range, but not used for overall PT efficiency calculation.</t>
        </r>
      </text>
    </comment>
    <comment ref="G7" authorId="0" shapeId="0" xr:uid="{00000000-0006-0000-0400-000004000000}">
      <text>
        <r>
          <rPr>
            <b/>
            <sz val="8"/>
            <color indexed="81"/>
            <rFont val="Tahoma"/>
            <family val="2"/>
          </rPr>
          <t>Jim Anderson:</t>
        </r>
        <r>
          <rPr>
            <sz val="8"/>
            <color indexed="81"/>
            <rFont val="Tahoma"/>
            <family val="2"/>
          </rPr>
          <t xml:space="preserve">
Currently used for calculating battery kWhr for all-electric range, but not used for overall PT efficiency calculation.</t>
        </r>
      </text>
    </comment>
    <comment ref="H7" authorId="0" shapeId="0" xr:uid="{00000000-0006-0000-0400-000005000000}">
      <text>
        <r>
          <rPr>
            <b/>
            <sz val="8"/>
            <color indexed="81"/>
            <rFont val="Tahoma"/>
            <family val="2"/>
          </rPr>
          <t>Jim Anderson:</t>
        </r>
        <r>
          <rPr>
            <sz val="8"/>
            <color indexed="81"/>
            <rFont val="Tahoma"/>
            <family val="2"/>
          </rPr>
          <t xml:space="preserve">
Currently used for calculating battery kWhr for all-electric range, but not used for overall PT efficiency calculation.</t>
        </r>
      </text>
    </comment>
    <comment ref="I7" authorId="0" shapeId="0" xr:uid="{00000000-0006-0000-0400-000006000000}">
      <text>
        <r>
          <rPr>
            <b/>
            <sz val="8"/>
            <color indexed="81"/>
            <rFont val="Tahoma"/>
            <family val="2"/>
          </rPr>
          <t>Jim Anderson:</t>
        </r>
        <r>
          <rPr>
            <sz val="8"/>
            <color indexed="81"/>
            <rFont val="Tahoma"/>
            <family val="2"/>
          </rPr>
          <t xml:space="preserve">
Currently used for calculating battery kWhr for all-electric range, but not used for overall PT efficiency calculation.</t>
        </r>
      </text>
    </comment>
    <comment ref="J7" authorId="0" shapeId="0" xr:uid="{00000000-0006-0000-0400-000007000000}">
      <text>
        <r>
          <rPr>
            <b/>
            <sz val="8"/>
            <color indexed="81"/>
            <rFont val="Tahoma"/>
            <family val="2"/>
          </rPr>
          <t>Jim Anderson:</t>
        </r>
        <r>
          <rPr>
            <sz val="8"/>
            <color indexed="81"/>
            <rFont val="Tahoma"/>
            <family val="2"/>
          </rPr>
          <t xml:space="preserve">
Currently used for calculating battery kWhr for all-electric range, but not used for overall PT efficiency calculation.</t>
        </r>
      </text>
    </comment>
    <comment ref="B8" authorId="0" shapeId="0" xr:uid="{00000000-0006-0000-0400-000008000000}">
      <text>
        <r>
          <rPr>
            <b/>
            <sz val="8"/>
            <color indexed="81"/>
            <rFont val="Tahoma"/>
            <family val="2"/>
          </rPr>
          <t>Jim Anderson:</t>
        </r>
        <r>
          <rPr>
            <sz val="8"/>
            <color indexed="81"/>
            <rFont val="Tahoma"/>
            <family val="2"/>
          </rPr>
          <t xml:space="preserve">
From NewTable_Trsp-conv file from Maria</t>
        </r>
      </text>
    </comment>
    <comment ref="F8" authorId="0" shapeId="0" xr:uid="{00000000-0006-0000-0400-000009000000}">
      <text>
        <r>
          <rPr>
            <b/>
            <sz val="8"/>
            <color indexed="81"/>
            <rFont val="Tahoma"/>
            <family val="2"/>
          </rPr>
          <t>Jim Anderson:</t>
        </r>
        <r>
          <rPr>
            <sz val="8"/>
            <color indexed="81"/>
            <rFont val="Tahoma"/>
            <family val="2"/>
          </rPr>
          <t xml:space="preserve">
Year 2050 Petro ICE efficiency x 1.3</t>
        </r>
      </text>
    </comment>
    <comment ref="G8" authorId="0" shapeId="0" xr:uid="{00000000-0006-0000-0400-00000A000000}">
      <text>
        <r>
          <rPr>
            <b/>
            <sz val="8"/>
            <color indexed="81"/>
            <rFont val="Tahoma"/>
            <family val="2"/>
          </rPr>
          <t>Jim Anderson:</t>
        </r>
        <r>
          <rPr>
            <sz val="8"/>
            <color indexed="81"/>
            <rFont val="Tahoma"/>
            <family val="2"/>
          </rPr>
          <t xml:space="preserve">
Year 2050 Petro ICE efficiency x 1.3</t>
        </r>
      </text>
    </comment>
    <comment ref="H8" authorId="0" shapeId="0" xr:uid="{00000000-0006-0000-0400-00000B000000}">
      <text>
        <r>
          <rPr>
            <b/>
            <sz val="8"/>
            <color indexed="81"/>
            <rFont val="Tahoma"/>
            <family val="2"/>
          </rPr>
          <t>Jim Anderson:</t>
        </r>
        <r>
          <rPr>
            <sz val="8"/>
            <color indexed="81"/>
            <rFont val="Tahoma"/>
            <family val="2"/>
          </rPr>
          <t xml:space="preserve">
Year 2050 Petro ICE efficiency x 1.3</t>
        </r>
      </text>
    </comment>
    <comment ref="I8" authorId="0" shapeId="0" xr:uid="{00000000-0006-0000-0400-00000C000000}">
      <text>
        <r>
          <rPr>
            <b/>
            <sz val="8"/>
            <color indexed="81"/>
            <rFont val="Tahoma"/>
            <family val="2"/>
          </rPr>
          <t>Jim Anderson:</t>
        </r>
        <r>
          <rPr>
            <sz val="8"/>
            <color indexed="81"/>
            <rFont val="Tahoma"/>
            <family val="2"/>
          </rPr>
          <t xml:space="preserve">
Year 2050 Petro ICE efficiency x 1.3</t>
        </r>
      </text>
    </comment>
    <comment ref="J8" authorId="0" shapeId="0" xr:uid="{00000000-0006-0000-0400-00000D000000}">
      <text>
        <r>
          <rPr>
            <b/>
            <sz val="8"/>
            <color indexed="81"/>
            <rFont val="Tahoma"/>
            <family val="2"/>
          </rPr>
          <t>Jim Anderson:</t>
        </r>
        <r>
          <rPr>
            <sz val="8"/>
            <color indexed="81"/>
            <rFont val="Tahoma"/>
            <family val="2"/>
          </rPr>
          <t xml:space="preserve">
Assume other efficiencies are the ones that vary to give temporal change in overall efficiency (not electric motor).</t>
        </r>
      </text>
    </comment>
    <comment ref="L8" authorId="0" shapeId="0" xr:uid="{00000000-0006-0000-0400-00000E000000}">
      <text>
        <r>
          <rPr>
            <b/>
            <sz val="8"/>
            <color indexed="81"/>
            <rFont val="Tahoma"/>
            <family val="2"/>
          </rPr>
          <t>Jim Anderson:</t>
        </r>
        <r>
          <rPr>
            <sz val="8"/>
            <color indexed="81"/>
            <rFont val="Tahoma"/>
            <family val="2"/>
          </rPr>
          <t xml:space="preserve">
Assume other efficiencies are the ones that vary to give temporal change in overall efficiency (not electric motor).</t>
        </r>
      </text>
    </comment>
    <comment ref="O8" authorId="0" shapeId="0" xr:uid="{00000000-0006-0000-0400-00000F000000}">
      <text>
        <r>
          <rPr>
            <b/>
            <sz val="8"/>
            <color indexed="81"/>
            <rFont val="Tahoma"/>
            <family val="2"/>
          </rPr>
          <t>Jim Anderson:</t>
        </r>
        <r>
          <rPr>
            <sz val="8"/>
            <color indexed="81"/>
            <rFont val="Tahoma"/>
            <family val="2"/>
          </rPr>
          <t xml:space="preserve">
Assume other efficiencies are the ones that vary to give temporal change in overall efficiency (not electric motor).</t>
        </r>
      </text>
    </comment>
    <comment ref="R8" authorId="0" shapeId="0" xr:uid="{00000000-0006-0000-0400-000010000000}">
      <text>
        <r>
          <rPr>
            <b/>
            <sz val="8"/>
            <color indexed="81"/>
            <rFont val="Tahoma"/>
            <family val="2"/>
          </rPr>
          <t>Jim Anderson:</t>
        </r>
        <r>
          <rPr>
            <sz val="8"/>
            <color indexed="81"/>
            <rFont val="Tahoma"/>
            <family val="2"/>
          </rPr>
          <t xml:space="preserve">
Assume other efficiencies are the ones that vary to give temporal change in overall efficiency (not electric motor).</t>
        </r>
      </text>
    </comment>
    <comment ref="U8" authorId="0" shapeId="0" xr:uid="{00000000-0006-0000-0400-000011000000}">
      <text>
        <r>
          <rPr>
            <b/>
            <sz val="8"/>
            <color indexed="81"/>
            <rFont val="Tahoma"/>
            <family val="2"/>
          </rPr>
          <t>Jim Anderson:</t>
        </r>
        <r>
          <rPr>
            <sz val="8"/>
            <color indexed="81"/>
            <rFont val="Tahoma"/>
            <family val="2"/>
          </rPr>
          <t xml:space="preserve">
Assume other efficiencies are the ones that vary to give temporal change in overall efficiency (not electric motor).</t>
        </r>
      </text>
    </comment>
    <comment ref="X8" authorId="0" shapeId="0" xr:uid="{00000000-0006-0000-0400-000012000000}">
      <text>
        <r>
          <rPr>
            <b/>
            <sz val="8"/>
            <color indexed="81"/>
            <rFont val="Tahoma"/>
            <family val="2"/>
          </rPr>
          <t>Jim Anderson:</t>
        </r>
        <r>
          <rPr>
            <sz val="8"/>
            <color indexed="81"/>
            <rFont val="Tahoma"/>
            <family val="2"/>
          </rPr>
          <t xml:space="preserve">
Assume other efficiencies are the ones that vary to give temporal change in overall efficiency (not electric motor).</t>
        </r>
      </text>
    </comment>
    <comment ref="AA8" authorId="0" shapeId="0" xr:uid="{00000000-0006-0000-0400-000013000000}">
      <text>
        <r>
          <rPr>
            <b/>
            <sz val="8"/>
            <color indexed="81"/>
            <rFont val="Tahoma"/>
            <family val="2"/>
          </rPr>
          <t>Jim Anderson:</t>
        </r>
        <r>
          <rPr>
            <sz val="8"/>
            <color indexed="81"/>
            <rFont val="Tahoma"/>
            <family val="2"/>
          </rPr>
          <t xml:space="preserve">
Assume other efficiencies are the ones that vary to give temporal change in overall efficiency (not electric motor).</t>
        </r>
      </text>
    </comment>
    <comment ref="A10" authorId="0" shapeId="0" xr:uid="{00000000-0006-0000-0400-000014000000}">
      <text>
        <r>
          <rPr>
            <b/>
            <sz val="8"/>
            <color indexed="81"/>
            <rFont val="Tahoma"/>
            <family val="2"/>
          </rPr>
          <t>Jim Anderson:</t>
        </r>
        <r>
          <rPr>
            <sz val="8"/>
            <color indexed="81"/>
            <rFont val="Tahoma"/>
            <family val="2"/>
          </rPr>
          <t xml:space="preserve">
These vehicle energy use figures based on assumptions in the VehicleEfficiency spreadsheet. Higher values required for advanced technologies due to added weight. Note that value was initially 0.4 for all vehicles in this spreadsheet.</t>
        </r>
      </text>
    </comment>
    <comment ref="AO10" authorId="0" shapeId="0" xr:uid="{00000000-0006-0000-0400-000015000000}">
      <text>
        <r>
          <rPr>
            <b/>
            <sz val="8"/>
            <color indexed="81"/>
            <rFont val="Tahoma"/>
            <family val="2"/>
          </rPr>
          <t>Jim Anderson:</t>
        </r>
        <r>
          <rPr>
            <sz val="8"/>
            <color indexed="81"/>
            <rFont val="Tahoma"/>
            <family val="2"/>
          </rPr>
          <t xml:space="preserve">
ASSUMED FOR CALCS
</t>
        </r>
      </text>
    </comment>
    <comment ref="F15" authorId="1" shapeId="0" xr:uid="{00000000-0006-0000-0400-000016000000}">
      <text>
        <r>
          <rPr>
            <b/>
            <sz val="8"/>
            <color indexed="81"/>
            <rFont val="Tahoma"/>
            <family val="2"/>
          </rPr>
          <t>mwilli89:</t>
        </r>
        <r>
          <rPr>
            <sz val="8"/>
            <color indexed="81"/>
            <rFont val="Tahoma"/>
            <family val="2"/>
          </rPr>
          <t xml:space="preserve">
It is not relevant to calculate HEV battery cost from distance like this. 
</t>
        </r>
        <r>
          <rPr>
            <b/>
            <sz val="8"/>
            <color indexed="81"/>
            <rFont val="Tahoma"/>
            <family val="2"/>
          </rPr>
          <t xml:space="preserve">Jim Anderson:
</t>
        </r>
        <r>
          <rPr>
            <sz val="8"/>
            <color indexed="81"/>
            <rFont val="Tahoma"/>
            <family val="2"/>
          </rPr>
          <t xml:space="preserve">Prius all-elec range is reportedly a couple km, but is not run in charge-depletion mode. The battery capacity is thus not well reflected by range only. Therefore, battery capacity also needs incorporate storage factor (charge maintained between 60% and 40%).
</t>
        </r>
      </text>
    </comment>
    <comment ref="G15" authorId="1" shapeId="0" xr:uid="{00000000-0006-0000-0400-000017000000}">
      <text>
        <r>
          <rPr>
            <b/>
            <sz val="8"/>
            <color indexed="81"/>
            <rFont val="Tahoma"/>
            <family val="2"/>
          </rPr>
          <t>mwilli89:</t>
        </r>
        <r>
          <rPr>
            <sz val="8"/>
            <color indexed="81"/>
            <rFont val="Tahoma"/>
            <family val="2"/>
          </rPr>
          <t xml:space="preserve">
It is not relevant to calculate HEV battery cost from distance like this. 
</t>
        </r>
        <r>
          <rPr>
            <b/>
            <sz val="8"/>
            <color indexed="81"/>
            <rFont val="Tahoma"/>
            <family val="2"/>
          </rPr>
          <t xml:space="preserve">Jim Anderson:
</t>
        </r>
        <r>
          <rPr>
            <sz val="8"/>
            <color indexed="81"/>
            <rFont val="Tahoma"/>
            <family val="2"/>
          </rPr>
          <t xml:space="preserve">Prius all-elec range is reportedly a couple km, but is not run in charge-depletion mode. The battery capacity is thus not well reflected by range only. Therefore, battery capacity also needs incorporate storage factor (charge maintained between 60% and 40%).
</t>
        </r>
      </text>
    </comment>
    <comment ref="H15" authorId="1" shapeId="0" xr:uid="{00000000-0006-0000-0400-000018000000}">
      <text>
        <r>
          <rPr>
            <b/>
            <sz val="8"/>
            <color indexed="81"/>
            <rFont val="Tahoma"/>
            <family val="2"/>
          </rPr>
          <t>mwilli89:</t>
        </r>
        <r>
          <rPr>
            <sz val="8"/>
            <color indexed="81"/>
            <rFont val="Tahoma"/>
            <family val="2"/>
          </rPr>
          <t xml:space="preserve">
It is not relevant to calculate HEV battery cost from distance like this. 
</t>
        </r>
        <r>
          <rPr>
            <b/>
            <sz val="8"/>
            <color indexed="81"/>
            <rFont val="Tahoma"/>
            <family val="2"/>
          </rPr>
          <t xml:space="preserve">Jim Anderson:
</t>
        </r>
        <r>
          <rPr>
            <sz val="8"/>
            <color indexed="81"/>
            <rFont val="Tahoma"/>
            <family val="2"/>
          </rPr>
          <t xml:space="preserve">Prius all-elec range is reportedly a couple km, but is not run in charge-depletion mode. The battery capacity is thus not well reflected by range only. Therefore, battery capacity also needs incorporate storage factor (charge maintained between 60% and 40%).
</t>
        </r>
      </text>
    </comment>
    <comment ref="I15" authorId="1" shapeId="0" xr:uid="{00000000-0006-0000-0400-000019000000}">
      <text>
        <r>
          <rPr>
            <b/>
            <sz val="8"/>
            <color indexed="81"/>
            <rFont val="Tahoma"/>
            <family val="2"/>
          </rPr>
          <t>mwilli89:</t>
        </r>
        <r>
          <rPr>
            <sz val="8"/>
            <color indexed="81"/>
            <rFont val="Tahoma"/>
            <family val="2"/>
          </rPr>
          <t xml:space="preserve">
It is not relevant to calculate HEV battery cost from distance like this. 
</t>
        </r>
        <r>
          <rPr>
            <b/>
            <sz val="8"/>
            <color indexed="81"/>
            <rFont val="Tahoma"/>
            <family val="2"/>
          </rPr>
          <t xml:space="preserve">Jim Anderson:
</t>
        </r>
        <r>
          <rPr>
            <sz val="8"/>
            <color indexed="81"/>
            <rFont val="Tahoma"/>
            <family val="2"/>
          </rPr>
          <t xml:space="preserve">Prius all-elec range is reportedly a couple km, but is not run in charge-depletion mode. The battery capacity is thus not well reflected by range only. Therefore, battery capacity also needs incorporate storage factor (charge maintained between 60% and 40%).
</t>
        </r>
      </text>
    </comment>
    <comment ref="J15" authorId="0" shapeId="0" xr:uid="{00000000-0006-0000-0400-00001A000000}">
      <text>
        <r>
          <rPr>
            <b/>
            <sz val="8"/>
            <color indexed="81"/>
            <rFont val="Tahoma"/>
            <family val="2"/>
          </rPr>
          <t>Jim Anderson:</t>
        </r>
        <r>
          <rPr>
            <sz val="8"/>
            <color indexed="81"/>
            <rFont val="Tahoma"/>
            <family val="2"/>
          </rPr>
          <t xml:space="preserve">
Arbitrarily selected as 200 km. May need to constrain penetration of BEVs as this is lower than 500 km used for other vehicles.</t>
        </r>
      </text>
    </comment>
    <comment ref="AC15" authorId="0" shapeId="0" xr:uid="{00000000-0006-0000-0400-00001B000000}">
      <text>
        <r>
          <rPr>
            <b/>
            <sz val="8"/>
            <color indexed="81"/>
            <rFont val="Tahoma"/>
            <family val="2"/>
          </rPr>
          <t>Jim Anderson:</t>
        </r>
        <r>
          <rPr>
            <sz val="8"/>
            <color indexed="81"/>
            <rFont val="Tahoma"/>
            <family val="2"/>
          </rPr>
          <t xml:space="preserve">
For FC, assume use of battery similar to HEV</t>
        </r>
        <r>
          <rPr>
            <i/>
            <sz val="8"/>
            <color indexed="81"/>
            <rFont val="Tahoma"/>
            <family val="2"/>
          </rPr>
          <t>.</t>
        </r>
      </text>
    </comment>
    <comment ref="A17" authorId="0" shapeId="0" xr:uid="{00000000-0006-0000-0400-00001C000000}">
      <text>
        <r>
          <rPr>
            <b/>
            <sz val="8"/>
            <color indexed="81"/>
            <rFont val="Tahoma"/>
            <family val="2"/>
          </rPr>
          <t>Jim Anderson:</t>
        </r>
        <r>
          <rPr>
            <sz val="8"/>
            <color indexed="81"/>
            <rFont val="Tahoma"/>
            <family val="2"/>
          </rPr>
          <t xml:space="preserve">
Current HEVs use battery in charge-sustaining mode and do not use entire state of charge (e.g., Prius operates in 20% window--between 60% and 40% of charge), thus storage factor is 5 = 1/0.2. 
For BEV and PHEV batteries operate in charge-depleting mode, thus storage factor is closer to 1.</t>
        </r>
      </text>
    </comment>
    <comment ref="J17" authorId="0" shapeId="0" xr:uid="{00000000-0006-0000-0400-00001D000000}">
      <text>
        <r>
          <rPr>
            <b/>
            <sz val="8"/>
            <color indexed="81"/>
            <rFont val="Tahoma"/>
            <family val="2"/>
          </rPr>
          <t>Jim Anderson:</t>
        </r>
        <r>
          <rPr>
            <sz val="8"/>
            <color indexed="81"/>
            <rFont val="Tahoma"/>
            <family val="2"/>
          </rPr>
          <t xml:space="preserve">
Assumes use of 80% of capacity in charge-depleting mode.</t>
        </r>
      </text>
    </comment>
    <comment ref="L17" authorId="0" shapeId="0" xr:uid="{00000000-0006-0000-0400-00001E000000}">
      <text>
        <r>
          <rPr>
            <b/>
            <sz val="8"/>
            <color indexed="81"/>
            <rFont val="Tahoma"/>
            <family val="2"/>
          </rPr>
          <t>Jim Anderson:</t>
        </r>
        <r>
          <rPr>
            <sz val="8"/>
            <color indexed="81"/>
            <rFont val="Tahoma"/>
            <family val="2"/>
          </rPr>
          <t xml:space="preserve">
Assumes use of 80% of capacity in charge-depleting mode.</t>
        </r>
      </text>
    </comment>
    <comment ref="O17" authorId="0" shapeId="0" xr:uid="{00000000-0006-0000-0400-00001F000000}">
      <text>
        <r>
          <rPr>
            <b/>
            <sz val="8"/>
            <color indexed="81"/>
            <rFont val="Tahoma"/>
            <family val="2"/>
          </rPr>
          <t>Jim Anderson:</t>
        </r>
        <r>
          <rPr>
            <sz val="8"/>
            <color indexed="81"/>
            <rFont val="Tahoma"/>
            <family val="2"/>
          </rPr>
          <t xml:space="preserve">
Assumes use of 80% of capacity in charge-depleting mode.</t>
        </r>
      </text>
    </comment>
    <comment ref="R17" authorId="0" shapeId="0" xr:uid="{00000000-0006-0000-0400-000020000000}">
      <text>
        <r>
          <rPr>
            <b/>
            <sz val="8"/>
            <color indexed="81"/>
            <rFont val="Tahoma"/>
            <family val="2"/>
          </rPr>
          <t>Jim Anderson:</t>
        </r>
        <r>
          <rPr>
            <sz val="8"/>
            <color indexed="81"/>
            <rFont val="Tahoma"/>
            <family val="2"/>
          </rPr>
          <t xml:space="preserve">
Assumes use of 80% of capacity in charge-depleting mode.</t>
        </r>
      </text>
    </comment>
    <comment ref="U17" authorId="0" shapeId="0" xr:uid="{00000000-0006-0000-0400-000021000000}">
      <text>
        <r>
          <rPr>
            <b/>
            <sz val="8"/>
            <color indexed="81"/>
            <rFont val="Tahoma"/>
            <family val="2"/>
          </rPr>
          <t>Jim Anderson:</t>
        </r>
        <r>
          <rPr>
            <sz val="8"/>
            <color indexed="81"/>
            <rFont val="Tahoma"/>
            <family val="2"/>
          </rPr>
          <t xml:space="preserve">
Assumes use of 80% of capacity in charge-depleting mode.</t>
        </r>
      </text>
    </comment>
    <comment ref="X17" authorId="0" shapeId="0" xr:uid="{00000000-0006-0000-0400-000022000000}">
      <text>
        <r>
          <rPr>
            <b/>
            <sz val="8"/>
            <color indexed="81"/>
            <rFont val="Tahoma"/>
            <family val="2"/>
          </rPr>
          <t>Jim Anderson:</t>
        </r>
        <r>
          <rPr>
            <sz val="8"/>
            <color indexed="81"/>
            <rFont val="Tahoma"/>
            <family val="2"/>
          </rPr>
          <t xml:space="preserve">
Assumes use of 80% of capacity in charge-depleting mode.</t>
        </r>
      </text>
    </comment>
    <comment ref="AA17" authorId="0" shapeId="0" xr:uid="{00000000-0006-0000-0400-000023000000}">
      <text>
        <r>
          <rPr>
            <b/>
            <sz val="8"/>
            <color indexed="81"/>
            <rFont val="Tahoma"/>
            <family val="2"/>
          </rPr>
          <t>Jim Anderson:</t>
        </r>
        <r>
          <rPr>
            <sz val="8"/>
            <color indexed="81"/>
            <rFont val="Tahoma"/>
            <family val="2"/>
          </rPr>
          <t xml:space="preserve">
Assumes use of 80% of capacity in charge-depleting mode.</t>
        </r>
      </text>
    </comment>
    <comment ref="AC17" authorId="0" shapeId="0" xr:uid="{00000000-0006-0000-0400-000024000000}">
      <text>
        <r>
          <rPr>
            <b/>
            <sz val="8"/>
            <color indexed="81"/>
            <rFont val="Tahoma"/>
            <family val="2"/>
          </rPr>
          <t>Jim Anderson:</t>
        </r>
        <r>
          <rPr>
            <sz val="8"/>
            <color indexed="81"/>
            <rFont val="Tahoma"/>
            <family val="2"/>
          </rPr>
          <t xml:space="preserve">
Assumes use of 80% of capacity in charge-depleting mode. No reference for this. Escape PHEV will use 70% of capacity.</t>
        </r>
      </text>
    </comment>
    <comment ref="AD17" authorId="0" shapeId="0" xr:uid="{00000000-0006-0000-0400-000025000000}">
      <text>
        <r>
          <rPr>
            <b/>
            <sz val="8"/>
            <color indexed="81"/>
            <rFont val="Tahoma"/>
            <family val="2"/>
          </rPr>
          <t>Jim Anderson:</t>
        </r>
        <r>
          <rPr>
            <sz val="8"/>
            <color indexed="81"/>
            <rFont val="Tahoma"/>
            <family val="2"/>
          </rPr>
          <t xml:space="preserve">
Assumes use of 80% of capacity in charge-depleting mode.</t>
        </r>
      </text>
    </comment>
    <comment ref="AE17" authorId="0" shapeId="0" xr:uid="{00000000-0006-0000-0400-000026000000}">
      <text>
        <r>
          <rPr>
            <b/>
            <sz val="8"/>
            <color indexed="81"/>
            <rFont val="Tahoma"/>
            <family val="2"/>
          </rPr>
          <t>Jim Anderson:</t>
        </r>
        <r>
          <rPr>
            <sz val="8"/>
            <color indexed="81"/>
            <rFont val="Tahoma"/>
            <family val="2"/>
          </rPr>
          <t xml:space="preserve">
Assumes use of 80% of capacity in charge-depleting mode.</t>
        </r>
      </text>
    </comment>
    <comment ref="AL17" authorId="0" shapeId="0" xr:uid="{00000000-0006-0000-0400-000027000000}">
      <text>
        <r>
          <rPr>
            <b/>
            <sz val="8"/>
            <color indexed="81"/>
            <rFont val="Tahoma"/>
            <family val="2"/>
          </rPr>
          <t>Jim Anderson:</t>
        </r>
        <r>
          <rPr>
            <sz val="8"/>
            <color indexed="81"/>
            <rFont val="Tahoma"/>
            <family val="2"/>
          </rPr>
          <t xml:space="preserve">
Prius operates in 20% charge window--between 60% and 40% state of charge), thus storage factor is 5 = 1/0.2. </t>
        </r>
      </text>
    </comment>
    <comment ref="AM17" authorId="0" shapeId="0" xr:uid="{00000000-0006-0000-0400-000028000000}">
      <text>
        <r>
          <rPr>
            <b/>
            <sz val="8"/>
            <color indexed="81"/>
            <rFont val="Tahoma"/>
            <family val="2"/>
          </rPr>
          <t>Jim Anderson:</t>
        </r>
        <r>
          <rPr>
            <sz val="8"/>
            <color indexed="81"/>
            <rFont val="Tahoma"/>
            <family val="2"/>
          </rPr>
          <t xml:space="preserve">
http://blogs.edmunds.com/GreenCarAdvisor/93</t>
        </r>
      </text>
    </comment>
    <comment ref="AO17" authorId="0" shapeId="0" xr:uid="{00000000-0006-0000-0400-000029000000}">
      <text>
        <r>
          <rPr>
            <b/>
            <sz val="8"/>
            <color indexed="81"/>
            <rFont val="Tahoma"/>
            <family val="2"/>
          </rPr>
          <t>Jim Anderson:</t>
        </r>
        <r>
          <rPr>
            <sz val="8"/>
            <color indexed="81"/>
            <rFont val="Tahoma"/>
            <family val="2"/>
          </rPr>
          <t xml:space="preserve">
State of charge will be maintained between 80% and 30%.</t>
        </r>
      </text>
    </comment>
    <comment ref="L19" authorId="0" shapeId="0" xr:uid="{00000000-0006-0000-0400-00002A000000}">
      <text>
        <r>
          <rPr>
            <b/>
            <sz val="8"/>
            <color indexed="81"/>
            <rFont val="Tahoma"/>
            <family val="2"/>
          </rPr>
          <t>Jim Anderson:</t>
        </r>
        <r>
          <rPr>
            <sz val="8"/>
            <color indexed="81"/>
            <rFont val="Tahoma"/>
            <family val="2"/>
          </rPr>
          <t xml:space="preserve">
Volt reportedly has 16 kWh storage for 64 km range. Probably due to use of only half of battery state of charge (between 80% and 30%).</t>
        </r>
      </text>
    </comment>
    <comment ref="O19" authorId="0" shapeId="0" xr:uid="{00000000-0006-0000-0400-00002B000000}">
      <text>
        <r>
          <rPr>
            <b/>
            <sz val="8"/>
            <color indexed="81"/>
            <rFont val="Tahoma"/>
            <family val="2"/>
          </rPr>
          <t>Jim Anderson:</t>
        </r>
        <r>
          <rPr>
            <sz val="8"/>
            <color indexed="81"/>
            <rFont val="Tahoma"/>
            <family val="2"/>
          </rPr>
          <t xml:space="preserve">
Volt reportedly has 16 kWh storage for 64 km range. Probably due to use of only half of battery state of charge (between 80% and 30%).</t>
        </r>
      </text>
    </comment>
    <comment ref="R19" authorId="0" shapeId="0" xr:uid="{00000000-0006-0000-0400-00002C000000}">
      <text>
        <r>
          <rPr>
            <b/>
            <sz val="8"/>
            <color indexed="81"/>
            <rFont val="Tahoma"/>
            <family val="2"/>
          </rPr>
          <t>Jim Anderson:</t>
        </r>
        <r>
          <rPr>
            <sz val="8"/>
            <color indexed="81"/>
            <rFont val="Tahoma"/>
            <family val="2"/>
          </rPr>
          <t xml:space="preserve">
Volt reportedly has 16 kWh storage for 64 km range. Probably due to use of only half of battery state of charge (between 80% and 30%).</t>
        </r>
      </text>
    </comment>
    <comment ref="U19" authorId="0" shapeId="0" xr:uid="{00000000-0006-0000-0400-00002D000000}">
      <text>
        <r>
          <rPr>
            <b/>
            <sz val="8"/>
            <color indexed="81"/>
            <rFont val="Tahoma"/>
            <family val="2"/>
          </rPr>
          <t>Jim Anderson:</t>
        </r>
        <r>
          <rPr>
            <sz val="8"/>
            <color indexed="81"/>
            <rFont val="Tahoma"/>
            <family val="2"/>
          </rPr>
          <t xml:space="preserve">
Volt reportedly has 16 kWh storage for 64 km range. Probably due to use of only half of battery state of charge (between 80% and 30%).</t>
        </r>
      </text>
    </comment>
    <comment ref="X19" authorId="0" shapeId="0" xr:uid="{00000000-0006-0000-0400-00002E000000}">
      <text>
        <r>
          <rPr>
            <b/>
            <sz val="8"/>
            <color indexed="81"/>
            <rFont val="Tahoma"/>
            <family val="2"/>
          </rPr>
          <t>Jim Anderson:</t>
        </r>
        <r>
          <rPr>
            <sz val="8"/>
            <color indexed="81"/>
            <rFont val="Tahoma"/>
            <family val="2"/>
          </rPr>
          <t xml:space="preserve">
Volt reportedly has 16 kWh storage for 64 km range. Probably due to use of only half of battery state of charge (between 80% and 30%).</t>
        </r>
      </text>
    </comment>
    <comment ref="AA19" authorId="0" shapeId="0" xr:uid="{00000000-0006-0000-0400-00002F000000}">
      <text>
        <r>
          <rPr>
            <b/>
            <sz val="8"/>
            <color indexed="81"/>
            <rFont val="Tahoma"/>
            <family val="2"/>
          </rPr>
          <t>Jim Anderson:</t>
        </r>
        <r>
          <rPr>
            <sz val="8"/>
            <color indexed="81"/>
            <rFont val="Tahoma"/>
            <family val="2"/>
          </rPr>
          <t xml:space="preserve">
Volt reportedly has 16 kWh storage for 64 km range. Probably due to use of only half of battery state of charge (between 80% and 30%).</t>
        </r>
      </text>
    </comment>
    <comment ref="AN19" authorId="0" shapeId="0" xr:uid="{00000000-0006-0000-0400-000030000000}">
      <text>
        <r>
          <rPr>
            <b/>
            <sz val="8"/>
            <color indexed="81"/>
            <rFont val="Tahoma"/>
            <family val="2"/>
          </rPr>
          <t>Jim Anderson:</t>
        </r>
        <r>
          <rPr>
            <sz val="8"/>
            <color indexed="81"/>
            <rFont val="Tahoma"/>
            <family val="2"/>
          </rPr>
          <t xml:space="preserve">
http://blogs.edmunds.com/GreenCarAdvisor/93</t>
        </r>
      </text>
    </comment>
    <comment ref="A21" authorId="0" shapeId="0" xr:uid="{00000000-0006-0000-0400-000031000000}">
      <text>
        <r>
          <rPr>
            <b/>
            <sz val="8"/>
            <color indexed="81"/>
            <rFont val="Tahoma"/>
            <family val="2"/>
          </rPr>
          <t>Jim Anderson:</t>
        </r>
        <r>
          <rPr>
            <sz val="8"/>
            <color indexed="81"/>
            <rFont val="Tahoma"/>
            <family val="2"/>
          </rPr>
          <t xml:space="preserve">
Assumption in initial spreadsheet of 80 kWm motor requirement, presumably for maximum acceleration condition. This is not necessarily directly proportional to "min energy use", which includes wind and rolling resistance. Assume ICE motor and electric motor together need to provide 80 kW of mechanical energy output for most severe driving load.</t>
        </r>
      </text>
    </comment>
    <comment ref="K22" authorId="0" shapeId="0" xr:uid="{00000000-0006-0000-0400-000032000000}">
      <text>
        <r>
          <rPr>
            <b/>
            <sz val="8"/>
            <color indexed="81"/>
            <rFont val="Tahoma"/>
            <family val="2"/>
          </rPr>
          <t>Jim Anderson:</t>
        </r>
        <r>
          <rPr>
            <sz val="8"/>
            <color indexed="81"/>
            <rFont val="Tahoma"/>
            <family val="2"/>
          </rPr>
          <t xml:space="preserve">
5/2/08 increased to 27 kW from 20 kW to accommodate sustained driving demand of 27 kW</t>
        </r>
      </text>
    </comment>
    <comment ref="N22" authorId="0" shapeId="0" xr:uid="{00000000-0006-0000-0400-000033000000}">
      <text>
        <r>
          <rPr>
            <b/>
            <sz val="8"/>
            <color indexed="81"/>
            <rFont val="Tahoma"/>
            <family val="2"/>
          </rPr>
          <t>Jim Anderson:</t>
        </r>
        <r>
          <rPr>
            <sz val="8"/>
            <color indexed="81"/>
            <rFont val="Tahoma"/>
            <family val="2"/>
          </rPr>
          <t xml:space="preserve">
5/2/08 increased to 27 kW from 20 kW to accommodate sustained driving demand of 27 kW</t>
        </r>
      </text>
    </comment>
    <comment ref="Q22" authorId="0" shapeId="0" xr:uid="{00000000-0006-0000-0400-000034000000}">
      <text>
        <r>
          <rPr>
            <b/>
            <sz val="8"/>
            <color indexed="81"/>
            <rFont val="Tahoma"/>
            <family val="2"/>
          </rPr>
          <t>Jim Anderson:</t>
        </r>
        <r>
          <rPr>
            <sz val="8"/>
            <color indexed="81"/>
            <rFont val="Tahoma"/>
            <family val="2"/>
          </rPr>
          <t xml:space="preserve">
5/2/08 increased to 27 kW from 20 kW to accommodate sustained driving demand of 27 kW</t>
        </r>
      </text>
    </comment>
    <comment ref="T22" authorId="0" shapeId="0" xr:uid="{00000000-0006-0000-0400-000035000000}">
      <text>
        <r>
          <rPr>
            <b/>
            <sz val="8"/>
            <color indexed="81"/>
            <rFont val="Tahoma"/>
            <family val="2"/>
          </rPr>
          <t>Jim Anderson:</t>
        </r>
        <r>
          <rPr>
            <sz val="8"/>
            <color indexed="81"/>
            <rFont val="Tahoma"/>
            <family val="2"/>
          </rPr>
          <t xml:space="preserve">
5/2/08 increased to 27 kW from 20 kW to accommodate sustained driving demand of 27 kW</t>
        </r>
      </text>
    </comment>
    <comment ref="W22" authorId="0" shapeId="0" xr:uid="{00000000-0006-0000-0400-000036000000}">
      <text>
        <r>
          <rPr>
            <b/>
            <sz val="8"/>
            <color indexed="81"/>
            <rFont val="Tahoma"/>
            <family val="2"/>
          </rPr>
          <t>Jim Anderson:</t>
        </r>
        <r>
          <rPr>
            <sz val="8"/>
            <color indexed="81"/>
            <rFont val="Tahoma"/>
            <family val="2"/>
          </rPr>
          <t xml:space="preserve">
5/2/08 increased to 27 kW from 20 kW to accommodate sustained driving demand of 27 kW</t>
        </r>
      </text>
    </comment>
    <comment ref="Z22" authorId="0" shapeId="0" xr:uid="{00000000-0006-0000-0400-000037000000}">
      <text>
        <r>
          <rPr>
            <b/>
            <sz val="8"/>
            <color indexed="81"/>
            <rFont val="Tahoma"/>
            <family val="2"/>
          </rPr>
          <t>Jim Anderson:</t>
        </r>
        <r>
          <rPr>
            <sz val="8"/>
            <color indexed="81"/>
            <rFont val="Tahoma"/>
            <family val="2"/>
          </rPr>
          <t xml:space="preserve">
5/2/08 increased to 27 kW from 20 kW to accommodate sustained driving demand of 27 kW</t>
        </r>
      </text>
    </comment>
    <comment ref="F23" authorId="0" shapeId="0" xr:uid="{00000000-0006-0000-0400-000038000000}">
      <text>
        <r>
          <rPr>
            <b/>
            <sz val="8"/>
            <color indexed="81"/>
            <rFont val="Tahoma"/>
            <family val="2"/>
          </rPr>
          <t>Jim Anderson:</t>
        </r>
        <r>
          <rPr>
            <sz val="8"/>
            <color indexed="81"/>
            <rFont val="Tahoma"/>
            <family val="2"/>
          </rPr>
          <t xml:space="preserve">
Increased from prior value of 20 kW. Prius has 50 kW power for electric motor and 57 kW power from ICE, but combined output is only 82 kW, however.  Maybe higher req't is because electric motor spins IC engine up to 1000 rpm during IC engine start-ups?</t>
        </r>
      </text>
    </comment>
    <comment ref="G23" authorId="0" shapeId="0" xr:uid="{00000000-0006-0000-0400-000039000000}">
      <text>
        <r>
          <rPr>
            <b/>
            <sz val="8"/>
            <color indexed="81"/>
            <rFont val="Tahoma"/>
            <family val="2"/>
          </rPr>
          <t>Jim Anderson:</t>
        </r>
        <r>
          <rPr>
            <sz val="8"/>
            <color indexed="81"/>
            <rFont val="Tahoma"/>
            <family val="2"/>
          </rPr>
          <t xml:space="preserve">
Increased from prior value of 20 kW. Prius has 50 kW power for electric motor and 57 kW power from ICE, but combined output is only 82 kW, however.  Maybe higher req't is because electric motor spins IC engine up to 1000 rpm during IC engine start-ups?</t>
        </r>
      </text>
    </comment>
    <comment ref="H23" authorId="0" shapeId="0" xr:uid="{00000000-0006-0000-0400-00003A000000}">
      <text>
        <r>
          <rPr>
            <b/>
            <sz val="8"/>
            <color indexed="81"/>
            <rFont val="Tahoma"/>
            <family val="2"/>
          </rPr>
          <t>Jim Anderson:</t>
        </r>
        <r>
          <rPr>
            <sz val="8"/>
            <color indexed="81"/>
            <rFont val="Tahoma"/>
            <family val="2"/>
          </rPr>
          <t xml:space="preserve">
Increased from prior value of 20 kW. Prius has 50 kW power for electric motor and 57 kW power from ICE, but combined output is only 82 kW, however.  Maybe higher req't is because electric motor spins IC engine up to 1000 rpm during IC engine start-ups?</t>
        </r>
      </text>
    </comment>
    <comment ref="I23" authorId="0" shapeId="0" xr:uid="{00000000-0006-0000-0400-00003B000000}">
      <text>
        <r>
          <rPr>
            <b/>
            <sz val="8"/>
            <color indexed="81"/>
            <rFont val="Tahoma"/>
            <family val="2"/>
          </rPr>
          <t>Jim Anderson:</t>
        </r>
        <r>
          <rPr>
            <sz val="8"/>
            <color indexed="81"/>
            <rFont val="Tahoma"/>
            <family val="2"/>
          </rPr>
          <t xml:space="preserve">
Increased from prior value of 20 kW. Prius has 50 kW power for electric motor and 57 kW power from ICE, but combined output is only 82 kW, however.  Maybe higher req't is because electric motor spins IC engine up to 1000 rpm during IC engine start-ups?</t>
        </r>
      </text>
    </comment>
    <comment ref="L23" authorId="0" shapeId="0" xr:uid="{00000000-0006-0000-0400-00003C000000}">
      <text>
        <r>
          <rPr>
            <b/>
            <sz val="8"/>
            <color indexed="81"/>
            <rFont val="Tahoma"/>
            <family val="2"/>
          </rPr>
          <t>Jim Anderson:</t>
        </r>
        <r>
          <rPr>
            <sz val="8"/>
            <color indexed="81"/>
            <rFont val="Tahoma"/>
            <family val="2"/>
          </rPr>
          <t xml:space="preserve">
Assumes maximum use of battery (60kW) and ICE (30kW) to achieve 80 kW during peak performance and ICE only to sustain 30 kW at max driving speed.</t>
        </r>
      </text>
    </comment>
    <comment ref="O23" authorId="0" shapeId="0" xr:uid="{00000000-0006-0000-0400-00003D000000}">
      <text>
        <r>
          <rPr>
            <b/>
            <sz val="8"/>
            <color indexed="81"/>
            <rFont val="Tahoma"/>
            <family val="2"/>
          </rPr>
          <t>Jim Anderson:</t>
        </r>
        <r>
          <rPr>
            <sz val="8"/>
            <color indexed="81"/>
            <rFont val="Tahoma"/>
            <family val="2"/>
          </rPr>
          <t xml:space="preserve">
Assumes maximum use of battery (60kW) and ICE (30kW) to achieve 80 kW during peak performance and ICE only to sustain 30 kW at max driving speed.</t>
        </r>
      </text>
    </comment>
    <comment ref="R23" authorId="0" shapeId="0" xr:uid="{00000000-0006-0000-0400-00003E000000}">
      <text>
        <r>
          <rPr>
            <b/>
            <sz val="8"/>
            <color indexed="81"/>
            <rFont val="Tahoma"/>
            <family val="2"/>
          </rPr>
          <t>Jim Anderson:</t>
        </r>
        <r>
          <rPr>
            <sz val="8"/>
            <color indexed="81"/>
            <rFont val="Tahoma"/>
            <family val="2"/>
          </rPr>
          <t xml:space="preserve">
Assumes maximum use of battery (60kW) and ICE (30kW) to achieve 80 kW during peak performance and ICE only to sustain 30 kW at max driving speed.</t>
        </r>
      </text>
    </comment>
    <comment ref="U23" authorId="0" shapeId="0" xr:uid="{00000000-0006-0000-0400-00003F000000}">
      <text>
        <r>
          <rPr>
            <b/>
            <sz val="8"/>
            <color indexed="81"/>
            <rFont val="Tahoma"/>
            <family val="2"/>
          </rPr>
          <t>Jim Anderson:</t>
        </r>
        <r>
          <rPr>
            <sz val="8"/>
            <color indexed="81"/>
            <rFont val="Tahoma"/>
            <family val="2"/>
          </rPr>
          <t xml:space="preserve">
Assumes maximum use of battery (60kW) and ICE (30kW) to achieve 80 kW during peak performance and ICE only to sustain 30 kW at max driving speed.</t>
        </r>
      </text>
    </comment>
    <comment ref="X23" authorId="0" shapeId="0" xr:uid="{00000000-0006-0000-0400-000040000000}">
      <text>
        <r>
          <rPr>
            <b/>
            <sz val="8"/>
            <color indexed="81"/>
            <rFont val="Tahoma"/>
            <family val="2"/>
          </rPr>
          <t>Jim Anderson:</t>
        </r>
        <r>
          <rPr>
            <sz val="8"/>
            <color indexed="81"/>
            <rFont val="Tahoma"/>
            <family val="2"/>
          </rPr>
          <t xml:space="preserve">
Assumes maximum use of battery (60kW) and ICE (30kW) to achieve 80 kW during peak performance and ICE only to sustain 30 kW at max driving speed.</t>
        </r>
      </text>
    </comment>
    <comment ref="AA23" authorId="0" shapeId="0" xr:uid="{00000000-0006-0000-0400-000041000000}">
      <text>
        <r>
          <rPr>
            <b/>
            <sz val="8"/>
            <color indexed="81"/>
            <rFont val="Tahoma"/>
            <family val="2"/>
          </rPr>
          <t>Jim Anderson:</t>
        </r>
        <r>
          <rPr>
            <sz val="8"/>
            <color indexed="81"/>
            <rFont val="Tahoma"/>
            <family val="2"/>
          </rPr>
          <t xml:space="preserve">
Assumes maximum use of battery (60kW) and ICE (30kW) to achieve 80 kW during peak performance and ICE only to sustain 30 kW at max driving speed.</t>
        </r>
      </text>
    </comment>
    <comment ref="AL23" authorId="0" shapeId="0" xr:uid="{00000000-0006-0000-0400-000042000000}">
      <text>
        <r>
          <rPr>
            <b/>
            <sz val="8"/>
            <color indexed="81"/>
            <rFont val="Tahoma"/>
            <family val="2"/>
          </rPr>
          <t>Jim Anderson:</t>
        </r>
        <r>
          <rPr>
            <sz val="8"/>
            <color indexed="81"/>
            <rFont val="Tahoma"/>
            <family val="2"/>
          </rPr>
          <t xml:space="preserve">
Electric motor spins IC engine up to speed during start-up.</t>
        </r>
      </text>
    </comment>
    <comment ref="AM23" authorId="0" shapeId="0" xr:uid="{00000000-0006-0000-0400-000043000000}">
      <text>
        <r>
          <rPr>
            <b/>
            <sz val="8"/>
            <color indexed="81"/>
            <rFont val="Tahoma"/>
            <family val="2"/>
          </rPr>
          <t>Jim Anderson:</t>
        </r>
        <r>
          <rPr>
            <sz val="8"/>
            <color indexed="81"/>
            <rFont val="Tahoma"/>
            <family val="2"/>
          </rPr>
          <t xml:space="preserve">
70 kW traction motor and 45 kW generator/motor</t>
        </r>
      </text>
    </comment>
    <comment ref="A27" authorId="0" shapeId="0" xr:uid="{00000000-0006-0000-0400-000044000000}">
      <text>
        <r>
          <rPr>
            <b/>
            <sz val="8"/>
            <color indexed="81"/>
            <rFont val="Tahoma"/>
            <family val="2"/>
          </rPr>
          <t>Jim Anderson:</t>
        </r>
        <r>
          <rPr>
            <sz val="8"/>
            <color indexed="81"/>
            <rFont val="Tahoma"/>
            <family val="2"/>
          </rPr>
          <t xml:space="preserve">
Energy to motor is provided by ICE, fuel cell, and battery. After conversion efficiencies, together need to supply 80 kW mech output at motors. for most severe driving load.</t>
        </r>
      </text>
    </comment>
    <comment ref="A29" authorId="0" shapeId="0" xr:uid="{00000000-0006-0000-0400-000045000000}">
      <text>
        <r>
          <rPr>
            <b/>
            <sz val="8"/>
            <color indexed="81"/>
            <rFont val="Tahoma"/>
            <family val="2"/>
          </rPr>
          <t>Jim Anderson:</t>
        </r>
        <r>
          <rPr>
            <sz val="8"/>
            <color indexed="81"/>
            <rFont val="Tahoma"/>
            <family val="2"/>
          </rPr>
          <t xml:space="preserve">
Assumed as fixed value.</t>
        </r>
      </text>
    </comment>
    <comment ref="A30" authorId="0" shapeId="0" xr:uid="{00000000-0006-0000-0400-000046000000}">
      <text>
        <r>
          <rPr>
            <b/>
            <sz val="8"/>
            <color indexed="81"/>
            <rFont val="Tahoma"/>
            <family val="2"/>
          </rPr>
          <t>Jim Anderson:</t>
        </r>
        <r>
          <rPr>
            <sz val="8"/>
            <color indexed="81"/>
            <rFont val="Tahoma"/>
            <family val="2"/>
          </rPr>
          <t xml:space="preserve">
Initially calculated as difference after accounting for supply from fuel cell or ICE, and accounting for elec motor efficiency of assumed 90% (higher than overall efficiency).
Now, all have peak battery related only to motor kW size (and including 90% batt efficiency).</t>
        </r>
      </text>
    </comment>
    <comment ref="AC30" authorId="0" shapeId="0" xr:uid="{00000000-0006-0000-0400-000047000000}">
      <text>
        <r>
          <rPr>
            <b/>
            <sz val="8"/>
            <color indexed="81"/>
            <rFont val="Tahoma"/>
            <family val="2"/>
          </rPr>
          <t>Jim Anderson:</t>
        </r>
        <r>
          <rPr>
            <sz val="8"/>
            <color indexed="81"/>
            <rFont val="Tahoma"/>
            <family val="2"/>
          </rPr>
          <t xml:space="preserve">
</t>
        </r>
      </text>
    </comment>
    <comment ref="AE30" authorId="0" shapeId="0" xr:uid="{00000000-0006-0000-0400-000048000000}">
      <text>
        <r>
          <rPr>
            <b/>
            <sz val="8"/>
            <color indexed="81"/>
            <rFont val="Tahoma"/>
            <family val="2"/>
          </rPr>
          <t>Jim Anderson:</t>
        </r>
        <r>
          <rPr>
            <sz val="8"/>
            <color indexed="81"/>
            <rFont val="Tahoma"/>
            <family val="2"/>
          </rPr>
          <t xml:space="preserve">
5/1/08 changed this back to 44 to assume parallel type FCV from prior 89 (which was an early change to series FCV).</t>
        </r>
      </text>
    </comment>
    <comment ref="A38" authorId="0" shapeId="0" xr:uid="{00000000-0006-0000-0400-000049000000}">
      <text>
        <r>
          <rPr>
            <b/>
            <sz val="8"/>
            <color indexed="81"/>
            <rFont val="Tahoma"/>
            <family val="2"/>
          </rPr>
          <t>Jim Anderson:</t>
        </r>
        <r>
          <rPr>
            <sz val="8"/>
            <color indexed="81"/>
            <rFont val="Tahoma"/>
            <family val="2"/>
          </rPr>
          <t xml:space="preserve">
Assume peak driving speed of 100 mi/hr or 161 km/hr</t>
        </r>
      </text>
    </comment>
    <comment ref="A39" authorId="0" shapeId="0" xr:uid="{00000000-0006-0000-0400-00004A000000}">
      <text>
        <r>
          <rPr>
            <b/>
            <sz val="8"/>
            <color indexed="81"/>
            <rFont val="Tahoma"/>
            <family val="2"/>
          </rPr>
          <t>Jim Anderson:</t>
        </r>
        <r>
          <rPr>
            <sz val="8"/>
            <color indexed="81"/>
            <rFont val="Tahoma"/>
            <family val="2"/>
          </rPr>
          <t xml:space="preserve">
Maximum sustained mechanical output for maximum driving speed</t>
        </r>
      </text>
    </comment>
    <comment ref="E43" authorId="0" shapeId="0" xr:uid="{00000000-0006-0000-0400-00004B000000}">
      <text>
        <r>
          <rPr>
            <b/>
            <sz val="8"/>
            <color indexed="81"/>
            <rFont val="Tahoma"/>
            <family val="2"/>
          </rPr>
          <t>Jim Anderson:</t>
        </r>
        <r>
          <rPr>
            <sz val="8"/>
            <color indexed="81"/>
            <rFont val="Tahoma"/>
            <family val="2"/>
          </rPr>
          <t xml:space="preserve">
Ford estimate that H2 powertrain costs $5/kW more than gasoline</t>
        </r>
      </text>
    </comment>
    <comment ref="AE47" authorId="0" shapeId="0" xr:uid="{00000000-0006-0000-0400-00004C000000}">
      <text>
        <r>
          <rPr>
            <b/>
            <sz val="8"/>
            <color indexed="81"/>
            <rFont val="Tahoma"/>
            <family val="2"/>
          </rPr>
          <t>Jim Anderson:</t>
        </r>
        <r>
          <rPr>
            <sz val="8"/>
            <color indexed="81"/>
            <rFont val="Tahoma"/>
            <family val="2"/>
          </rPr>
          <t xml:space="preserve">
Use same value as H2 ICE</t>
        </r>
      </text>
    </comment>
    <comment ref="A49" authorId="2" shapeId="0" xr:uid="{00000000-0006-0000-0400-00004D000000}">
      <text>
        <r>
          <rPr>
            <b/>
            <sz val="9"/>
            <color indexed="81"/>
            <rFont val="Tahoma"/>
            <family val="2"/>
          </rPr>
          <t>Selma Brynolf:</t>
        </r>
        <r>
          <rPr>
            <sz val="9"/>
            <color indexed="81"/>
            <rFont val="Tahoma"/>
            <family val="2"/>
          </rPr>
          <t xml:space="preserve">
Vid små batterier kan det vara effekten som är den begränsande faktorn och då bör kostanden beräknas kopplat till USD/kWe (40 USD/Kwe med dagen kostnader enligt Pohl et al (2017))</t>
        </r>
      </text>
    </comment>
    <comment ref="F49" authorId="0" shapeId="0" xr:uid="{00000000-0006-0000-0400-00004E000000}">
      <text>
        <r>
          <rPr>
            <sz val="8"/>
            <color indexed="81"/>
            <rFont val="Tahoma"/>
            <family val="2"/>
          </rPr>
          <t>Jim Anderson:
increasing this value has greatest impact on BEV&gt;PHEV&gt;FCV&gt;HEV.
Would be nice to have basis for this number.</t>
        </r>
      </text>
    </comment>
    <comment ref="G49" authorId="0" shapeId="0" xr:uid="{00000000-0006-0000-0400-00004F000000}">
      <text>
        <r>
          <rPr>
            <sz val="8"/>
            <color indexed="81"/>
            <rFont val="Tahoma"/>
            <family val="2"/>
          </rPr>
          <t>Jim Anderson:
increasing this value has greatest impact on BEV&gt;PHEV&gt;FCV&gt;HEV.
Would be nice to have basis for this number.</t>
        </r>
      </text>
    </comment>
    <comment ref="H49" authorId="0" shapeId="0" xr:uid="{00000000-0006-0000-0400-000050000000}">
      <text>
        <r>
          <rPr>
            <sz val="8"/>
            <color indexed="81"/>
            <rFont val="Tahoma"/>
            <family val="2"/>
          </rPr>
          <t>Jim Anderson:
increasing this value has greatest impact on BEV&gt;PHEV&gt;FCV&gt;HEV.
Would be nice to have basis for this number.</t>
        </r>
      </text>
    </comment>
    <comment ref="I49" authorId="0" shapeId="0" xr:uid="{00000000-0006-0000-0400-000051000000}">
      <text>
        <r>
          <rPr>
            <sz val="8"/>
            <color indexed="81"/>
            <rFont val="Tahoma"/>
            <family val="2"/>
          </rPr>
          <t>Jim Anderson:
increasing this value has greatest impact on BEV&gt;PHEV&gt;FCV&gt;HEV.
Would be nice to have basis for this number.</t>
        </r>
      </text>
    </comment>
    <comment ref="L49" authorId="0" shapeId="0" xr:uid="{00000000-0006-0000-0400-000052000000}">
      <text>
        <r>
          <rPr>
            <sz val="8"/>
            <color indexed="81"/>
            <rFont val="Tahoma"/>
            <family val="2"/>
          </rPr>
          <t>Jim Anderson:
increasing this value has greatest impact on BEV&gt;PHEV&gt;FCV&gt;HEV.
Would be nice to have basis for this number.</t>
        </r>
      </text>
    </comment>
    <comment ref="O49" authorId="0" shapeId="0" xr:uid="{00000000-0006-0000-0400-000053000000}">
      <text>
        <r>
          <rPr>
            <sz val="8"/>
            <color indexed="81"/>
            <rFont val="Tahoma"/>
            <family val="2"/>
          </rPr>
          <t>Jim Anderson:
increasing this value has greatest impact on BEV&gt;PHEV&gt;FCV&gt;HEV.
Would be nice to have basis for this number.</t>
        </r>
      </text>
    </comment>
    <comment ref="R49" authorId="0" shapeId="0" xr:uid="{00000000-0006-0000-0400-000054000000}">
      <text>
        <r>
          <rPr>
            <sz val="8"/>
            <color indexed="81"/>
            <rFont val="Tahoma"/>
            <family val="2"/>
          </rPr>
          <t>Jim Anderson:
increasing this value has greatest impact on BEV&gt;PHEV&gt;FCV&gt;HEV.
Would be nice to have basis for this number.</t>
        </r>
      </text>
    </comment>
    <comment ref="U49" authorId="0" shapeId="0" xr:uid="{00000000-0006-0000-0400-000055000000}">
      <text>
        <r>
          <rPr>
            <sz val="8"/>
            <color indexed="81"/>
            <rFont val="Tahoma"/>
            <family val="2"/>
          </rPr>
          <t>Jim Anderson:
increasing this value has greatest impact on BEV&gt;PHEV&gt;FCV&gt;HEV.
Would be nice to have basis for this number.</t>
        </r>
      </text>
    </comment>
    <comment ref="X49" authorId="0" shapeId="0" xr:uid="{00000000-0006-0000-0400-000056000000}">
      <text>
        <r>
          <rPr>
            <sz val="8"/>
            <color indexed="81"/>
            <rFont val="Tahoma"/>
            <family val="2"/>
          </rPr>
          <t>Jim Anderson:
increasing this value has greatest impact on BEV&gt;PHEV&gt;FCV&gt;HEV.
Would be nice to have basis for this number.</t>
        </r>
      </text>
    </comment>
    <comment ref="AA49" authorId="0" shapeId="0" xr:uid="{00000000-0006-0000-0400-000057000000}">
      <text>
        <r>
          <rPr>
            <sz val="8"/>
            <color indexed="81"/>
            <rFont val="Tahoma"/>
            <family val="2"/>
          </rPr>
          <t>Jim Anderson:
increasing this value has greatest impact on BEV&gt;PHEV&gt;FCV&gt;HEV.
Would be nice to have basis for this number.</t>
        </r>
      </text>
    </comment>
    <comment ref="AC49" authorId="0" shapeId="0" xr:uid="{00000000-0006-0000-0400-000058000000}">
      <text>
        <r>
          <rPr>
            <sz val="8"/>
            <color indexed="81"/>
            <rFont val="Tahoma"/>
            <family val="2"/>
          </rPr>
          <t>Jim Anderson:
increasing this value has greatest impact on BEV&gt;PHEV&gt;FCV&gt;HEV.
Would be nice to have basis for this number.</t>
        </r>
      </text>
    </comment>
    <comment ref="AD49" authorId="0" shapeId="0" xr:uid="{00000000-0006-0000-0400-000059000000}">
      <text>
        <r>
          <rPr>
            <sz val="8"/>
            <color indexed="81"/>
            <rFont val="Tahoma"/>
            <family val="2"/>
          </rPr>
          <t>Jim Anderson:
increasing this value has greatest impact on BEV&gt;PHEV&gt;FCV&gt;HEV.
Would be nice to have basis for this number.</t>
        </r>
      </text>
    </comment>
    <comment ref="AE49" authorId="0" shapeId="0" xr:uid="{00000000-0006-0000-0400-00005A000000}">
      <text>
        <r>
          <rPr>
            <sz val="8"/>
            <color indexed="81"/>
            <rFont val="Tahoma"/>
            <family val="2"/>
          </rPr>
          <t>Jim Anderson:
increasing this value has greatest impact on BEV&gt;PHEV&gt;FCV&gt;HEV.
Would be nice to have basis for this number.</t>
        </r>
      </text>
    </comment>
    <comment ref="W67" authorId="0" shapeId="0" xr:uid="{00000000-0006-0000-0400-00005B000000}">
      <text>
        <r>
          <rPr>
            <b/>
            <sz val="8"/>
            <color indexed="81"/>
            <rFont val="Tahoma"/>
            <family val="2"/>
          </rPr>
          <t>Jim Anderson:</t>
        </r>
        <r>
          <rPr>
            <sz val="8"/>
            <color indexed="81"/>
            <rFont val="Tahoma"/>
            <family val="2"/>
          </rPr>
          <t xml:space="preserve">
Ballard in 2007 estimates cost at $65/kW at high volume. http://phx.corporate-ir.net/phoenix.zhtml?c=76046&amp;p=irol-newsArticle&amp;ID=985592&amp;highlight=</t>
        </r>
      </text>
    </comment>
    <comment ref="X67" authorId="0" shapeId="0" xr:uid="{00000000-0006-0000-0400-00005C000000}">
      <text>
        <r>
          <rPr>
            <sz val="8"/>
            <color indexed="81"/>
            <rFont val="Tahoma"/>
            <family val="2"/>
          </rPr>
          <t>$65/kWe: Ballard
$125/kWe: CONCAWE with 1.2$/euro
$95/kWe: midpoint (reference)</t>
        </r>
      </text>
    </comment>
    <comment ref="X68" authorId="0" shapeId="0" xr:uid="{00000000-0006-0000-0400-00005D000000}">
      <text>
        <r>
          <rPr>
            <sz val="8"/>
            <color indexed="81"/>
            <rFont val="Tahoma"/>
            <family val="2"/>
          </rPr>
          <t>$1000/GJ - GET 1.0; 
$1300/GJ (based on CONCAWE 2010+)
$1150/GJ (midpoint, reference)</t>
        </r>
      </text>
    </comment>
    <comment ref="X69" authorId="0" shapeId="0" xr:uid="{00000000-0006-0000-0400-00005E000000}">
      <text>
        <r>
          <rPr>
            <sz val="8"/>
            <color indexed="81"/>
            <rFont val="Tahoma"/>
            <family val="2"/>
          </rPr>
          <t>$2000 GET 1.0, implies something cheaper than compressed gas based on NG storage cost; 
$1000 (midway between DOE targets)
$3000 (essentially the CONCAWE value)</t>
        </r>
      </text>
    </comment>
    <comment ref="X70" authorId="0" shapeId="0" xr:uid="{00000000-0006-0000-0400-00005F000000}">
      <text>
        <r>
          <rPr>
            <sz val="8"/>
            <color indexed="81"/>
            <rFont val="Tahoma"/>
            <family val="2"/>
          </rPr>
          <t>Current battery cost ($600/kWh, per Ford), USABC target ($100/kWh)</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Jim Anderson</author>
    <author>Maria Grahn</author>
    <author>mwilli89</author>
  </authors>
  <commentList>
    <comment ref="AI1" authorId="0" shapeId="0" xr:uid="{00000000-0006-0000-0500-000001000000}">
      <text>
        <r>
          <rPr>
            <b/>
            <sz val="8"/>
            <color indexed="81"/>
            <rFont val="Tahoma"/>
            <family val="2"/>
          </rPr>
          <t>Jim Anderson:</t>
        </r>
        <r>
          <rPr>
            <sz val="8"/>
            <color indexed="81"/>
            <rFont val="Tahoma"/>
            <family val="2"/>
          </rPr>
          <t xml:space="preserve">
http://en.wikipedia.org/wiki/Prius</t>
        </r>
      </text>
    </comment>
    <comment ref="AL1" authorId="0" shapeId="0" xr:uid="{00000000-0006-0000-0500-000002000000}">
      <text>
        <r>
          <rPr>
            <b/>
            <sz val="8"/>
            <color indexed="81"/>
            <rFont val="Tahoma"/>
            <family val="2"/>
          </rPr>
          <t>Jim Anderson:</t>
        </r>
        <r>
          <rPr>
            <sz val="8"/>
            <color indexed="81"/>
            <rFont val="Tahoma"/>
            <family val="2"/>
          </rPr>
          <t xml:space="preserve">
http://en.wikipedia.org/wiki/Chevrolet_Volt</t>
        </r>
      </text>
    </comment>
    <comment ref="F7" authorId="0" shapeId="0" xr:uid="{00000000-0006-0000-0500-000003000000}">
      <text>
        <r>
          <rPr>
            <b/>
            <sz val="8"/>
            <color indexed="81"/>
            <rFont val="Tahoma"/>
            <family val="2"/>
          </rPr>
          <t>Jim Anderson:</t>
        </r>
        <r>
          <rPr>
            <sz val="8"/>
            <color indexed="81"/>
            <rFont val="Tahoma"/>
            <family val="2"/>
          </rPr>
          <t xml:space="preserve">
Currently used for calculating battery kWhr for all-electric range, but not used for overall PT efficiency calculation.</t>
        </r>
      </text>
    </comment>
    <comment ref="G7" authorId="0" shapeId="0" xr:uid="{00000000-0006-0000-0500-000004000000}">
      <text>
        <r>
          <rPr>
            <b/>
            <sz val="8"/>
            <color indexed="81"/>
            <rFont val="Tahoma"/>
            <family val="2"/>
          </rPr>
          <t>Jim Anderson:</t>
        </r>
        <r>
          <rPr>
            <sz val="8"/>
            <color indexed="81"/>
            <rFont val="Tahoma"/>
            <family val="2"/>
          </rPr>
          <t xml:space="preserve">
Currently used for calculating battery kWhr for all-electric range, but not used for overall PT efficiency calculation.</t>
        </r>
      </text>
    </comment>
    <comment ref="H7" authorId="0" shapeId="0" xr:uid="{00000000-0006-0000-0500-000005000000}">
      <text>
        <r>
          <rPr>
            <b/>
            <sz val="8"/>
            <color indexed="81"/>
            <rFont val="Tahoma"/>
            <family val="2"/>
          </rPr>
          <t>Jim Anderson:</t>
        </r>
        <r>
          <rPr>
            <sz val="8"/>
            <color indexed="81"/>
            <rFont val="Tahoma"/>
            <family val="2"/>
          </rPr>
          <t xml:space="preserve">
Currently used for calculating battery kWhr for all-electric range, but not used for overall PT efficiency calculation.</t>
        </r>
      </text>
    </comment>
    <comment ref="I7" authorId="0" shapeId="0" xr:uid="{00000000-0006-0000-0500-000006000000}">
      <text>
        <r>
          <rPr>
            <b/>
            <sz val="8"/>
            <color indexed="81"/>
            <rFont val="Tahoma"/>
            <family val="2"/>
          </rPr>
          <t>Jim Anderson:</t>
        </r>
        <r>
          <rPr>
            <sz val="8"/>
            <color indexed="81"/>
            <rFont val="Tahoma"/>
            <family val="2"/>
          </rPr>
          <t xml:space="preserve">
Currently used for calculating battery kWhr for all-electric range, but not used for overall PT efficiency calculation.</t>
        </r>
      </text>
    </comment>
    <comment ref="J7" authorId="0" shapeId="0" xr:uid="{00000000-0006-0000-0500-000007000000}">
      <text>
        <r>
          <rPr>
            <b/>
            <sz val="8"/>
            <color indexed="81"/>
            <rFont val="Tahoma"/>
            <family val="2"/>
          </rPr>
          <t>Jim Anderson:</t>
        </r>
        <r>
          <rPr>
            <sz val="8"/>
            <color indexed="81"/>
            <rFont val="Tahoma"/>
            <family val="2"/>
          </rPr>
          <t xml:space="preserve">
Currently used for calculating battery kWhr for all-electric range, but not used for overall PT efficiency calculation.</t>
        </r>
      </text>
    </comment>
    <comment ref="B8" authorId="0" shapeId="0" xr:uid="{00000000-0006-0000-0500-000008000000}">
      <text>
        <r>
          <rPr>
            <b/>
            <sz val="8"/>
            <color indexed="81"/>
            <rFont val="Tahoma"/>
            <family val="2"/>
          </rPr>
          <t>Jim Anderson:</t>
        </r>
        <r>
          <rPr>
            <sz val="8"/>
            <color indexed="81"/>
            <rFont val="Tahoma"/>
            <family val="2"/>
          </rPr>
          <t xml:space="preserve">
From NewTable_Trsp-conv file from Maria</t>
        </r>
      </text>
    </comment>
    <comment ref="F8" authorId="0" shapeId="0" xr:uid="{00000000-0006-0000-0500-000009000000}">
      <text>
        <r>
          <rPr>
            <b/>
            <sz val="8"/>
            <color indexed="81"/>
            <rFont val="Tahoma"/>
            <family val="2"/>
          </rPr>
          <t>Jim Anderson:</t>
        </r>
        <r>
          <rPr>
            <sz val="8"/>
            <color indexed="81"/>
            <rFont val="Tahoma"/>
            <family val="2"/>
          </rPr>
          <t xml:space="preserve">
Year 2050 Petro ICE efficiency x 1.3</t>
        </r>
      </text>
    </comment>
    <comment ref="G8" authorId="0" shapeId="0" xr:uid="{00000000-0006-0000-0500-00000A000000}">
      <text>
        <r>
          <rPr>
            <b/>
            <sz val="8"/>
            <color indexed="81"/>
            <rFont val="Tahoma"/>
            <family val="2"/>
          </rPr>
          <t>Jim Anderson:</t>
        </r>
        <r>
          <rPr>
            <sz val="8"/>
            <color indexed="81"/>
            <rFont val="Tahoma"/>
            <family val="2"/>
          </rPr>
          <t xml:space="preserve">
Year 2050 Petro ICE efficiency x 1.3</t>
        </r>
      </text>
    </comment>
    <comment ref="H8" authorId="0" shapeId="0" xr:uid="{00000000-0006-0000-0500-00000B000000}">
      <text>
        <r>
          <rPr>
            <b/>
            <sz val="8"/>
            <color indexed="81"/>
            <rFont val="Tahoma"/>
            <family val="2"/>
          </rPr>
          <t>Jim Anderson:</t>
        </r>
        <r>
          <rPr>
            <sz val="8"/>
            <color indexed="81"/>
            <rFont val="Tahoma"/>
            <family val="2"/>
          </rPr>
          <t xml:space="preserve">
Year 2050 Petro ICE efficiency x 1.3</t>
        </r>
      </text>
    </comment>
    <comment ref="I8" authorId="0" shapeId="0" xr:uid="{00000000-0006-0000-0500-00000C000000}">
      <text>
        <r>
          <rPr>
            <b/>
            <sz val="8"/>
            <color indexed="81"/>
            <rFont val="Tahoma"/>
            <family val="2"/>
          </rPr>
          <t>Jim Anderson:</t>
        </r>
        <r>
          <rPr>
            <sz val="8"/>
            <color indexed="81"/>
            <rFont val="Tahoma"/>
            <family val="2"/>
          </rPr>
          <t xml:space="preserve">
Year 2050 Petro ICE efficiency x 1.3</t>
        </r>
      </text>
    </comment>
    <comment ref="J8" authorId="0" shapeId="0" xr:uid="{00000000-0006-0000-0500-00000D000000}">
      <text>
        <r>
          <rPr>
            <b/>
            <sz val="8"/>
            <color indexed="81"/>
            <rFont val="Tahoma"/>
            <family val="2"/>
          </rPr>
          <t>Jim Anderson:</t>
        </r>
        <r>
          <rPr>
            <sz val="8"/>
            <color indexed="81"/>
            <rFont val="Tahoma"/>
            <family val="2"/>
          </rPr>
          <t xml:space="preserve">
Assume other efficiencies are the ones that vary to give temporal change in overall efficiency (not electric motor).</t>
        </r>
      </text>
    </comment>
    <comment ref="L8" authorId="0" shapeId="0" xr:uid="{00000000-0006-0000-0500-00000E000000}">
      <text>
        <r>
          <rPr>
            <b/>
            <sz val="8"/>
            <color indexed="81"/>
            <rFont val="Tahoma"/>
            <family val="2"/>
          </rPr>
          <t>Jim Anderson:</t>
        </r>
        <r>
          <rPr>
            <sz val="8"/>
            <color indexed="81"/>
            <rFont val="Tahoma"/>
            <family val="2"/>
          </rPr>
          <t xml:space="preserve">
Assume other efficiencies are the ones that vary to give temporal change in overall efficiency (not electric motor).</t>
        </r>
      </text>
    </comment>
    <comment ref="O8" authorId="0" shapeId="0" xr:uid="{00000000-0006-0000-0500-00000F000000}">
      <text>
        <r>
          <rPr>
            <b/>
            <sz val="8"/>
            <color indexed="81"/>
            <rFont val="Tahoma"/>
            <family val="2"/>
          </rPr>
          <t>Jim Anderson:</t>
        </r>
        <r>
          <rPr>
            <sz val="8"/>
            <color indexed="81"/>
            <rFont val="Tahoma"/>
            <family val="2"/>
          </rPr>
          <t xml:space="preserve">
Assume other efficiencies are the ones that vary to give temporal change in overall efficiency (not electric motor).</t>
        </r>
      </text>
    </comment>
    <comment ref="R8" authorId="0" shapeId="0" xr:uid="{00000000-0006-0000-0500-000010000000}">
      <text>
        <r>
          <rPr>
            <b/>
            <sz val="8"/>
            <color indexed="81"/>
            <rFont val="Tahoma"/>
            <family val="2"/>
          </rPr>
          <t>Jim Anderson:</t>
        </r>
        <r>
          <rPr>
            <sz val="8"/>
            <color indexed="81"/>
            <rFont val="Tahoma"/>
            <family val="2"/>
          </rPr>
          <t xml:space="preserve">
Assume other efficiencies are the ones that vary to give temporal change in overall efficiency (not electric motor).</t>
        </r>
      </text>
    </comment>
    <comment ref="U8" authorId="0" shapeId="0" xr:uid="{00000000-0006-0000-0500-000011000000}">
      <text>
        <r>
          <rPr>
            <b/>
            <sz val="8"/>
            <color indexed="81"/>
            <rFont val="Tahoma"/>
            <family val="2"/>
          </rPr>
          <t>Jim Anderson:</t>
        </r>
        <r>
          <rPr>
            <sz val="8"/>
            <color indexed="81"/>
            <rFont val="Tahoma"/>
            <family val="2"/>
          </rPr>
          <t xml:space="preserve">
Assume other efficiencies are the ones that vary to give temporal change in overall efficiency (not electric motor).</t>
        </r>
      </text>
    </comment>
    <comment ref="X8" authorId="0" shapeId="0" xr:uid="{00000000-0006-0000-0500-000012000000}">
      <text>
        <r>
          <rPr>
            <b/>
            <sz val="8"/>
            <color indexed="81"/>
            <rFont val="Tahoma"/>
            <family val="2"/>
          </rPr>
          <t>Jim Anderson:</t>
        </r>
        <r>
          <rPr>
            <sz val="8"/>
            <color indexed="81"/>
            <rFont val="Tahoma"/>
            <family val="2"/>
          </rPr>
          <t xml:space="preserve">
Assume other efficiencies are the ones that vary to give temporal change in overall efficiency (not electric motor).</t>
        </r>
      </text>
    </comment>
    <comment ref="A10" authorId="0" shapeId="0" xr:uid="{00000000-0006-0000-0500-000013000000}">
      <text>
        <r>
          <rPr>
            <b/>
            <sz val="8"/>
            <color indexed="81"/>
            <rFont val="Tahoma"/>
            <family val="2"/>
          </rPr>
          <t>Jim Anderson:</t>
        </r>
        <r>
          <rPr>
            <sz val="8"/>
            <color indexed="81"/>
            <rFont val="Tahoma"/>
            <family val="2"/>
          </rPr>
          <t xml:space="preserve">
These vehicle energy use figures based on assumptions in the VehicleEfficiency spreadsheet. Higher values required for advanced technologies due to added weight. Note that value was initially 0.4 for all vehicles in this spreadsheet.</t>
        </r>
      </text>
    </comment>
    <comment ref="B10" authorId="0" shapeId="0" xr:uid="{00000000-0006-0000-0500-000014000000}">
      <text>
        <r>
          <rPr>
            <b/>
            <sz val="8"/>
            <color indexed="81"/>
            <rFont val="Tahoma"/>
            <family val="2"/>
          </rPr>
          <t>Jim Anderson:</t>
        </r>
        <r>
          <rPr>
            <sz val="8"/>
            <color indexed="81"/>
            <rFont val="Tahoma"/>
            <family val="2"/>
          </rPr>
          <t xml:space="preserve">
From Maria on 5-3-08</t>
        </r>
      </text>
    </comment>
    <comment ref="AL10" authorId="0" shapeId="0" xr:uid="{00000000-0006-0000-0500-000015000000}">
      <text>
        <r>
          <rPr>
            <b/>
            <sz val="8"/>
            <color indexed="81"/>
            <rFont val="Tahoma"/>
            <family val="2"/>
          </rPr>
          <t>Jim Anderson:</t>
        </r>
        <r>
          <rPr>
            <sz val="8"/>
            <color indexed="81"/>
            <rFont val="Tahoma"/>
            <family val="2"/>
          </rPr>
          <t xml:space="preserve">
ASSUMED FOR CALCS
</t>
        </r>
      </text>
    </comment>
    <comment ref="B14" authorId="1" shapeId="0" xr:uid="{00000000-0006-0000-0500-000016000000}">
      <text>
        <r>
          <rPr>
            <b/>
            <sz val="8"/>
            <color indexed="81"/>
            <rFont val="Tahoma"/>
            <family val="2"/>
          </rPr>
          <t>Maria Grahn:</t>
        </r>
        <r>
          <rPr>
            <sz val="8"/>
            <color indexed="81"/>
            <rFont val="Tahoma"/>
            <family val="2"/>
          </rPr>
          <t xml:space="preserve">
The drive range has been chosen 500 km (same as cars) even though conventional trucks more likely has 1000 km range. The reason for that is that with a higher storage cost it is likely that one may accept  the disadvanatge with stopping more often for fuel. </t>
        </r>
      </text>
    </comment>
    <comment ref="F15" authorId="2" shapeId="0" xr:uid="{00000000-0006-0000-0500-000017000000}">
      <text>
        <r>
          <rPr>
            <b/>
            <sz val="8"/>
            <color indexed="81"/>
            <rFont val="Tahoma"/>
            <family val="2"/>
          </rPr>
          <t>mwilli89:</t>
        </r>
        <r>
          <rPr>
            <sz val="8"/>
            <color indexed="81"/>
            <rFont val="Tahoma"/>
            <family val="2"/>
          </rPr>
          <t xml:space="preserve">
It is not relevant to calculate HEV battery cost from distance like this. 
</t>
        </r>
        <r>
          <rPr>
            <b/>
            <sz val="8"/>
            <color indexed="81"/>
            <rFont val="Tahoma"/>
            <family val="2"/>
          </rPr>
          <t xml:space="preserve">Jim Anderson:
</t>
        </r>
        <r>
          <rPr>
            <sz val="8"/>
            <color indexed="81"/>
            <rFont val="Tahoma"/>
            <family val="2"/>
          </rPr>
          <t xml:space="preserve">Prius all-elec range is reportedly a couple km, but is not run in charge-depletion mode. The battery capacity is thus not well reflected by range only. Therefore, battery capacity also needs incorporate storage factor (charge maintained between 60% and 40%).
</t>
        </r>
      </text>
    </comment>
    <comment ref="G15" authorId="2" shapeId="0" xr:uid="{00000000-0006-0000-0500-000018000000}">
      <text>
        <r>
          <rPr>
            <b/>
            <sz val="8"/>
            <color indexed="81"/>
            <rFont val="Tahoma"/>
            <family val="2"/>
          </rPr>
          <t>mwilli89:</t>
        </r>
        <r>
          <rPr>
            <sz val="8"/>
            <color indexed="81"/>
            <rFont val="Tahoma"/>
            <family val="2"/>
          </rPr>
          <t xml:space="preserve">
It is not relevant to calculate HEV battery cost from distance like this. 
</t>
        </r>
        <r>
          <rPr>
            <b/>
            <sz val="8"/>
            <color indexed="81"/>
            <rFont val="Tahoma"/>
            <family val="2"/>
          </rPr>
          <t xml:space="preserve">Jim Anderson:
</t>
        </r>
        <r>
          <rPr>
            <sz val="8"/>
            <color indexed="81"/>
            <rFont val="Tahoma"/>
            <family val="2"/>
          </rPr>
          <t xml:space="preserve">Prius all-elec range is reportedly a couple km, but is not run in charge-depletion mode. The battery capacity is thus not well reflected by range only. Therefore, battery capacity also needs incorporate storage factor (charge maintained between 60% and 40%).
</t>
        </r>
      </text>
    </comment>
    <comment ref="H15" authorId="2" shapeId="0" xr:uid="{00000000-0006-0000-0500-000019000000}">
      <text>
        <r>
          <rPr>
            <b/>
            <sz val="8"/>
            <color indexed="81"/>
            <rFont val="Tahoma"/>
            <family val="2"/>
          </rPr>
          <t>mwilli89:</t>
        </r>
        <r>
          <rPr>
            <sz val="8"/>
            <color indexed="81"/>
            <rFont val="Tahoma"/>
            <family val="2"/>
          </rPr>
          <t xml:space="preserve">
It is not relevant to calculate HEV battery cost from distance like this. 
</t>
        </r>
        <r>
          <rPr>
            <b/>
            <sz val="8"/>
            <color indexed="81"/>
            <rFont val="Tahoma"/>
            <family val="2"/>
          </rPr>
          <t xml:space="preserve">Jim Anderson:
</t>
        </r>
        <r>
          <rPr>
            <sz val="8"/>
            <color indexed="81"/>
            <rFont val="Tahoma"/>
            <family val="2"/>
          </rPr>
          <t xml:space="preserve">Prius all-elec range is reportedly a couple km, but is not run in charge-depletion mode. The battery capacity is thus not well reflected by range only. Therefore, battery capacity also needs incorporate storage factor (charge maintained between 60% and 40%).
</t>
        </r>
      </text>
    </comment>
    <comment ref="I15" authorId="2" shapeId="0" xr:uid="{00000000-0006-0000-0500-00001A000000}">
      <text>
        <r>
          <rPr>
            <b/>
            <sz val="8"/>
            <color indexed="81"/>
            <rFont val="Tahoma"/>
            <family val="2"/>
          </rPr>
          <t>mwilli89:</t>
        </r>
        <r>
          <rPr>
            <sz val="8"/>
            <color indexed="81"/>
            <rFont val="Tahoma"/>
            <family val="2"/>
          </rPr>
          <t xml:space="preserve">
It is not relevant to calculate HEV battery cost from distance like this. 
</t>
        </r>
        <r>
          <rPr>
            <b/>
            <sz val="8"/>
            <color indexed="81"/>
            <rFont val="Tahoma"/>
            <family val="2"/>
          </rPr>
          <t xml:space="preserve">Jim Anderson:
</t>
        </r>
        <r>
          <rPr>
            <sz val="8"/>
            <color indexed="81"/>
            <rFont val="Tahoma"/>
            <family val="2"/>
          </rPr>
          <t xml:space="preserve">Prius all-elec range is reportedly a couple km, but is not run in charge-depletion mode. The battery capacity is thus not well reflected by range only. Therefore, battery capacity also needs incorporate storage factor (charge maintained between 60% and 40%).
</t>
        </r>
      </text>
    </comment>
    <comment ref="J15" authorId="0" shapeId="0" xr:uid="{00000000-0006-0000-0500-00001B000000}">
      <text>
        <r>
          <rPr>
            <b/>
            <sz val="8"/>
            <color indexed="81"/>
            <rFont val="Tahoma"/>
            <family val="2"/>
          </rPr>
          <t>Jim Anderson:</t>
        </r>
        <r>
          <rPr>
            <sz val="8"/>
            <color indexed="81"/>
            <rFont val="Tahoma"/>
            <family val="2"/>
          </rPr>
          <t xml:space="preserve">
Arbitrarily selected as 40 percent of conventional drive range, i.e. 400 km if 1000 km is assumed for other trucks.</t>
        </r>
        <r>
          <rPr>
            <sz val="8"/>
            <color indexed="81"/>
            <rFont val="Tahoma"/>
            <family val="2"/>
          </rPr>
          <t xml:space="preserve"> May need to constrain penetration of BEVs as this is lower than 1000 km used for other vehicles.</t>
        </r>
      </text>
    </comment>
    <comment ref="A17" authorId="0" shapeId="0" xr:uid="{00000000-0006-0000-0500-00001C000000}">
      <text>
        <r>
          <rPr>
            <b/>
            <sz val="8"/>
            <color indexed="81"/>
            <rFont val="Tahoma"/>
            <family val="2"/>
          </rPr>
          <t>Jim Anderson:</t>
        </r>
        <r>
          <rPr>
            <sz val="8"/>
            <color indexed="81"/>
            <rFont val="Tahoma"/>
            <family val="2"/>
          </rPr>
          <t xml:space="preserve">
Current HEVs use battery in charge-sustaining mode and do not use entire state of charge (e.g., Prius operates in 20% window--between 60% and 40% of charge), thus storage factor is 5 = 1/0.2. 
For BEV and PHEV batteries operate in charge-depleting mode, thus storage factor is closer to 1.</t>
        </r>
      </text>
    </comment>
    <comment ref="J17" authorId="0" shapeId="0" xr:uid="{00000000-0006-0000-0500-00001D000000}">
      <text>
        <r>
          <rPr>
            <b/>
            <sz val="8"/>
            <color indexed="81"/>
            <rFont val="Tahoma"/>
            <family val="2"/>
          </rPr>
          <t>Jim Anderson:</t>
        </r>
        <r>
          <rPr>
            <sz val="8"/>
            <color indexed="81"/>
            <rFont val="Tahoma"/>
            <family val="2"/>
          </rPr>
          <t xml:space="preserve">
Assumes use of 80% of capacity in charge-depleting mode.</t>
        </r>
      </text>
    </comment>
    <comment ref="L17" authorId="0" shapeId="0" xr:uid="{00000000-0006-0000-0500-00001E000000}">
      <text>
        <r>
          <rPr>
            <b/>
            <sz val="8"/>
            <color indexed="81"/>
            <rFont val="Tahoma"/>
            <family val="2"/>
          </rPr>
          <t>Jim Anderson:</t>
        </r>
        <r>
          <rPr>
            <sz val="8"/>
            <color indexed="81"/>
            <rFont val="Tahoma"/>
            <family val="2"/>
          </rPr>
          <t xml:space="preserve">
Assumes use of 80% of capacity in charge-depleting mode.</t>
        </r>
      </text>
    </comment>
    <comment ref="O17" authorId="0" shapeId="0" xr:uid="{00000000-0006-0000-0500-00001F000000}">
      <text>
        <r>
          <rPr>
            <b/>
            <sz val="8"/>
            <color indexed="81"/>
            <rFont val="Tahoma"/>
            <family val="2"/>
          </rPr>
          <t>Jim Anderson:</t>
        </r>
        <r>
          <rPr>
            <sz val="8"/>
            <color indexed="81"/>
            <rFont val="Tahoma"/>
            <family val="2"/>
          </rPr>
          <t xml:space="preserve">
Assumes use of 80% of capacity in charge-depleting mode.</t>
        </r>
      </text>
    </comment>
    <comment ref="R17" authorId="0" shapeId="0" xr:uid="{00000000-0006-0000-0500-000020000000}">
      <text>
        <r>
          <rPr>
            <b/>
            <sz val="8"/>
            <color indexed="81"/>
            <rFont val="Tahoma"/>
            <family val="2"/>
          </rPr>
          <t>Jim Anderson:</t>
        </r>
        <r>
          <rPr>
            <sz val="8"/>
            <color indexed="81"/>
            <rFont val="Tahoma"/>
            <family val="2"/>
          </rPr>
          <t xml:space="preserve">
Assumes use of 80% of capacity in charge-depleting mode.</t>
        </r>
      </text>
    </comment>
    <comment ref="U17" authorId="0" shapeId="0" xr:uid="{00000000-0006-0000-0500-000021000000}">
      <text>
        <r>
          <rPr>
            <b/>
            <sz val="8"/>
            <color indexed="81"/>
            <rFont val="Tahoma"/>
            <family val="2"/>
          </rPr>
          <t>Jim Anderson:</t>
        </r>
        <r>
          <rPr>
            <sz val="8"/>
            <color indexed="81"/>
            <rFont val="Tahoma"/>
            <family val="2"/>
          </rPr>
          <t xml:space="preserve">
Assumes use of 80% of capacity in charge-depleting mode.</t>
        </r>
      </text>
    </comment>
    <comment ref="X17" authorId="0" shapeId="0" xr:uid="{00000000-0006-0000-0500-000022000000}">
      <text>
        <r>
          <rPr>
            <b/>
            <sz val="8"/>
            <color indexed="81"/>
            <rFont val="Tahoma"/>
            <family val="2"/>
          </rPr>
          <t>Jim Anderson:</t>
        </r>
        <r>
          <rPr>
            <sz val="8"/>
            <color indexed="81"/>
            <rFont val="Tahoma"/>
            <family val="2"/>
          </rPr>
          <t xml:space="preserve">
Assumes use of 80% of capacity in charge-depleting mode.</t>
        </r>
      </text>
    </comment>
    <comment ref="AI17" authorId="0" shapeId="0" xr:uid="{00000000-0006-0000-0500-000023000000}">
      <text>
        <r>
          <rPr>
            <b/>
            <sz val="8"/>
            <color indexed="81"/>
            <rFont val="Tahoma"/>
            <family val="2"/>
          </rPr>
          <t>Jim Anderson:</t>
        </r>
        <r>
          <rPr>
            <sz val="8"/>
            <color indexed="81"/>
            <rFont val="Tahoma"/>
            <family val="2"/>
          </rPr>
          <t xml:space="preserve">
Prius operates in 20% charge window--between 60% and 40% state of charge), thus storage factor is 5 = 1/0.2. </t>
        </r>
      </text>
    </comment>
    <comment ref="AJ17" authorId="0" shapeId="0" xr:uid="{00000000-0006-0000-0500-000024000000}">
      <text>
        <r>
          <rPr>
            <b/>
            <sz val="8"/>
            <color indexed="81"/>
            <rFont val="Tahoma"/>
            <family val="2"/>
          </rPr>
          <t>Jim Anderson:</t>
        </r>
        <r>
          <rPr>
            <sz val="8"/>
            <color indexed="81"/>
            <rFont val="Tahoma"/>
            <family val="2"/>
          </rPr>
          <t xml:space="preserve">
http://blogs.edmunds.com/GreenCarAdvisor/93</t>
        </r>
      </text>
    </comment>
    <comment ref="AL17" authorId="0" shapeId="0" xr:uid="{00000000-0006-0000-0500-000025000000}">
      <text>
        <r>
          <rPr>
            <b/>
            <sz val="8"/>
            <color indexed="81"/>
            <rFont val="Tahoma"/>
            <family val="2"/>
          </rPr>
          <t>Jim Anderson:</t>
        </r>
        <r>
          <rPr>
            <sz val="8"/>
            <color indexed="81"/>
            <rFont val="Tahoma"/>
            <family val="2"/>
          </rPr>
          <t xml:space="preserve">
State of charge will be maintained between 80% and 30%.</t>
        </r>
      </text>
    </comment>
    <comment ref="X19" authorId="0" shapeId="0" xr:uid="{00000000-0006-0000-0500-000026000000}">
      <text>
        <r>
          <rPr>
            <b/>
            <sz val="8"/>
            <color indexed="81"/>
            <rFont val="Tahoma"/>
            <family val="2"/>
          </rPr>
          <t>Jim Anderson:</t>
        </r>
        <r>
          <rPr>
            <sz val="8"/>
            <color indexed="81"/>
            <rFont val="Tahoma"/>
            <family val="2"/>
          </rPr>
          <t xml:space="preserve">
Volt reportedly has 16 kWh storage for 64 km range. Probably due to use of only half of battery state of charge (between 80% and 30%).</t>
        </r>
      </text>
    </comment>
    <comment ref="AK19" authorId="0" shapeId="0" xr:uid="{00000000-0006-0000-0500-000027000000}">
      <text>
        <r>
          <rPr>
            <b/>
            <sz val="8"/>
            <color indexed="81"/>
            <rFont val="Tahoma"/>
            <family val="2"/>
          </rPr>
          <t>Jim Anderson:</t>
        </r>
        <r>
          <rPr>
            <sz val="8"/>
            <color indexed="81"/>
            <rFont val="Tahoma"/>
            <family val="2"/>
          </rPr>
          <t xml:space="preserve">
http://blogs.edmunds.com/GreenCarAdvisor/93</t>
        </r>
      </text>
    </comment>
    <comment ref="A21" authorId="0" shapeId="0" xr:uid="{00000000-0006-0000-0500-000028000000}">
      <text>
        <r>
          <rPr>
            <b/>
            <sz val="8"/>
            <color indexed="81"/>
            <rFont val="Tahoma"/>
            <family val="2"/>
          </rPr>
          <t>Jim Anderson:</t>
        </r>
        <r>
          <rPr>
            <sz val="8"/>
            <color indexed="81"/>
            <rFont val="Tahoma"/>
            <family val="2"/>
          </rPr>
          <t xml:space="preserve">
Assumption in initial spreadsheet of 80 kWm motor requirement, presumably for maximum acceleration condition. This is not necessarily directly proportional to "min energy use", which includes wind and rolling resistance. Assume ICE motor and electric motor together need to provide 80 kW of mechanical energy output for most severe driving load.</t>
        </r>
      </text>
    </comment>
    <comment ref="AI23" authorId="0" shapeId="0" xr:uid="{00000000-0006-0000-0500-000029000000}">
      <text>
        <r>
          <rPr>
            <b/>
            <sz val="8"/>
            <color indexed="81"/>
            <rFont val="Tahoma"/>
            <family val="2"/>
          </rPr>
          <t>Jim Anderson:</t>
        </r>
        <r>
          <rPr>
            <sz val="8"/>
            <color indexed="81"/>
            <rFont val="Tahoma"/>
            <family val="2"/>
          </rPr>
          <t xml:space="preserve">
Electric motor spins IC engine up to speed during start-up.</t>
        </r>
      </text>
    </comment>
    <comment ref="AJ23" authorId="0" shapeId="0" xr:uid="{00000000-0006-0000-0500-00002A000000}">
      <text>
        <r>
          <rPr>
            <b/>
            <sz val="8"/>
            <color indexed="81"/>
            <rFont val="Tahoma"/>
            <family val="2"/>
          </rPr>
          <t>Jim Anderson:</t>
        </r>
        <r>
          <rPr>
            <sz val="8"/>
            <color indexed="81"/>
            <rFont val="Tahoma"/>
            <family val="2"/>
          </rPr>
          <t xml:space="preserve">
70 kW traction motor and 45 kW generator/motor</t>
        </r>
      </text>
    </comment>
    <comment ref="A27" authorId="0" shapeId="0" xr:uid="{00000000-0006-0000-0500-00002B000000}">
      <text>
        <r>
          <rPr>
            <b/>
            <sz val="8"/>
            <color indexed="81"/>
            <rFont val="Tahoma"/>
            <family val="2"/>
          </rPr>
          <t>Jim Anderson:</t>
        </r>
        <r>
          <rPr>
            <sz val="8"/>
            <color indexed="81"/>
            <rFont val="Tahoma"/>
            <family val="2"/>
          </rPr>
          <t xml:space="preserve">
Energy to motor is provided by ICE, fuel cell, and battery. After conversion efficiencies, together need to supply 80 kW mech output at motors. for most severe driving load.</t>
        </r>
      </text>
    </comment>
    <comment ref="A29" authorId="0" shapeId="0" xr:uid="{00000000-0006-0000-0500-00002C000000}">
      <text>
        <r>
          <rPr>
            <b/>
            <sz val="8"/>
            <color indexed="81"/>
            <rFont val="Tahoma"/>
            <family val="2"/>
          </rPr>
          <t>Jim Anderson:</t>
        </r>
        <r>
          <rPr>
            <sz val="8"/>
            <color indexed="81"/>
            <rFont val="Tahoma"/>
            <family val="2"/>
          </rPr>
          <t xml:space="preserve">
Assumed as fixed value.</t>
        </r>
      </text>
    </comment>
    <comment ref="Z29" authorId="1" shapeId="0" xr:uid="{00000000-0006-0000-0500-00002D000000}">
      <text>
        <r>
          <rPr>
            <b/>
            <sz val="9"/>
            <color indexed="81"/>
            <rFont val="Tahoma"/>
            <family val="2"/>
          </rPr>
          <t>Maria Grahn:</t>
        </r>
        <r>
          <rPr>
            <sz val="9"/>
            <color indexed="81"/>
            <rFont val="Tahoma"/>
            <family val="2"/>
          </rPr>
          <t xml:space="preserve">
50/80 is a "proportional factor" from cars multiplied with trucks mechanical output, i.e. a way of finding the FC power needed when run on FC. For cars a difference between 80kW mechanical power and 50 kW fuel cell.</t>
        </r>
      </text>
    </comment>
    <comment ref="AA29" authorId="1" shapeId="0" xr:uid="{00000000-0006-0000-0500-00002E000000}">
      <text>
        <r>
          <rPr>
            <b/>
            <sz val="9"/>
            <color indexed="81"/>
            <rFont val="Tahoma"/>
            <family val="2"/>
          </rPr>
          <t>Maria Grahn:</t>
        </r>
        <r>
          <rPr>
            <sz val="9"/>
            <color indexed="81"/>
            <rFont val="Tahoma"/>
            <family val="2"/>
          </rPr>
          <t xml:space="preserve">
Proportional factor from cars multiplied with trucks mechanical output, i.e. the factor lower power needed when run on FC. For cars a difference between 80kW mechanical power and 50 kW fuel cell.</t>
        </r>
      </text>
    </comment>
    <comment ref="AB29" authorId="1" shapeId="0" xr:uid="{00000000-0006-0000-0500-00002F000000}">
      <text>
        <r>
          <rPr>
            <b/>
            <sz val="9"/>
            <color indexed="81"/>
            <rFont val="Tahoma"/>
            <family val="2"/>
          </rPr>
          <t>Maria Grahn:</t>
        </r>
        <r>
          <rPr>
            <sz val="9"/>
            <color indexed="81"/>
            <rFont val="Tahoma"/>
            <family val="2"/>
          </rPr>
          <t xml:space="preserve">
Proportional factor from cars multiplied with trucks mechanical output, i.e. the factor lower power needed when run on FC. For cars a difference between 80kW mechanical power and 50 kW fuel cell.</t>
        </r>
      </text>
    </comment>
    <comment ref="A30" authorId="0" shapeId="0" xr:uid="{00000000-0006-0000-0500-000030000000}">
      <text>
        <r>
          <rPr>
            <b/>
            <sz val="8"/>
            <color indexed="81"/>
            <rFont val="Tahoma"/>
            <family val="2"/>
          </rPr>
          <t>Jim Anderson:</t>
        </r>
        <r>
          <rPr>
            <sz val="8"/>
            <color indexed="81"/>
            <rFont val="Tahoma"/>
            <family val="2"/>
          </rPr>
          <t xml:space="preserve">
Initially calculated as difference after accounting for supply from fuel cell or ICE, and accounting for elec motor efficiency of assumed 90% (higher than overall efficiency).
Now, all have peak battery related only to motor kW size (and including 90% batt efficiency).</t>
        </r>
      </text>
    </comment>
    <comment ref="Z30" authorId="1" shapeId="0" xr:uid="{00000000-0006-0000-0500-000031000000}">
      <text>
        <r>
          <rPr>
            <b/>
            <sz val="9"/>
            <color indexed="81"/>
            <rFont val="Tahoma"/>
            <family val="2"/>
          </rPr>
          <t>Maria Grahn:</t>
        </r>
        <r>
          <rPr>
            <sz val="9"/>
            <color indexed="81"/>
            <rFont val="Tahoma"/>
            <family val="2"/>
          </rPr>
          <t xml:space="preserve">
44/80 is a "proportional factor" from cars multiplied with trucks mechanical output, i.e. a way of finding the battery power needed when run on FC. For cars a difference between 80kW mechanical power and 44 kW fuel cell.</t>
        </r>
      </text>
    </comment>
    <comment ref="A38" authorId="0" shapeId="0" xr:uid="{00000000-0006-0000-0500-000032000000}">
      <text>
        <r>
          <rPr>
            <b/>
            <sz val="8"/>
            <color indexed="81"/>
            <rFont val="Tahoma"/>
            <family val="2"/>
          </rPr>
          <t>Jim Anderson:</t>
        </r>
        <r>
          <rPr>
            <sz val="8"/>
            <color indexed="81"/>
            <rFont val="Tahoma"/>
            <family val="2"/>
          </rPr>
          <t xml:space="preserve">
Assume peak driving speed of 100 mi/hr or 161 km/hr</t>
        </r>
      </text>
    </comment>
    <comment ref="A39" authorId="0" shapeId="0" xr:uid="{00000000-0006-0000-0500-000033000000}">
      <text>
        <r>
          <rPr>
            <b/>
            <sz val="8"/>
            <color indexed="81"/>
            <rFont val="Tahoma"/>
            <family val="2"/>
          </rPr>
          <t>Jim Anderson:</t>
        </r>
        <r>
          <rPr>
            <sz val="8"/>
            <color indexed="81"/>
            <rFont val="Tahoma"/>
            <family val="2"/>
          </rPr>
          <t xml:space="preserve">
Maximum sustained mechanical output for maximum driving speed</t>
        </r>
      </text>
    </comment>
    <comment ref="E43" authorId="0" shapeId="0" xr:uid="{00000000-0006-0000-0500-000034000000}">
      <text>
        <r>
          <rPr>
            <b/>
            <sz val="8"/>
            <color indexed="81"/>
            <rFont val="Tahoma"/>
            <family val="2"/>
          </rPr>
          <t>Jim Anderson:</t>
        </r>
        <r>
          <rPr>
            <sz val="8"/>
            <color indexed="81"/>
            <rFont val="Tahoma"/>
            <family val="2"/>
          </rPr>
          <t xml:space="preserve">
Ford estimate that H2 powertrain costs $5/kW more than gasoline</t>
        </r>
      </text>
    </comment>
    <comment ref="AB47" authorId="0" shapeId="0" xr:uid="{00000000-0006-0000-0500-000035000000}">
      <text>
        <r>
          <rPr>
            <b/>
            <sz val="8"/>
            <color indexed="81"/>
            <rFont val="Tahoma"/>
            <family val="2"/>
          </rPr>
          <t>Jim Anderson:</t>
        </r>
        <r>
          <rPr>
            <sz val="8"/>
            <color indexed="81"/>
            <rFont val="Tahoma"/>
            <family val="2"/>
          </rPr>
          <t xml:space="preserve">
Use same value as H2 ICE</t>
        </r>
      </text>
    </comment>
    <comment ref="F49" authorId="0" shapeId="0" xr:uid="{00000000-0006-0000-0500-000036000000}">
      <text>
        <r>
          <rPr>
            <sz val="8"/>
            <color indexed="81"/>
            <rFont val="Tahoma"/>
            <family val="2"/>
          </rPr>
          <t>Jim Anderson:
increasing this value has greatest impact on BEV&gt;PHEV&gt;FCV&gt;HEV.
Would be nice to have basis for this number.</t>
        </r>
      </text>
    </comment>
    <comment ref="G49" authorId="0" shapeId="0" xr:uid="{00000000-0006-0000-0500-000037000000}">
      <text>
        <r>
          <rPr>
            <sz val="8"/>
            <color indexed="81"/>
            <rFont val="Tahoma"/>
            <family val="2"/>
          </rPr>
          <t>Jim Anderson:
increasing this value has greatest impact on BEV&gt;PHEV&gt;FCV&gt;HEV.
Would be nice to have basis for this number.</t>
        </r>
      </text>
    </comment>
    <comment ref="H49" authorId="0" shapeId="0" xr:uid="{00000000-0006-0000-0500-000038000000}">
      <text>
        <r>
          <rPr>
            <sz val="8"/>
            <color indexed="81"/>
            <rFont val="Tahoma"/>
            <family val="2"/>
          </rPr>
          <t>Jim Anderson:
increasing this value has greatest impact on BEV&gt;PHEV&gt;FCV&gt;HEV.
Would be nice to have basis for this number.</t>
        </r>
      </text>
    </comment>
    <comment ref="I49" authorId="0" shapeId="0" xr:uid="{00000000-0006-0000-0500-000039000000}">
      <text>
        <r>
          <rPr>
            <sz val="8"/>
            <color indexed="81"/>
            <rFont val="Tahoma"/>
            <family val="2"/>
          </rPr>
          <t>Jim Anderson:
increasing this value has greatest impact on BEV&gt;PHEV&gt;FCV&gt;HEV.
Would be nice to have basis for this number.</t>
        </r>
      </text>
    </comment>
    <comment ref="W67" authorId="0" shapeId="0" xr:uid="{00000000-0006-0000-0500-00003A000000}">
      <text>
        <r>
          <rPr>
            <b/>
            <sz val="8"/>
            <color indexed="81"/>
            <rFont val="Tahoma"/>
            <family val="2"/>
          </rPr>
          <t>Jim Anderson:</t>
        </r>
        <r>
          <rPr>
            <sz val="8"/>
            <color indexed="81"/>
            <rFont val="Tahoma"/>
            <family val="2"/>
          </rPr>
          <t xml:space="preserve">
Ballard in 2007 estimates cost at $65/kW at high volume. http://phx.corporate-ir.net/phoenix.zhtml?c=76046&amp;p=irol-newsArticle&amp;ID=985592&amp;highlight=</t>
        </r>
      </text>
    </comment>
    <comment ref="X67" authorId="0" shapeId="0" xr:uid="{00000000-0006-0000-0500-00003B000000}">
      <text>
        <r>
          <rPr>
            <sz val="8"/>
            <color indexed="81"/>
            <rFont val="Tahoma"/>
            <family val="2"/>
          </rPr>
          <t>$65/kWe: Ballard
$125/kWe: CONCAWE with 1.2$/euro
$95/kWe: midpoint (reference)</t>
        </r>
      </text>
    </comment>
    <comment ref="X68" authorId="0" shapeId="0" xr:uid="{00000000-0006-0000-0500-00003C000000}">
      <text>
        <r>
          <rPr>
            <sz val="8"/>
            <color indexed="81"/>
            <rFont val="Tahoma"/>
            <family val="2"/>
          </rPr>
          <t>$1000/GJ - GET 1.0; 
$1300/GJ (based on CONCAWE 2010+)
$1150/GJ (midpoint, reference)</t>
        </r>
      </text>
    </comment>
    <comment ref="X69" authorId="0" shapeId="0" xr:uid="{00000000-0006-0000-0500-00003D000000}">
      <text>
        <r>
          <rPr>
            <sz val="8"/>
            <color indexed="81"/>
            <rFont val="Tahoma"/>
            <family val="2"/>
          </rPr>
          <t>$2000 GET 1.0, implies something cheaper than compressed gas based on NG storage cost; 
$1000 (midway between DOE targets)
$3000 (essentially the CONCAWE value)</t>
        </r>
      </text>
    </comment>
    <comment ref="W70" authorId="0" shapeId="0" xr:uid="{00000000-0006-0000-0500-00003E000000}">
      <text/>
    </comment>
    <comment ref="X70" authorId="0" shapeId="0" xr:uid="{00000000-0006-0000-0500-00003F000000}">
      <text>
        <r>
          <rPr>
            <sz val="8"/>
            <color indexed="81"/>
            <rFont val="Tahoma"/>
            <family val="2"/>
          </rPr>
          <t>Current battery cost ($600/kWh, per Ford), USABC target ($100/kWh)</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Selma Bengtsson</author>
    <author>Jim Anderson</author>
    <author>Maria Grahn</author>
  </authors>
  <commentList>
    <comment ref="I1" authorId="0" shapeId="0" xr:uid="{00000000-0006-0000-0600-000001000000}">
      <text>
        <r>
          <rPr>
            <b/>
            <sz val="9"/>
            <color indexed="81"/>
            <rFont val="Tahoma"/>
            <family val="2"/>
          </rPr>
          <t>Selma Bengtsson:</t>
        </r>
        <r>
          <rPr>
            <sz val="9"/>
            <color indexed="81"/>
            <rFont val="Tahoma"/>
            <family val="2"/>
          </rPr>
          <t xml:space="preserve">
Will this be possible?</t>
        </r>
      </text>
    </comment>
    <comment ref="I7" authorId="1" shapeId="0" xr:uid="{00000000-0006-0000-0600-000002000000}">
      <text>
        <r>
          <rPr>
            <b/>
            <sz val="8"/>
            <color indexed="81"/>
            <rFont val="Tahoma"/>
            <family val="2"/>
          </rPr>
          <t>Jim Anderson:</t>
        </r>
        <r>
          <rPr>
            <sz val="8"/>
            <color indexed="81"/>
            <rFont val="Tahoma"/>
            <family val="2"/>
          </rPr>
          <t xml:space="preserve">
Currently used for calculating battery kWhr for all-electric range, but not used for overall PT efficiency calculation.</t>
        </r>
      </text>
    </comment>
    <comment ref="K7" authorId="1" shapeId="0" xr:uid="{00000000-0006-0000-0600-000003000000}">
      <text>
        <r>
          <rPr>
            <b/>
            <sz val="8"/>
            <color indexed="81"/>
            <rFont val="Tahoma"/>
            <family val="2"/>
          </rPr>
          <t>Jim Anderson:</t>
        </r>
        <r>
          <rPr>
            <sz val="8"/>
            <color indexed="81"/>
            <rFont val="Tahoma"/>
            <family val="2"/>
          </rPr>
          <t xml:space="preserve">
Currently used for calculating battery kWhr for all-electric range, but not used for overall PT efficiency calculation.</t>
        </r>
      </text>
    </comment>
    <comment ref="L7" authorId="1" shapeId="0" xr:uid="{00000000-0006-0000-0600-000004000000}">
      <text>
        <r>
          <rPr>
            <b/>
            <sz val="8"/>
            <color indexed="81"/>
            <rFont val="Tahoma"/>
            <family val="2"/>
          </rPr>
          <t>Jim Anderson:</t>
        </r>
        <r>
          <rPr>
            <sz val="8"/>
            <color indexed="81"/>
            <rFont val="Tahoma"/>
            <family val="2"/>
          </rPr>
          <t xml:space="preserve">
Currently used for calculating battery kWhr for all-electric range, but not used for overall PT efficiency calculation.</t>
        </r>
      </text>
    </comment>
    <comment ref="N7" authorId="1" shapeId="0" xr:uid="{00000000-0006-0000-0600-000005000000}">
      <text>
        <r>
          <rPr>
            <b/>
            <sz val="8"/>
            <color indexed="81"/>
            <rFont val="Tahoma"/>
            <family val="2"/>
          </rPr>
          <t>Jim Anderson:</t>
        </r>
        <r>
          <rPr>
            <sz val="8"/>
            <color indexed="81"/>
            <rFont val="Tahoma"/>
            <family val="2"/>
          </rPr>
          <t xml:space="preserve">
Currently used for calculating battery kWhr for all-electric range, but not used for overall PT efficiency calculation.</t>
        </r>
      </text>
    </comment>
    <comment ref="A11" authorId="1" shapeId="0" xr:uid="{00000000-0006-0000-0600-000006000000}">
      <text>
        <r>
          <rPr>
            <b/>
            <sz val="8"/>
            <color indexed="81"/>
            <rFont val="Tahoma"/>
            <family val="2"/>
          </rPr>
          <t>Jim Anderson:</t>
        </r>
        <r>
          <rPr>
            <sz val="8"/>
            <color indexed="81"/>
            <rFont val="Tahoma"/>
            <family val="2"/>
          </rPr>
          <t xml:space="preserve">
These vehicle energy use figures based on assumptions in the VehicleEfficiency spreadsheet. Higher values required for advanced technologies due to added weight. Note that value was initially 0.4 for all vehicles in this spreadsheet.</t>
        </r>
      </text>
    </comment>
    <comment ref="B11" authorId="1" shapeId="0" xr:uid="{00000000-0006-0000-0600-000007000000}">
      <text>
        <r>
          <rPr>
            <b/>
            <sz val="8"/>
            <color indexed="81"/>
            <rFont val="Tahoma"/>
            <family val="2"/>
          </rPr>
          <t>Jim Anderson:</t>
        </r>
        <r>
          <rPr>
            <sz val="8"/>
            <color indexed="81"/>
            <rFont val="Tahoma"/>
            <family val="2"/>
          </rPr>
          <t xml:space="preserve">
From Maria on 5-3-08</t>
        </r>
      </text>
    </comment>
    <comment ref="A29" authorId="1" shapeId="0" xr:uid="{00000000-0006-0000-0600-000008000000}">
      <text>
        <r>
          <rPr>
            <b/>
            <sz val="8"/>
            <color indexed="81"/>
            <rFont val="Tahoma"/>
            <family val="2"/>
          </rPr>
          <t>Jim Anderson:</t>
        </r>
        <r>
          <rPr>
            <sz val="8"/>
            <color indexed="81"/>
            <rFont val="Tahoma"/>
            <family val="2"/>
          </rPr>
          <t xml:space="preserve">
Energy to motor is provided by ICE, fuel cell, and battery. After conversion efficiencies, together need to supply 80 kW mech output at motors. for most severe driving load.</t>
        </r>
      </text>
    </comment>
    <comment ref="A31" authorId="1" shapeId="0" xr:uid="{00000000-0006-0000-0600-000009000000}">
      <text>
        <r>
          <rPr>
            <b/>
            <sz val="8"/>
            <color indexed="81"/>
            <rFont val="Tahoma"/>
            <family val="2"/>
          </rPr>
          <t>Jim Anderson:</t>
        </r>
        <r>
          <rPr>
            <sz val="8"/>
            <color indexed="81"/>
            <rFont val="Tahoma"/>
            <family val="2"/>
          </rPr>
          <t xml:space="preserve">
Assumed as fixed value.</t>
        </r>
      </text>
    </comment>
    <comment ref="I31" authorId="2" shapeId="0" xr:uid="{00000000-0006-0000-0600-00000A000000}">
      <text>
        <r>
          <rPr>
            <b/>
            <sz val="9"/>
            <color indexed="81"/>
            <rFont val="Tahoma"/>
            <family val="2"/>
          </rPr>
          <t>Maria Grahn:</t>
        </r>
        <r>
          <rPr>
            <sz val="9"/>
            <color indexed="81"/>
            <rFont val="Tahoma"/>
            <family val="2"/>
          </rPr>
          <t xml:space="preserve">
50/80 is a "proportional factor" from cars multiplied with trucks mechanical output, i.e. a way of finding the FC power needed when run on FC. For cars a difference between 80kW mechanical power and 50 kW fuel cell.</t>
        </r>
      </text>
    </comment>
    <comment ref="K31" authorId="2" shapeId="0" xr:uid="{00000000-0006-0000-0600-00000B000000}">
      <text>
        <r>
          <rPr>
            <b/>
            <sz val="9"/>
            <color indexed="81"/>
            <rFont val="Tahoma"/>
            <family val="2"/>
          </rPr>
          <t>Maria Grahn:</t>
        </r>
        <r>
          <rPr>
            <sz val="9"/>
            <color indexed="81"/>
            <rFont val="Tahoma"/>
            <family val="2"/>
          </rPr>
          <t xml:space="preserve">
Proportional factor from cars multiplied with trucks mechanical output, i.e. the factor lower power needed when run on FC. For cars a difference between 80kW mechanical power and 50 kW fuel cell.</t>
        </r>
      </text>
    </comment>
    <comment ref="L31" authorId="2" shapeId="0" xr:uid="{00000000-0006-0000-0600-00000C000000}">
      <text>
        <r>
          <rPr>
            <b/>
            <sz val="9"/>
            <color indexed="81"/>
            <rFont val="Tahoma"/>
            <family val="2"/>
          </rPr>
          <t>Maria Grahn:</t>
        </r>
        <r>
          <rPr>
            <sz val="9"/>
            <color indexed="81"/>
            <rFont val="Tahoma"/>
            <family val="2"/>
          </rPr>
          <t xml:space="preserve">
Proportional factor from cars multiplied with trucks mechanical output, i.e. the factor lower power needed when run on FC. For cars a difference between 80kW mechanical power and 50 kW fuel cell.</t>
        </r>
      </text>
    </comment>
    <comment ref="N31" authorId="2" shapeId="0" xr:uid="{00000000-0006-0000-0600-00000D000000}">
      <text>
        <r>
          <rPr>
            <b/>
            <sz val="9"/>
            <color indexed="81"/>
            <rFont val="Tahoma"/>
            <family val="2"/>
          </rPr>
          <t>Maria Grahn:</t>
        </r>
        <r>
          <rPr>
            <sz val="9"/>
            <color indexed="81"/>
            <rFont val="Tahoma"/>
            <family val="2"/>
          </rPr>
          <t xml:space="preserve">
Proportional factor from cars multiplied with trucks mechanical output, i.e. the factor lower power needed when run on FC. For cars a difference between 80kW mechanical power and 50 kW fuel cell.</t>
        </r>
      </text>
    </comment>
    <comment ref="A32" authorId="1" shapeId="0" xr:uid="{00000000-0006-0000-0600-00000E000000}">
      <text>
        <r>
          <rPr>
            <b/>
            <sz val="8"/>
            <color indexed="81"/>
            <rFont val="Tahoma"/>
            <family val="2"/>
          </rPr>
          <t>Jim Anderson:</t>
        </r>
        <r>
          <rPr>
            <sz val="8"/>
            <color indexed="81"/>
            <rFont val="Tahoma"/>
            <family val="2"/>
          </rPr>
          <t xml:space="preserve">
Initially calculated as difference after accounting for supply from fuel cell or ICE, and accounting for elec motor efficiency of assumed 90% (higher than overall efficiency).
Now, all have peak battery related only to motor kW size (and including 90% batt efficiency).</t>
        </r>
      </text>
    </comment>
    <comment ref="I32" authorId="2" shapeId="0" xr:uid="{00000000-0006-0000-0600-00000F000000}">
      <text>
        <r>
          <rPr>
            <b/>
            <sz val="9"/>
            <color indexed="81"/>
            <rFont val="Tahoma"/>
            <family val="2"/>
          </rPr>
          <t>Maria Grahn:</t>
        </r>
        <r>
          <rPr>
            <sz val="9"/>
            <color indexed="81"/>
            <rFont val="Tahoma"/>
            <family val="2"/>
          </rPr>
          <t xml:space="preserve">
44/80 is a "proportional factor" from cars multiplied with trucks mechanical output, i.e. a way of finding the battery power needed when run on FC. For cars a difference between 80kW mechanical power and 44 kW fuel cell.</t>
        </r>
      </text>
    </comment>
    <comment ref="H35" authorId="1" shapeId="0" xr:uid="{00000000-0006-0000-0600-000010000000}">
      <text>
        <r>
          <rPr>
            <b/>
            <sz val="8"/>
            <color indexed="81"/>
            <rFont val="Tahoma"/>
            <family val="2"/>
          </rPr>
          <t>Jim Anderson:</t>
        </r>
        <r>
          <rPr>
            <sz val="8"/>
            <color indexed="81"/>
            <rFont val="Tahoma"/>
            <family val="2"/>
          </rPr>
          <t xml:space="preserve">
Ford estimate that H2 powertrain costs $5/kW more than gasoline</t>
        </r>
      </text>
    </comment>
    <comment ref="N42" authorId="1" shapeId="0" xr:uid="{00000000-0006-0000-0600-000011000000}">
      <text>
        <r>
          <rPr>
            <b/>
            <sz val="8"/>
            <color indexed="81"/>
            <rFont val="Tahoma"/>
            <family val="2"/>
          </rPr>
          <t>Jim Anderson:</t>
        </r>
        <r>
          <rPr>
            <sz val="8"/>
            <color indexed="81"/>
            <rFont val="Tahoma"/>
            <family val="2"/>
          </rPr>
          <t xml:space="preserve">
Use same value as H2 ICE</t>
        </r>
      </text>
    </comment>
    <comment ref="I92" authorId="0" shapeId="0" xr:uid="{00000000-0006-0000-0600-000012000000}">
      <text>
        <r>
          <rPr>
            <b/>
            <sz val="9"/>
            <color indexed="81"/>
            <rFont val="Tahoma"/>
            <family val="2"/>
          </rPr>
          <t>Selma Bengtsson:</t>
        </r>
        <r>
          <rPr>
            <sz val="9"/>
            <color indexed="81"/>
            <rFont val="Tahoma"/>
            <family val="2"/>
          </rPr>
          <t xml:space="preserve">
Will this be possible?</t>
        </r>
      </text>
    </comment>
    <comment ref="I98" authorId="0" shapeId="0" xr:uid="{00000000-0006-0000-0600-000013000000}">
      <text>
        <r>
          <rPr>
            <b/>
            <sz val="9"/>
            <color indexed="81"/>
            <rFont val="Tahoma"/>
            <family val="2"/>
          </rPr>
          <t>Selma Bengtsson:</t>
        </r>
        <r>
          <rPr>
            <sz val="9"/>
            <color indexed="81"/>
            <rFont val="Tahoma"/>
            <family val="2"/>
          </rPr>
          <t xml:space="preserve">
Will this be possible?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Selma Bengtsson</author>
    <author>Jim Anderson</author>
    <author>Maria Grahn</author>
  </authors>
  <commentList>
    <comment ref="I1" authorId="0" shapeId="0" xr:uid="{00000000-0006-0000-0800-000001000000}">
      <text>
        <r>
          <rPr>
            <b/>
            <sz val="9"/>
            <color indexed="81"/>
            <rFont val="Tahoma"/>
            <family val="2"/>
          </rPr>
          <t>Selma Bengtsson:</t>
        </r>
        <r>
          <rPr>
            <sz val="9"/>
            <color indexed="81"/>
            <rFont val="Tahoma"/>
            <family val="2"/>
          </rPr>
          <t xml:space="preserve">
Will this be possible?</t>
        </r>
      </text>
    </comment>
    <comment ref="I7" authorId="1" shapeId="0" xr:uid="{00000000-0006-0000-0800-000002000000}">
      <text>
        <r>
          <rPr>
            <b/>
            <sz val="8"/>
            <color indexed="81"/>
            <rFont val="Tahoma"/>
            <family val="2"/>
          </rPr>
          <t>Jim Anderson:</t>
        </r>
        <r>
          <rPr>
            <sz val="8"/>
            <color indexed="81"/>
            <rFont val="Tahoma"/>
            <family val="2"/>
          </rPr>
          <t xml:space="preserve">
Currently used for calculating battery kWhr for all-electric range, but not used for overall PT efficiency calculation.</t>
        </r>
      </text>
    </comment>
    <comment ref="K7" authorId="1" shapeId="0" xr:uid="{00000000-0006-0000-0800-000003000000}">
      <text>
        <r>
          <rPr>
            <b/>
            <sz val="8"/>
            <color indexed="81"/>
            <rFont val="Tahoma"/>
            <family val="2"/>
          </rPr>
          <t>Jim Anderson:</t>
        </r>
        <r>
          <rPr>
            <sz val="8"/>
            <color indexed="81"/>
            <rFont val="Tahoma"/>
            <family val="2"/>
          </rPr>
          <t xml:space="preserve">
Currently used for calculating battery kWhr for all-electric range, but not used for overall PT efficiency calculation.</t>
        </r>
      </text>
    </comment>
    <comment ref="L7" authorId="1" shapeId="0" xr:uid="{00000000-0006-0000-0800-000004000000}">
      <text>
        <r>
          <rPr>
            <b/>
            <sz val="8"/>
            <color indexed="81"/>
            <rFont val="Tahoma"/>
            <family val="2"/>
          </rPr>
          <t>Jim Anderson:</t>
        </r>
        <r>
          <rPr>
            <sz val="8"/>
            <color indexed="81"/>
            <rFont val="Tahoma"/>
            <family val="2"/>
          </rPr>
          <t xml:space="preserve">
Currently used for calculating battery kWhr for all-electric range, but not used for overall PT efficiency calculation.</t>
        </r>
      </text>
    </comment>
    <comment ref="N7" authorId="1" shapeId="0" xr:uid="{00000000-0006-0000-0800-000005000000}">
      <text>
        <r>
          <rPr>
            <b/>
            <sz val="8"/>
            <color indexed="81"/>
            <rFont val="Tahoma"/>
            <family val="2"/>
          </rPr>
          <t>Jim Anderson:</t>
        </r>
        <r>
          <rPr>
            <sz val="8"/>
            <color indexed="81"/>
            <rFont val="Tahoma"/>
            <family val="2"/>
          </rPr>
          <t xml:space="preserve">
Currently used for calculating battery kWhr for all-electric range, but not used for overall PT efficiency calculation.</t>
        </r>
      </text>
    </comment>
    <comment ref="A11" authorId="1" shapeId="0" xr:uid="{00000000-0006-0000-0800-000006000000}">
      <text>
        <r>
          <rPr>
            <b/>
            <sz val="8"/>
            <color indexed="81"/>
            <rFont val="Tahoma"/>
            <family val="2"/>
          </rPr>
          <t>Jim Anderson:</t>
        </r>
        <r>
          <rPr>
            <sz val="8"/>
            <color indexed="81"/>
            <rFont val="Tahoma"/>
            <family val="2"/>
          </rPr>
          <t xml:space="preserve">
These vehicle energy use figures based on assumptions in the VehicleEfficiency spreadsheet. Higher values required for advanced technologies due to added weight. Note that value was initially 0.4 for all vehicles in this spreadsheet.</t>
        </r>
      </text>
    </comment>
    <comment ref="B11" authorId="1" shapeId="0" xr:uid="{00000000-0006-0000-0800-000007000000}">
      <text>
        <r>
          <rPr>
            <b/>
            <sz val="8"/>
            <color indexed="81"/>
            <rFont val="Tahoma"/>
            <family val="2"/>
          </rPr>
          <t>Jim Anderson:</t>
        </r>
        <r>
          <rPr>
            <sz val="8"/>
            <color indexed="81"/>
            <rFont val="Tahoma"/>
            <family val="2"/>
          </rPr>
          <t xml:space="preserve">
From Maria on 5-3-08</t>
        </r>
      </text>
    </comment>
    <comment ref="A29" authorId="1" shapeId="0" xr:uid="{00000000-0006-0000-0800-000008000000}">
      <text>
        <r>
          <rPr>
            <b/>
            <sz val="8"/>
            <color indexed="81"/>
            <rFont val="Tahoma"/>
            <family val="2"/>
          </rPr>
          <t>Jim Anderson:</t>
        </r>
        <r>
          <rPr>
            <sz val="8"/>
            <color indexed="81"/>
            <rFont val="Tahoma"/>
            <family val="2"/>
          </rPr>
          <t xml:space="preserve">
Energy to motor is provided by ICE, fuel cell, and battery. After conversion efficiencies, together need to supply 80 kW mech output at motors. for most severe driving load.</t>
        </r>
      </text>
    </comment>
    <comment ref="A31" authorId="1" shapeId="0" xr:uid="{00000000-0006-0000-0800-000009000000}">
      <text>
        <r>
          <rPr>
            <b/>
            <sz val="8"/>
            <color indexed="81"/>
            <rFont val="Tahoma"/>
            <family val="2"/>
          </rPr>
          <t>Jim Anderson:</t>
        </r>
        <r>
          <rPr>
            <sz val="8"/>
            <color indexed="81"/>
            <rFont val="Tahoma"/>
            <family val="2"/>
          </rPr>
          <t xml:space="preserve">
Assumed as fixed value.</t>
        </r>
      </text>
    </comment>
    <comment ref="I31" authorId="2" shapeId="0" xr:uid="{00000000-0006-0000-0800-00000A000000}">
      <text>
        <r>
          <rPr>
            <b/>
            <sz val="9"/>
            <color indexed="81"/>
            <rFont val="Tahoma"/>
            <family val="2"/>
          </rPr>
          <t>Maria Grahn:</t>
        </r>
        <r>
          <rPr>
            <sz val="9"/>
            <color indexed="81"/>
            <rFont val="Tahoma"/>
            <family val="2"/>
          </rPr>
          <t xml:space="preserve">
50/80 is a "proportional factor" from cars multiplied with trucks mechanical output, i.e. a way of finding the FC power needed when run on FC. For cars a difference between 80kW mechanical power and 50 kW fuel cell.</t>
        </r>
      </text>
    </comment>
    <comment ref="K31" authorId="2" shapeId="0" xr:uid="{00000000-0006-0000-0800-00000B000000}">
      <text>
        <r>
          <rPr>
            <b/>
            <sz val="9"/>
            <color indexed="81"/>
            <rFont val="Tahoma"/>
            <family val="2"/>
          </rPr>
          <t>Maria Grahn:</t>
        </r>
        <r>
          <rPr>
            <sz val="9"/>
            <color indexed="81"/>
            <rFont val="Tahoma"/>
            <family val="2"/>
          </rPr>
          <t xml:space="preserve">
Proportional factor from cars multiplied with trucks mechanical output, i.e. the factor lower power needed when run on FC. For cars a difference between 80kW mechanical power and 50 kW fuel cell.</t>
        </r>
      </text>
    </comment>
    <comment ref="L31" authorId="2" shapeId="0" xr:uid="{00000000-0006-0000-0800-00000C000000}">
      <text>
        <r>
          <rPr>
            <b/>
            <sz val="9"/>
            <color indexed="81"/>
            <rFont val="Tahoma"/>
            <family val="2"/>
          </rPr>
          <t>Maria Grahn:</t>
        </r>
        <r>
          <rPr>
            <sz val="9"/>
            <color indexed="81"/>
            <rFont val="Tahoma"/>
            <family val="2"/>
          </rPr>
          <t xml:space="preserve">
Proportional factor from cars multiplied with trucks mechanical output, i.e. the factor lower power needed when run on FC. For cars a difference between 80kW mechanical power and 50 kW fuel cell.</t>
        </r>
      </text>
    </comment>
    <comment ref="A32" authorId="1" shapeId="0" xr:uid="{00000000-0006-0000-0800-00000D000000}">
      <text>
        <r>
          <rPr>
            <b/>
            <sz val="8"/>
            <color indexed="81"/>
            <rFont val="Tahoma"/>
            <family val="2"/>
          </rPr>
          <t>Jim Anderson:</t>
        </r>
        <r>
          <rPr>
            <sz val="8"/>
            <color indexed="81"/>
            <rFont val="Tahoma"/>
            <family val="2"/>
          </rPr>
          <t xml:space="preserve">
Initially calculated as difference after accounting for supply from fuel cell or ICE, and accounting for elec motor efficiency of assumed 90% (higher than overall efficiency).
Now, all have peak battery related only to motor kW size (and including 90% batt efficiency).</t>
        </r>
      </text>
    </comment>
    <comment ref="I32" authorId="2" shapeId="0" xr:uid="{00000000-0006-0000-0800-00000E000000}">
      <text>
        <r>
          <rPr>
            <b/>
            <sz val="9"/>
            <color indexed="81"/>
            <rFont val="Tahoma"/>
            <family val="2"/>
          </rPr>
          <t>Maria Grahn:</t>
        </r>
        <r>
          <rPr>
            <sz val="9"/>
            <color indexed="81"/>
            <rFont val="Tahoma"/>
            <family val="2"/>
          </rPr>
          <t xml:space="preserve">
44/80 is a "proportional factor" from cars multiplied with trucks mechanical output, i.e. a way of finding the battery power needed when run on FC. For cars a difference between 80kW mechanical power and 44 kW fuel cell.</t>
        </r>
      </text>
    </comment>
    <comment ref="H35" authorId="1" shapeId="0" xr:uid="{00000000-0006-0000-0800-00000F000000}">
      <text>
        <r>
          <rPr>
            <b/>
            <sz val="8"/>
            <color indexed="81"/>
            <rFont val="Tahoma"/>
            <family val="2"/>
          </rPr>
          <t>Jim Anderson:</t>
        </r>
        <r>
          <rPr>
            <sz val="8"/>
            <color indexed="81"/>
            <rFont val="Tahoma"/>
            <family val="2"/>
          </rPr>
          <t xml:space="preserve">
Ford estimate that H2 powertrain costs $5/kW more than gasoline</t>
        </r>
      </text>
    </comment>
    <comment ref="I92" authorId="0" shapeId="0" xr:uid="{00000000-0006-0000-0800-000010000000}">
      <text>
        <r>
          <rPr>
            <b/>
            <sz val="9"/>
            <color indexed="81"/>
            <rFont val="Tahoma"/>
            <family val="2"/>
          </rPr>
          <t>Selma Bengtsson:</t>
        </r>
        <r>
          <rPr>
            <sz val="9"/>
            <color indexed="81"/>
            <rFont val="Tahoma"/>
            <family val="2"/>
          </rPr>
          <t xml:space="preserve">
Will this be possible?</t>
        </r>
      </text>
    </comment>
    <comment ref="I98" authorId="0" shapeId="0" xr:uid="{00000000-0006-0000-0800-000011000000}">
      <text>
        <r>
          <rPr>
            <b/>
            <sz val="9"/>
            <color indexed="81"/>
            <rFont val="Tahoma"/>
            <family val="2"/>
          </rPr>
          <t>Selma Bengtsson:</t>
        </r>
        <r>
          <rPr>
            <sz val="9"/>
            <color indexed="81"/>
            <rFont val="Tahoma"/>
            <family val="2"/>
          </rPr>
          <t xml:space="preserve">
Will this be possible?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Selma Bengtsson</author>
    <author>Jim Anderson</author>
    <author>Maria Grahn</author>
  </authors>
  <commentList>
    <comment ref="I1" authorId="0" shapeId="0" xr:uid="{00000000-0006-0000-0900-000001000000}">
      <text>
        <r>
          <rPr>
            <b/>
            <sz val="9"/>
            <color indexed="81"/>
            <rFont val="Tahoma"/>
            <family val="2"/>
          </rPr>
          <t>Selma Bengtsson:</t>
        </r>
        <r>
          <rPr>
            <sz val="9"/>
            <color indexed="81"/>
            <rFont val="Tahoma"/>
            <family val="2"/>
          </rPr>
          <t xml:space="preserve">
Will this be possible?</t>
        </r>
      </text>
    </comment>
    <comment ref="I7" authorId="1" shapeId="0" xr:uid="{00000000-0006-0000-0900-000002000000}">
      <text>
        <r>
          <rPr>
            <b/>
            <sz val="8"/>
            <color indexed="81"/>
            <rFont val="Tahoma"/>
            <family val="2"/>
          </rPr>
          <t>Jim Anderson:</t>
        </r>
        <r>
          <rPr>
            <sz val="8"/>
            <color indexed="81"/>
            <rFont val="Tahoma"/>
            <family val="2"/>
          </rPr>
          <t xml:space="preserve">
Currently used for calculating battery kWhr for all-electric range, but not used for overall PT efficiency calculation.</t>
        </r>
      </text>
    </comment>
    <comment ref="K7" authorId="1" shapeId="0" xr:uid="{00000000-0006-0000-0900-000003000000}">
      <text>
        <r>
          <rPr>
            <b/>
            <sz val="8"/>
            <color indexed="81"/>
            <rFont val="Tahoma"/>
            <family val="2"/>
          </rPr>
          <t>Jim Anderson:</t>
        </r>
        <r>
          <rPr>
            <sz val="8"/>
            <color indexed="81"/>
            <rFont val="Tahoma"/>
            <family val="2"/>
          </rPr>
          <t xml:space="preserve">
Currently used for calculating battery kWhr for all-electric range, but not used for overall PT efficiency calculation.</t>
        </r>
      </text>
    </comment>
    <comment ref="L7" authorId="1" shapeId="0" xr:uid="{00000000-0006-0000-0900-000004000000}">
      <text>
        <r>
          <rPr>
            <b/>
            <sz val="8"/>
            <color indexed="81"/>
            <rFont val="Tahoma"/>
            <family val="2"/>
          </rPr>
          <t>Jim Anderson:</t>
        </r>
        <r>
          <rPr>
            <sz val="8"/>
            <color indexed="81"/>
            <rFont val="Tahoma"/>
            <family val="2"/>
          </rPr>
          <t xml:space="preserve">
Currently used for calculating battery kWhr for all-electric range, but not used for overall PT efficiency calculation.</t>
        </r>
      </text>
    </comment>
    <comment ref="N7" authorId="1" shapeId="0" xr:uid="{00000000-0006-0000-0900-000005000000}">
      <text>
        <r>
          <rPr>
            <b/>
            <sz val="8"/>
            <color indexed="81"/>
            <rFont val="Tahoma"/>
            <family val="2"/>
          </rPr>
          <t>Jim Anderson:</t>
        </r>
        <r>
          <rPr>
            <sz val="8"/>
            <color indexed="81"/>
            <rFont val="Tahoma"/>
            <family val="2"/>
          </rPr>
          <t xml:space="preserve">
Currently used for calculating battery kWhr for all-electric range, but not used for overall PT efficiency calculation.</t>
        </r>
      </text>
    </comment>
    <comment ref="A11" authorId="1" shapeId="0" xr:uid="{00000000-0006-0000-0900-000006000000}">
      <text>
        <r>
          <rPr>
            <b/>
            <sz val="8"/>
            <color indexed="81"/>
            <rFont val="Tahoma"/>
            <family val="2"/>
          </rPr>
          <t>Jim Anderson:</t>
        </r>
        <r>
          <rPr>
            <sz val="8"/>
            <color indexed="81"/>
            <rFont val="Tahoma"/>
            <family val="2"/>
          </rPr>
          <t xml:space="preserve">
These vehicle energy use figures based on assumptions in the VehicleEfficiency spreadsheet. Higher values required for advanced technologies due to added weight. Note that value was initially 0.4 for all vehicles in this spreadsheet.</t>
        </r>
      </text>
    </comment>
    <comment ref="B11" authorId="1" shapeId="0" xr:uid="{00000000-0006-0000-0900-000007000000}">
      <text>
        <r>
          <rPr>
            <b/>
            <sz val="8"/>
            <color indexed="81"/>
            <rFont val="Tahoma"/>
            <family val="2"/>
          </rPr>
          <t>Jim Anderson:</t>
        </r>
        <r>
          <rPr>
            <sz val="8"/>
            <color indexed="81"/>
            <rFont val="Tahoma"/>
            <family val="2"/>
          </rPr>
          <t xml:space="preserve">
From Maria on 5-3-08</t>
        </r>
      </text>
    </comment>
    <comment ref="A29" authorId="1" shapeId="0" xr:uid="{00000000-0006-0000-0900-000008000000}">
      <text>
        <r>
          <rPr>
            <b/>
            <sz val="8"/>
            <color indexed="81"/>
            <rFont val="Tahoma"/>
            <family val="2"/>
          </rPr>
          <t>Jim Anderson:</t>
        </r>
        <r>
          <rPr>
            <sz val="8"/>
            <color indexed="81"/>
            <rFont val="Tahoma"/>
            <family val="2"/>
          </rPr>
          <t xml:space="preserve">
Energy to motor is provided by ICE, fuel cell, and battery. After conversion efficiencies, together need to supply 80 kW mech output at motors. for most severe driving load.</t>
        </r>
      </text>
    </comment>
    <comment ref="A31" authorId="1" shapeId="0" xr:uid="{00000000-0006-0000-0900-000009000000}">
      <text>
        <r>
          <rPr>
            <b/>
            <sz val="8"/>
            <color indexed="81"/>
            <rFont val="Tahoma"/>
            <family val="2"/>
          </rPr>
          <t>Jim Anderson:</t>
        </r>
        <r>
          <rPr>
            <sz val="8"/>
            <color indexed="81"/>
            <rFont val="Tahoma"/>
            <family val="2"/>
          </rPr>
          <t xml:space="preserve">
Assumed as fixed value.</t>
        </r>
      </text>
    </comment>
    <comment ref="I31" authorId="2" shapeId="0" xr:uid="{00000000-0006-0000-0900-00000A000000}">
      <text>
        <r>
          <rPr>
            <b/>
            <sz val="9"/>
            <color indexed="81"/>
            <rFont val="Tahoma"/>
            <family val="2"/>
          </rPr>
          <t>Maria Grahn:</t>
        </r>
        <r>
          <rPr>
            <sz val="9"/>
            <color indexed="81"/>
            <rFont val="Tahoma"/>
            <family val="2"/>
          </rPr>
          <t xml:space="preserve">
50/80 is a "proportional factor" from cars multiplied with trucks mechanical output, i.e. a way of finding the FC power needed when run on FC. For cars a difference between 80kW mechanical power and 50 kW fuel cell.</t>
        </r>
      </text>
    </comment>
    <comment ref="K31" authorId="2" shapeId="0" xr:uid="{00000000-0006-0000-0900-00000B000000}">
      <text>
        <r>
          <rPr>
            <b/>
            <sz val="9"/>
            <color indexed="81"/>
            <rFont val="Tahoma"/>
            <family val="2"/>
          </rPr>
          <t>Maria Grahn:</t>
        </r>
        <r>
          <rPr>
            <sz val="9"/>
            <color indexed="81"/>
            <rFont val="Tahoma"/>
            <family val="2"/>
          </rPr>
          <t xml:space="preserve">
Proportional factor from cars multiplied with trucks mechanical output, i.e. the factor lower power needed when run on FC. For cars a difference between 80kW mechanical power and 50 kW fuel cell.</t>
        </r>
      </text>
    </comment>
    <comment ref="L31" authorId="2" shapeId="0" xr:uid="{00000000-0006-0000-0900-00000C000000}">
      <text>
        <r>
          <rPr>
            <b/>
            <sz val="9"/>
            <color indexed="81"/>
            <rFont val="Tahoma"/>
            <family val="2"/>
          </rPr>
          <t>Maria Grahn:</t>
        </r>
        <r>
          <rPr>
            <sz val="9"/>
            <color indexed="81"/>
            <rFont val="Tahoma"/>
            <family val="2"/>
          </rPr>
          <t xml:space="preserve">
Proportional factor from cars multiplied with trucks mechanical output, i.e. the factor lower power needed when run on FC. For cars a difference between 80kW mechanical power and 50 kW fuel cell.</t>
        </r>
      </text>
    </comment>
    <comment ref="N31" authorId="2" shapeId="0" xr:uid="{00000000-0006-0000-0900-00000D000000}">
      <text>
        <r>
          <rPr>
            <b/>
            <sz val="9"/>
            <color indexed="81"/>
            <rFont val="Tahoma"/>
            <family val="2"/>
          </rPr>
          <t>Maria Grahn:</t>
        </r>
        <r>
          <rPr>
            <sz val="9"/>
            <color indexed="81"/>
            <rFont val="Tahoma"/>
            <family val="2"/>
          </rPr>
          <t xml:space="preserve">
Proportional factor from cars multiplied with trucks mechanical output, i.e. the factor lower power needed when run on FC. For cars a difference between 80kW mechanical power and 50 kW fuel cell.</t>
        </r>
      </text>
    </comment>
    <comment ref="A32" authorId="1" shapeId="0" xr:uid="{00000000-0006-0000-0900-00000E000000}">
      <text>
        <r>
          <rPr>
            <b/>
            <sz val="8"/>
            <color indexed="81"/>
            <rFont val="Tahoma"/>
            <family val="2"/>
          </rPr>
          <t>Jim Anderson:</t>
        </r>
        <r>
          <rPr>
            <sz val="8"/>
            <color indexed="81"/>
            <rFont val="Tahoma"/>
            <family val="2"/>
          </rPr>
          <t xml:space="preserve">
Initially calculated as difference after accounting for supply from fuel cell or ICE, and accounting for elec motor efficiency of assumed 90% (higher than overall efficiency).
Now, all have peak battery related only to motor kW size (and including 90% batt efficiency).</t>
        </r>
      </text>
    </comment>
    <comment ref="I32" authorId="2" shapeId="0" xr:uid="{00000000-0006-0000-0900-00000F000000}">
      <text>
        <r>
          <rPr>
            <b/>
            <sz val="9"/>
            <color indexed="81"/>
            <rFont val="Tahoma"/>
            <family val="2"/>
          </rPr>
          <t>Maria Grahn:</t>
        </r>
        <r>
          <rPr>
            <sz val="9"/>
            <color indexed="81"/>
            <rFont val="Tahoma"/>
            <family val="2"/>
          </rPr>
          <t xml:space="preserve">
44/80 is a "proportional factor" from cars multiplied with trucks mechanical output, i.e. a way of finding the battery power needed when run on FC. For cars a difference between 80kW mechanical power and 44 kW fuel cell.</t>
        </r>
      </text>
    </comment>
    <comment ref="H35" authorId="1" shapeId="0" xr:uid="{00000000-0006-0000-0900-000010000000}">
      <text>
        <r>
          <rPr>
            <b/>
            <sz val="8"/>
            <color indexed="81"/>
            <rFont val="Tahoma"/>
            <family val="2"/>
          </rPr>
          <t>Jim Anderson:</t>
        </r>
        <r>
          <rPr>
            <sz val="8"/>
            <color indexed="81"/>
            <rFont val="Tahoma"/>
            <family val="2"/>
          </rPr>
          <t xml:space="preserve">
Ford estimate that H2 powertrain costs $5/kW more than gasoline</t>
        </r>
      </text>
    </comment>
    <comment ref="N42" authorId="1" shapeId="0" xr:uid="{00000000-0006-0000-0900-000011000000}">
      <text>
        <r>
          <rPr>
            <b/>
            <sz val="8"/>
            <color indexed="81"/>
            <rFont val="Tahoma"/>
            <family val="2"/>
          </rPr>
          <t>Jim Anderson:</t>
        </r>
        <r>
          <rPr>
            <sz val="8"/>
            <color indexed="81"/>
            <rFont val="Tahoma"/>
            <family val="2"/>
          </rPr>
          <t xml:space="preserve">
Use same value as H2 ICE</t>
        </r>
      </text>
    </comment>
    <comment ref="I92" authorId="0" shapeId="0" xr:uid="{00000000-0006-0000-0900-000012000000}">
      <text>
        <r>
          <rPr>
            <b/>
            <sz val="9"/>
            <color indexed="81"/>
            <rFont val="Tahoma"/>
            <family val="2"/>
          </rPr>
          <t>Selma Bengtsson:</t>
        </r>
        <r>
          <rPr>
            <sz val="9"/>
            <color indexed="81"/>
            <rFont val="Tahoma"/>
            <family val="2"/>
          </rPr>
          <t xml:space="preserve">
Will this be possible?</t>
        </r>
      </text>
    </comment>
    <comment ref="I98" authorId="0" shapeId="0" xr:uid="{00000000-0006-0000-0900-000013000000}">
      <text>
        <r>
          <rPr>
            <b/>
            <sz val="9"/>
            <color indexed="81"/>
            <rFont val="Tahoma"/>
            <family val="2"/>
          </rPr>
          <t>Selma Bengtsson:</t>
        </r>
        <r>
          <rPr>
            <sz val="9"/>
            <color indexed="81"/>
            <rFont val="Tahoma"/>
            <family val="2"/>
          </rPr>
          <t xml:space="preserve">
Will this be possible?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Selma Bengtsson</author>
    <author>Jim Anderson</author>
    <author>Maria Grahn</author>
  </authors>
  <commentList>
    <comment ref="I1" authorId="0" shapeId="0" xr:uid="{00000000-0006-0000-0700-000001000000}">
      <text>
        <r>
          <rPr>
            <b/>
            <sz val="9"/>
            <color indexed="81"/>
            <rFont val="Tahoma"/>
            <family val="2"/>
          </rPr>
          <t>Selma Bengtsson:</t>
        </r>
        <r>
          <rPr>
            <sz val="9"/>
            <color indexed="81"/>
            <rFont val="Tahoma"/>
            <family val="2"/>
          </rPr>
          <t xml:space="preserve">
Will this be possible?</t>
        </r>
      </text>
    </comment>
    <comment ref="I7" authorId="1" shapeId="0" xr:uid="{00000000-0006-0000-0700-000002000000}">
      <text>
        <r>
          <rPr>
            <b/>
            <sz val="8"/>
            <color indexed="81"/>
            <rFont val="Tahoma"/>
            <family val="2"/>
          </rPr>
          <t>Jim Anderson:</t>
        </r>
        <r>
          <rPr>
            <sz val="8"/>
            <color indexed="81"/>
            <rFont val="Tahoma"/>
            <family val="2"/>
          </rPr>
          <t xml:space="preserve">
Currently used for calculating battery kWhr for all-electric range, but not used for overall PT efficiency calculation.</t>
        </r>
      </text>
    </comment>
    <comment ref="K7" authorId="1" shapeId="0" xr:uid="{00000000-0006-0000-0700-000003000000}">
      <text>
        <r>
          <rPr>
            <b/>
            <sz val="8"/>
            <color indexed="81"/>
            <rFont val="Tahoma"/>
            <family val="2"/>
          </rPr>
          <t>Jim Anderson:</t>
        </r>
        <r>
          <rPr>
            <sz val="8"/>
            <color indexed="81"/>
            <rFont val="Tahoma"/>
            <family val="2"/>
          </rPr>
          <t xml:space="preserve">
Currently used for calculating battery kWhr for all-electric range, but not used for overall PT efficiency calculation.</t>
        </r>
      </text>
    </comment>
    <comment ref="L7" authorId="1" shapeId="0" xr:uid="{00000000-0006-0000-0700-000004000000}">
      <text>
        <r>
          <rPr>
            <b/>
            <sz val="8"/>
            <color indexed="81"/>
            <rFont val="Tahoma"/>
            <family val="2"/>
          </rPr>
          <t>Jim Anderson:</t>
        </r>
        <r>
          <rPr>
            <sz val="8"/>
            <color indexed="81"/>
            <rFont val="Tahoma"/>
            <family val="2"/>
          </rPr>
          <t xml:space="preserve">
Currently used for calculating battery kWhr for all-electric range, but not used for overall PT efficiency calculation.</t>
        </r>
      </text>
    </comment>
    <comment ref="N7" authorId="1" shapeId="0" xr:uid="{00000000-0006-0000-0700-000005000000}">
      <text>
        <r>
          <rPr>
            <b/>
            <sz val="8"/>
            <color indexed="81"/>
            <rFont val="Tahoma"/>
            <family val="2"/>
          </rPr>
          <t>Jim Anderson:</t>
        </r>
        <r>
          <rPr>
            <sz val="8"/>
            <color indexed="81"/>
            <rFont val="Tahoma"/>
            <family val="2"/>
          </rPr>
          <t xml:space="preserve">
Currently used for calculating battery kWhr for all-electric range, but not used for overall PT efficiency calculation.</t>
        </r>
      </text>
    </comment>
    <comment ref="A11" authorId="1" shapeId="0" xr:uid="{00000000-0006-0000-0700-000006000000}">
      <text>
        <r>
          <rPr>
            <b/>
            <sz val="8"/>
            <color indexed="81"/>
            <rFont val="Tahoma"/>
            <family val="2"/>
          </rPr>
          <t>Jim Anderson:</t>
        </r>
        <r>
          <rPr>
            <sz val="8"/>
            <color indexed="81"/>
            <rFont val="Tahoma"/>
            <family val="2"/>
          </rPr>
          <t xml:space="preserve">
These vehicle energy use figures based on assumptions in the VehicleEfficiency spreadsheet. Higher values required for advanced technologies due to added weight. Note that value was initially 0.4 for all vehicles in this spreadsheet.</t>
        </r>
      </text>
    </comment>
    <comment ref="B11" authorId="1" shapeId="0" xr:uid="{00000000-0006-0000-0700-000007000000}">
      <text>
        <r>
          <rPr>
            <b/>
            <sz val="8"/>
            <color indexed="81"/>
            <rFont val="Tahoma"/>
            <family val="2"/>
          </rPr>
          <t>Jim Anderson:</t>
        </r>
        <r>
          <rPr>
            <sz val="8"/>
            <color indexed="81"/>
            <rFont val="Tahoma"/>
            <family val="2"/>
          </rPr>
          <t xml:space="preserve">
From Maria on 5-3-08</t>
        </r>
      </text>
    </comment>
    <comment ref="A29" authorId="1" shapeId="0" xr:uid="{00000000-0006-0000-0700-000008000000}">
      <text>
        <r>
          <rPr>
            <b/>
            <sz val="8"/>
            <color indexed="81"/>
            <rFont val="Tahoma"/>
            <family val="2"/>
          </rPr>
          <t>Jim Anderson:</t>
        </r>
        <r>
          <rPr>
            <sz val="8"/>
            <color indexed="81"/>
            <rFont val="Tahoma"/>
            <family val="2"/>
          </rPr>
          <t xml:space="preserve">
Energy to motor is provided by ICE, fuel cell, and battery. After conversion efficiencies, together need to supply 80 kW mech output at motors. for most severe driving load.</t>
        </r>
      </text>
    </comment>
    <comment ref="A31" authorId="1" shapeId="0" xr:uid="{00000000-0006-0000-0700-000009000000}">
      <text>
        <r>
          <rPr>
            <b/>
            <sz val="8"/>
            <color indexed="81"/>
            <rFont val="Tahoma"/>
            <family val="2"/>
          </rPr>
          <t>Jim Anderson:</t>
        </r>
        <r>
          <rPr>
            <sz val="8"/>
            <color indexed="81"/>
            <rFont val="Tahoma"/>
            <family val="2"/>
          </rPr>
          <t xml:space="preserve">
Assumed as fixed value.</t>
        </r>
      </text>
    </comment>
    <comment ref="I31" authorId="2" shapeId="0" xr:uid="{00000000-0006-0000-0700-00000A000000}">
      <text>
        <r>
          <rPr>
            <b/>
            <sz val="9"/>
            <color indexed="81"/>
            <rFont val="Tahoma"/>
            <family val="2"/>
          </rPr>
          <t>Maria Grahn:</t>
        </r>
        <r>
          <rPr>
            <sz val="9"/>
            <color indexed="81"/>
            <rFont val="Tahoma"/>
            <family val="2"/>
          </rPr>
          <t xml:space="preserve">
50/80 is a "proportional factor" from cars multiplied with trucks mechanical output, i.e. a way of finding the FC power needed when run on FC. For cars a difference between 80kW mechanical power and 50 kW fuel cell.</t>
        </r>
      </text>
    </comment>
    <comment ref="K31" authorId="2" shapeId="0" xr:uid="{00000000-0006-0000-0700-00000B000000}">
      <text>
        <r>
          <rPr>
            <b/>
            <sz val="9"/>
            <color indexed="81"/>
            <rFont val="Tahoma"/>
            <family val="2"/>
          </rPr>
          <t>Maria Grahn:</t>
        </r>
        <r>
          <rPr>
            <sz val="9"/>
            <color indexed="81"/>
            <rFont val="Tahoma"/>
            <family val="2"/>
          </rPr>
          <t xml:space="preserve">
Proportional factor from cars multiplied with trucks mechanical output, i.e. the factor lower power needed when run on FC. For cars a difference between 80kW mechanical power and 50 kW fuel cell.</t>
        </r>
      </text>
    </comment>
    <comment ref="L31" authorId="2" shapeId="0" xr:uid="{00000000-0006-0000-0700-00000C000000}">
      <text>
        <r>
          <rPr>
            <b/>
            <sz val="9"/>
            <color indexed="81"/>
            <rFont val="Tahoma"/>
            <family val="2"/>
          </rPr>
          <t>Maria Grahn:</t>
        </r>
        <r>
          <rPr>
            <sz val="9"/>
            <color indexed="81"/>
            <rFont val="Tahoma"/>
            <family val="2"/>
          </rPr>
          <t xml:space="preserve">
Proportional factor from cars multiplied with trucks mechanical output, i.e. the factor lower power needed when run on FC. For cars a difference between 80kW mechanical power and 50 kW fuel cell.</t>
        </r>
      </text>
    </comment>
    <comment ref="N31" authorId="2" shapeId="0" xr:uid="{00000000-0006-0000-0700-00000D000000}">
      <text>
        <r>
          <rPr>
            <b/>
            <sz val="9"/>
            <color indexed="81"/>
            <rFont val="Tahoma"/>
            <family val="2"/>
          </rPr>
          <t>Maria Grahn:</t>
        </r>
        <r>
          <rPr>
            <sz val="9"/>
            <color indexed="81"/>
            <rFont val="Tahoma"/>
            <family val="2"/>
          </rPr>
          <t xml:space="preserve">
Proportional factor from cars multiplied with trucks mechanical output, i.e. the factor lower power needed when run on FC. For cars a difference between 80kW mechanical power and 50 kW fuel cell.</t>
        </r>
      </text>
    </comment>
    <comment ref="A32" authorId="1" shapeId="0" xr:uid="{00000000-0006-0000-0700-00000E000000}">
      <text>
        <r>
          <rPr>
            <b/>
            <sz val="8"/>
            <color indexed="81"/>
            <rFont val="Tahoma"/>
            <family val="2"/>
          </rPr>
          <t>Jim Anderson:</t>
        </r>
        <r>
          <rPr>
            <sz val="8"/>
            <color indexed="81"/>
            <rFont val="Tahoma"/>
            <family val="2"/>
          </rPr>
          <t xml:space="preserve">
Initially calculated as difference after accounting for supply from fuel cell or ICE, and accounting for elec motor efficiency of assumed 90% (higher than overall efficiency).
Now, all have peak battery related only to motor kW size (and including 90% batt efficiency).</t>
        </r>
      </text>
    </comment>
    <comment ref="I32" authorId="2" shapeId="0" xr:uid="{00000000-0006-0000-0700-00000F000000}">
      <text>
        <r>
          <rPr>
            <b/>
            <sz val="9"/>
            <color indexed="81"/>
            <rFont val="Tahoma"/>
            <family val="2"/>
          </rPr>
          <t>Maria Grahn:</t>
        </r>
        <r>
          <rPr>
            <sz val="9"/>
            <color indexed="81"/>
            <rFont val="Tahoma"/>
            <family val="2"/>
          </rPr>
          <t xml:space="preserve">
44/80 is a "proportional factor" from cars multiplied with trucks mechanical output, i.e. a way of finding the battery power needed when run on FC. For cars a difference between 80kW mechanical power and 44 kW fuel cell.</t>
        </r>
      </text>
    </comment>
    <comment ref="H35" authorId="1" shapeId="0" xr:uid="{00000000-0006-0000-0700-000010000000}">
      <text>
        <r>
          <rPr>
            <b/>
            <sz val="8"/>
            <color indexed="81"/>
            <rFont val="Tahoma"/>
            <family val="2"/>
          </rPr>
          <t>Jim Anderson:</t>
        </r>
        <r>
          <rPr>
            <sz val="8"/>
            <color indexed="81"/>
            <rFont val="Tahoma"/>
            <family val="2"/>
          </rPr>
          <t xml:space="preserve">
Ford estimate that H2 powertrain costs $5/kW more than gasoline</t>
        </r>
      </text>
    </comment>
    <comment ref="N42" authorId="1" shapeId="0" xr:uid="{00000000-0006-0000-0700-000011000000}">
      <text>
        <r>
          <rPr>
            <b/>
            <sz val="8"/>
            <color indexed="81"/>
            <rFont val="Tahoma"/>
            <family val="2"/>
          </rPr>
          <t>Jim Anderson:</t>
        </r>
        <r>
          <rPr>
            <sz val="8"/>
            <color indexed="81"/>
            <rFont val="Tahoma"/>
            <family val="2"/>
          </rPr>
          <t xml:space="preserve">
Use same value as H2 ICE</t>
        </r>
      </text>
    </comment>
    <comment ref="I92" authorId="0" shapeId="0" xr:uid="{00000000-0006-0000-0700-000012000000}">
      <text>
        <r>
          <rPr>
            <b/>
            <sz val="9"/>
            <color indexed="81"/>
            <rFont val="Tahoma"/>
            <family val="2"/>
          </rPr>
          <t>Selma Bengtsson:</t>
        </r>
        <r>
          <rPr>
            <sz val="9"/>
            <color indexed="81"/>
            <rFont val="Tahoma"/>
            <family val="2"/>
          </rPr>
          <t xml:space="preserve">
Will this be possible?</t>
        </r>
      </text>
    </comment>
    <comment ref="I98" authorId="0" shapeId="0" xr:uid="{00000000-0006-0000-0700-000013000000}">
      <text>
        <r>
          <rPr>
            <b/>
            <sz val="9"/>
            <color indexed="81"/>
            <rFont val="Tahoma"/>
            <family val="2"/>
          </rPr>
          <t>Selma Bengtsson:</t>
        </r>
        <r>
          <rPr>
            <sz val="9"/>
            <color indexed="81"/>
            <rFont val="Tahoma"/>
            <family val="2"/>
          </rPr>
          <t xml:space="preserve">
Will this be possible?</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Selma Brynolf</author>
  </authors>
  <commentList>
    <comment ref="B62" authorId="0" shapeId="0" xr:uid="{7198EEE9-7712-4482-AC2D-7DE8932CFC72}">
      <text>
        <r>
          <rPr>
            <b/>
            <sz val="9"/>
            <color indexed="81"/>
            <rFont val="Tahoma"/>
            <family val="2"/>
          </rPr>
          <t>Selma Brynolf:</t>
        </r>
        <r>
          <rPr>
            <sz val="9"/>
            <color indexed="81"/>
            <rFont val="Tahoma"/>
            <family val="2"/>
          </rPr>
          <t xml:space="preserve">
This needs to be verified when looking at Karnas data i find numbers in the range of 80-100 USD/N</t>
        </r>
      </text>
    </comment>
    <comment ref="B72" authorId="0" shapeId="0" xr:uid="{35ECDCE7-1EC9-4BFE-9C9B-6FAE760CB315}">
      <text>
        <r>
          <rPr>
            <b/>
            <sz val="9"/>
            <color indexed="81"/>
            <rFont val="Tahoma"/>
            <family val="2"/>
          </rPr>
          <t>Selma Brynolf:</t>
        </r>
        <r>
          <rPr>
            <sz val="9"/>
            <color indexed="81"/>
            <rFont val="Tahoma"/>
            <family val="2"/>
          </rPr>
          <t xml:space="preserve">
Included in airframe</t>
        </r>
      </text>
    </comment>
  </commentList>
</comments>
</file>

<file path=xl/sharedStrings.xml><?xml version="1.0" encoding="utf-8"?>
<sst xmlns="http://schemas.openxmlformats.org/spreadsheetml/2006/main" count="1901" uniqueCount="758">
  <si>
    <t>Conventional HFO</t>
  </si>
  <si>
    <t>MeOH IC</t>
  </si>
  <si>
    <t>BTL IC</t>
  </si>
  <si>
    <t>LNG IC</t>
  </si>
  <si>
    <t>H2 IC</t>
  </si>
  <si>
    <t>HFO FC</t>
  </si>
  <si>
    <t>MeOH FC</t>
  </si>
  <si>
    <t>LNG FC</t>
  </si>
  <si>
    <t>H2 FC</t>
  </si>
  <si>
    <t>Energy conversion efficiency</t>
  </si>
  <si>
    <t>HFO</t>
  </si>
  <si>
    <t xml:space="preserve">  Engine efficiency, year 2050</t>
  </si>
  <si>
    <t>sub-efficiencies not used</t>
  </si>
  <si>
    <t xml:space="preserve">  Reformer efficiency (a)</t>
  </si>
  <si>
    <t>LNG</t>
  </si>
  <si>
    <t xml:space="preserve">  Fuel cell efficiency</t>
  </si>
  <si>
    <t>** LNG lika effektiv som HFO, ev. lite effektivare</t>
  </si>
  <si>
    <t>BTL</t>
  </si>
  <si>
    <t xml:space="preserve">  Electric motor efficiency</t>
  </si>
  <si>
    <t>** H2 8% högre effektivitet generellt för förbränningsmotorer</t>
  </si>
  <si>
    <t>H2</t>
  </si>
  <si>
    <t>** enligt diagrammet FC 10-20 % mer effektiva (beroende på bränsle cell)</t>
  </si>
  <si>
    <t xml:space="preserve">  Efficiency Ratio, year 2050</t>
  </si>
  <si>
    <t>Actual energy use-primary mode (g/kWh))</t>
  </si>
  <si>
    <t>Actual energy use-batt mode (MJ/km)</t>
  </si>
  <si>
    <t>Drive range - non elec (h)</t>
  </si>
  <si>
    <t>Drive range - elec (h)</t>
  </si>
  <si>
    <t>Storage tank size (m3)</t>
  </si>
  <si>
    <t>Energy storage (GJ/t) - non elec</t>
  </si>
  <si>
    <t>Energy storage factor (GJ batt/GJ used)</t>
  </si>
  <si>
    <t>Energy storage (GJ/t) - elec</t>
  </si>
  <si>
    <t xml:space="preserve">  Energy storage (kWh/t) - elec</t>
  </si>
  <si>
    <t xml:space="preserve">   Motor kW mech output (ICE)</t>
  </si>
  <si>
    <t xml:space="preserve">   Motor kW (electric)</t>
  </si>
  <si>
    <t xml:space="preserve">   Sum of rated pwer</t>
  </si>
  <si>
    <t xml:space="preserve">   % elec power of sum of rated</t>
  </si>
  <si>
    <t>Peak power supply to motors</t>
  </si>
  <si>
    <t xml:space="preserve">   ICE fuel supply (not calculated)</t>
  </si>
  <si>
    <t xml:space="preserve">   Fuel cell  kWe</t>
  </si>
  <si>
    <t xml:space="preserve">   Peak battery kWe</t>
  </si>
  <si>
    <t>Specific costs</t>
  </si>
  <si>
    <t>Engine (USD/kW mech output)</t>
  </si>
  <si>
    <t>** skalningen på motorerna hälften  gånger billigare jmf med lastbilar</t>
  </si>
  <si>
    <t xml:space="preserve">** motorn är 3-5 % dyrare per kW för LNG </t>
  </si>
  <si>
    <t>Fuel cell (USD/kWe)</t>
  </si>
  <si>
    <t>Reformer USD/kWe (a)</t>
  </si>
  <si>
    <t>Storage (USD/GJ)</t>
  </si>
  <si>
    <t>** samma skalning på tanken faktor 2 jmf med bilarna, kostnaden stämmer överens med ref. TFO rapporten.</t>
  </si>
  <si>
    <t>Batteries (USD/GJ)</t>
  </si>
  <si>
    <t>** enligt TFO studien så är den 10 % diesel tanken jmf. Med LNG</t>
  </si>
  <si>
    <t>Peak battery USD/kWe</t>
  </si>
  <si>
    <t>Total driveline cost (USD)</t>
  </si>
  <si>
    <t xml:space="preserve">IC engine </t>
  </si>
  <si>
    <t xml:space="preserve">Electric Motor </t>
  </si>
  <si>
    <t xml:space="preserve">Fuel cell </t>
  </si>
  <si>
    <t>Reformer</t>
  </si>
  <si>
    <t>Storage</t>
  </si>
  <si>
    <t>Batteries</t>
  </si>
  <si>
    <t>Peak battery</t>
  </si>
  <si>
    <t>Total investment cost</t>
  </si>
  <si>
    <t xml:space="preserve">HFO IC + Scrubber </t>
  </si>
  <si>
    <t>MGO IC</t>
  </si>
  <si>
    <t>MGO FC</t>
  </si>
  <si>
    <t>Fuel properties</t>
  </si>
  <si>
    <t>Higher heating value (GJ/tonne)</t>
  </si>
  <si>
    <t>MGO</t>
  </si>
  <si>
    <t>MeOH</t>
  </si>
  <si>
    <t>Lower heating value (GJ/tonne)</t>
  </si>
  <si>
    <t>Energy content based on HHV (GJ/m3)</t>
  </si>
  <si>
    <t>Energy content based on LHV (GJ/m3)</t>
  </si>
  <si>
    <t>Density (tonne/m3)</t>
  </si>
  <si>
    <t xml:space="preserve"> </t>
  </si>
  <si>
    <t>Scrubbers (USD/kW mech output)</t>
  </si>
  <si>
    <t>Original data</t>
  </si>
  <si>
    <t xml:space="preserve">Unit </t>
  </si>
  <si>
    <t>Comments</t>
  </si>
  <si>
    <t>Reference</t>
  </si>
  <si>
    <t>Euro/kW</t>
  </si>
  <si>
    <t>L. Haraldsson</t>
  </si>
  <si>
    <t>Estimaptes a price range for scrubbers between 300-400 Euro/kW (20120319)</t>
  </si>
  <si>
    <t>Selective catalytic reduction units (USD/kW mech output)</t>
  </si>
  <si>
    <t>Estimates a price range for SCRs between 100/150 Euro/kW and addition opertional coast for Urea around 5 Euro/MWh</t>
  </si>
  <si>
    <t>Unit conversion</t>
  </si>
  <si>
    <t>1 Euro</t>
  </si>
  <si>
    <t>USD</t>
  </si>
  <si>
    <t>Container</t>
  </si>
  <si>
    <t>Input data to GET-model</t>
  </si>
  <si>
    <t>Exhaust abatement equipment</t>
  </si>
  <si>
    <t>Additional investment cost for vessel (USD/vessel)</t>
  </si>
  <si>
    <t>Storage cost tank</t>
  </si>
  <si>
    <t>Used to get the full cost of the ship</t>
  </si>
  <si>
    <t xml:space="preserve"> 400-600 </t>
  </si>
  <si>
    <t>Haraldsson (2012)</t>
  </si>
  <si>
    <t>Engine cost HFO (USD/kW mech output)</t>
  </si>
  <si>
    <t>Is this representative for average average marine engine? Can efficiency be assumed to be higher for ocean and container?</t>
  </si>
  <si>
    <t>Haraldsson (2012)?</t>
  </si>
  <si>
    <t xml:space="preserve">Efficiency IC </t>
  </si>
  <si>
    <t>Propulsion system (IC)</t>
  </si>
  <si>
    <t>Propulsion system (fuel cells)</t>
  </si>
  <si>
    <t>Ocean</t>
  </si>
  <si>
    <t>Engine cost LNG (USD/kW mech output)</t>
  </si>
  <si>
    <t>Engine cost H2 (USD/kW mech output)</t>
  </si>
  <si>
    <t>Fuel storage</t>
  </si>
  <si>
    <t>Efficiency FC (base)</t>
  </si>
  <si>
    <t>Efficiency FC (low)</t>
  </si>
  <si>
    <t>Efficiency FC (high)</t>
  </si>
  <si>
    <t>Engine power (kW)</t>
  </si>
  <si>
    <t>Voyage range full speed (days)</t>
  </si>
  <si>
    <t>Tank capacity (GJ)</t>
  </si>
  <si>
    <t>Life time (years)</t>
  </si>
  <si>
    <t>Buhaug et al. (2009)</t>
  </si>
  <si>
    <t xml:space="preserve">Uträknad utifrån den totala bränsleförbrukningen mellan två bunkringar </t>
  </si>
  <si>
    <t>Voyage range full speed (hours)</t>
  </si>
  <si>
    <t>Engine efficency</t>
  </si>
  <si>
    <t>Heating value</t>
  </si>
  <si>
    <t>Fuel processor cost MeOH (USD/kW mech output)</t>
  </si>
  <si>
    <t>USD/kW</t>
  </si>
  <si>
    <t>Engine cost MeOH including fuel processor (USD/kW mech output)</t>
  </si>
  <si>
    <t>40-45% more than the diesel engine</t>
  </si>
  <si>
    <t>Verbeek et al. (2011)</t>
  </si>
  <si>
    <t>Haraldsson have presented values in the range…</t>
  </si>
  <si>
    <t>same as LNG engine</t>
  </si>
  <si>
    <t>JJMA, BHA (2002)</t>
  </si>
  <si>
    <t>Total cost fuels cells (USD/kW mech output)</t>
  </si>
  <si>
    <t>Infrastructure</t>
  </si>
  <si>
    <t>Euro/tonne</t>
  </si>
  <si>
    <t>Throughput [GJ/year] - Case 3</t>
  </si>
  <si>
    <t>m3/year</t>
  </si>
  <si>
    <t>Throughput [GJ/year] - Case 1</t>
  </si>
  <si>
    <t>Throughput [GJ/year] - Case 2</t>
  </si>
  <si>
    <t>Operational cost [USD/GJ]-  Case 2</t>
  </si>
  <si>
    <t>Operational cost [USD/GJ] - Case I</t>
  </si>
  <si>
    <t>Operational cost [USD/GJ] - Case 3</t>
  </si>
  <si>
    <t>Euro</t>
  </si>
  <si>
    <t>Assuming economic life length of 40 years</t>
  </si>
  <si>
    <t>Euro/year</t>
  </si>
  <si>
    <t>Machinery-related investment cost [share of total investment cost]</t>
  </si>
  <si>
    <t>Euro/kW aux</t>
  </si>
  <si>
    <t>Euro/kW main</t>
  </si>
  <si>
    <t>Engine cost HFO/MGO (USD/kW mech output main)</t>
  </si>
  <si>
    <t>Generators, Electric system, Propulsion and Steering cost HFO/MGO(USD/kWh mech output aux)</t>
  </si>
  <si>
    <t>Danish Maritime Authority (2012b)</t>
  </si>
  <si>
    <t>Euro/kW main + aux</t>
  </si>
  <si>
    <t>Investment cost LNG fuel gas supply system + tank (USD/kW mech output main)</t>
  </si>
  <si>
    <t>Installation cost LNG (USD/kW mech output main + aux)</t>
  </si>
  <si>
    <t>Engine cost LNG 2-stroke high pressure diesel dual fuel (USD/kW mech output main)</t>
  </si>
  <si>
    <t>Generators, Electric system, Propulsion and Steering cost LNG (USD/kWh mech output aux)</t>
  </si>
  <si>
    <t>Engine cost LNG 4-stroke  dual fuel (USD/kW mech output main)</t>
  </si>
  <si>
    <t>Engine cost LNG spark ignition 4-stroke (USD/kW mech output main)</t>
  </si>
  <si>
    <t>The data was provided by MAN Diesel &amp; Turbo and Wärtsilä</t>
  </si>
  <si>
    <t>Fråga Lennart varför dessa siffror skiljer sig! The data was provided by MAN Diesel &amp; Turbo and Wärtsilä</t>
  </si>
  <si>
    <t>Danish Maritime Authority (2012a)</t>
  </si>
  <si>
    <t>/yr</t>
  </si>
  <si>
    <t>Infrastructure cost for HFO/MGO (USD/GJ)</t>
  </si>
  <si>
    <t>Adding highest annlisased investment cost with highest operational cost from the cases below</t>
  </si>
  <si>
    <t>Adding lowest annlisased investment cost with lowest operational cost from the cases below</t>
  </si>
  <si>
    <t>of LNG tank cost</t>
  </si>
  <si>
    <t>propulsion system cost/vessel cost</t>
  </si>
  <si>
    <t>Usable volume of LNG tanks</t>
  </si>
  <si>
    <t>LNG tank cost [USD/GJ]</t>
  </si>
  <si>
    <t>Euro/m3</t>
  </si>
  <si>
    <t>Scaling factor for larger tanks</t>
  </si>
  <si>
    <t xml:space="preserve">Assumed scaling factor due to lower </t>
  </si>
  <si>
    <t>Volumes and estimated costs of “total gas train including LNG tank” . Note that
these estimates include gas regulation, vaporizer, gas detection etc.</t>
  </si>
  <si>
    <t>LNG tank cost,  high estimate [USD/GJ]</t>
  </si>
  <si>
    <t>Andersen et al. (2011)</t>
  </si>
  <si>
    <t>For 14500 kW container vessel, also says that scrubber alternative is preferable for costs over 3000Euro/m3</t>
  </si>
  <si>
    <t>For 14500 kW  vessel, also says that scrubber alternative is preferable for costs over 3000Euro/m3</t>
  </si>
  <si>
    <t>Extra cost for fuel procssor</t>
  </si>
  <si>
    <t>Assumption?</t>
  </si>
  <si>
    <t>Bourne et al. (2001)</t>
  </si>
  <si>
    <t>Cost target. Fuel producers claims this will be achived 2020 -2050. Also reports the figure 3000 USD/kW</t>
  </si>
  <si>
    <t>Interval for cost for conventional combustion engine (USD/kW mech output)</t>
  </si>
  <si>
    <t>200-400</t>
  </si>
  <si>
    <t>2000-4000</t>
  </si>
  <si>
    <t>Smaller vessels, scale effects?</t>
  </si>
  <si>
    <t>Ludvigsen and Ovrum (2012)</t>
  </si>
  <si>
    <t>Ludvigsen, K. B. and E. Ovrum (2012). Fuel cells for ships. Hövik, Norway, Det Norske Veritas (DNV).</t>
  </si>
  <si>
    <t>Short</t>
  </si>
  <si>
    <t>Full reference</t>
  </si>
  <si>
    <t>Total engine cost LNG 2-stroke high pressure diesel dual fuel (USD/kW mech output main)</t>
  </si>
  <si>
    <t>Total engine cost LNG 4-stroke  dual fuel (USD/kW mech output main)</t>
  </si>
  <si>
    <t>The data was provided by MAN Diesel &amp; Turbo and Wärtsilä, assuming the sam scaling as HFO engines</t>
  </si>
  <si>
    <t>200-700</t>
  </si>
  <si>
    <t>Used data</t>
  </si>
  <si>
    <t>All values are rounded to 3 significant digits</t>
  </si>
  <si>
    <t>"Min energy use" of vessel (MJ/km)</t>
  </si>
  <si>
    <r>
      <t xml:space="preserve">efficiency * min "energy use"  </t>
    </r>
    <r>
      <rPr>
        <b/>
        <i/>
        <sz val="10"/>
        <color indexed="10"/>
        <rFont val="Geneva"/>
      </rPr>
      <t>(Selma: Vad fyller denna rad för funktion?)</t>
    </r>
  </si>
  <si>
    <t>BTL FC</t>
  </si>
  <si>
    <t>(Selma: Vad fyller denna rad för funktion?)</t>
  </si>
  <si>
    <t>Vessel properties</t>
  </si>
  <si>
    <t>Peak mechanical output (kWm)</t>
  </si>
  <si>
    <t>Power</t>
  </si>
  <si>
    <t>Check these! All values are rounded to 3 significant digits</t>
  </si>
  <si>
    <t>*Dessa värden är delade på 1000 och sedan innlagda i modellen. Jag förstår inte varför vi delar på tusen? Vilken enhet har vi på värdet vi matar in?</t>
  </si>
  <si>
    <t>Additional cost compared to MGO (USD/vessel)</t>
  </si>
  <si>
    <t>Total vessel cost (USD/vessel)</t>
  </si>
  <si>
    <t>Tank capacity (m3 MGO)</t>
  </si>
  <si>
    <t>The days between bunkering is based on the time it takes to travel from Long Beach to Shanghai (for container and ocean) times 1.5 (Stopford, 2009).  A bulk vessel is assumed to be representative for ocean  and container vessel for conatiner.</t>
  </si>
  <si>
    <t>The days between bunkering is based on the time it takes to travel from Marseille and Rotterdam (short sea) times 1.5 (Stopford, 2009). Assuming a speed of 20 knots</t>
  </si>
  <si>
    <t>Stopford (2009)</t>
  </si>
  <si>
    <t>Average kW/ship for each category calculated from the list of world fleet 2007</t>
  </si>
  <si>
    <t>Actual energy use-primary mode (g MGO/kWh mech output)</t>
  </si>
  <si>
    <t>Efficienct ICHFO/MGO/MeOH/LNG/H2</t>
  </si>
  <si>
    <t>Efficiency FC</t>
  </si>
  <si>
    <t>Tank cost for HFO/MGO (USD/GJ)</t>
  </si>
  <si>
    <t>Tank cost for BTL/GTL/CTL (USD/GJ)</t>
  </si>
  <si>
    <t>LNG tank cost (USD/GJ)</t>
  </si>
  <si>
    <t>Background data cost estimates</t>
  </si>
  <si>
    <t>Data in the same format as in the original source</t>
  </si>
  <si>
    <t>Data with the units used in the model</t>
  </si>
  <si>
    <t>Data not included in the model so far…</t>
  </si>
  <si>
    <t>OBS!! Denna koppling blir fel om olika effektiviteter för IC motorer.</t>
  </si>
  <si>
    <t>Abatement technologies for NOx Tier III (USD/kW mech output)</t>
  </si>
  <si>
    <t>Abatement technologies for 0.5%S (USD/kW mech output)</t>
  </si>
  <si>
    <t>Not applicabe here should we remove it?</t>
  </si>
  <si>
    <t>Avänder vi detta?</t>
  </si>
  <si>
    <t>FC total</t>
  </si>
  <si>
    <t>Exhuast abatement</t>
  </si>
  <si>
    <t>Electric motor (USD/kWe)</t>
  </si>
  <si>
    <t>For an easier overview</t>
  </si>
  <si>
    <t>Data for unit conversion</t>
  </si>
  <si>
    <t xml:space="preserve"> Additional vessel cost compared to MGO(kUSD/vessel)</t>
  </si>
  <si>
    <t>Total vessel cost (kUSD/vessel)</t>
  </si>
  <si>
    <t>Propulsion cost (USD/kW)</t>
  </si>
  <si>
    <t>Storage cost (USD/t)</t>
  </si>
  <si>
    <t>Ocean vessel</t>
  </si>
  <si>
    <t>Conatiner vessel</t>
  </si>
  <si>
    <t>Short sea vessel</t>
  </si>
  <si>
    <t>Petro</t>
  </si>
  <si>
    <t>USD/m3</t>
  </si>
  <si>
    <t xml:space="preserve"> Sames (2012)</t>
  </si>
  <si>
    <t>Sames (2012)</t>
  </si>
  <si>
    <t xml:space="preserve">Sames, P. C. (2012). E-mail communication with P. C. Sames at Germanisher Lloyds regarding fuelcell and LNG tank cost the 17th of October 2012. </t>
  </si>
  <si>
    <t>LNG tank cost, type C [USD/GJ]</t>
  </si>
  <si>
    <t>LNG tank cost, type A/B [USD/GJ]</t>
  </si>
  <si>
    <t>Short Sea</t>
  </si>
  <si>
    <t>LNG tank cost assuming type A/B for ocean and container and type C for short sea</t>
  </si>
  <si>
    <t>Could be used as our low estimate?</t>
  </si>
  <si>
    <t>Total cost fuel cells today (USD/kW mech output)</t>
  </si>
  <si>
    <t>Total cost fuel cells in 2025 (USD/kW mech output)</t>
  </si>
  <si>
    <t>Sames acknowledge that smaller type C tanks may be more costly</t>
  </si>
  <si>
    <t>Sames commented that we may need to include significant maintenance costs when stack changes are considered for fuel cells.</t>
  </si>
  <si>
    <t>LNG tank cost [USD/kW mech output]</t>
  </si>
  <si>
    <t>Pierre Sames, Germanischer Lloyd</t>
  </si>
  <si>
    <t>Efficiency FC (extra high)</t>
  </si>
  <si>
    <t>Percental change compared to MGO</t>
  </si>
  <si>
    <t>usd /kW</t>
  </si>
  <si>
    <t>usd/kW</t>
  </si>
  <si>
    <t>45-50%</t>
  </si>
  <si>
    <t>Skulle kuunna använda 47,5 som bas istället för 50 alt. 45 som bas och 40 som lågt och 50 som högt???</t>
  </si>
  <si>
    <t>Throughput [kW] - Case 2</t>
  </si>
  <si>
    <t>Throughput [kW] - Case 1</t>
  </si>
  <si>
    <t>Investment cost [USD/kW] - Case I</t>
  </si>
  <si>
    <t>Investment cost [USD] - Case I</t>
  </si>
  <si>
    <t>Investment cost [USD]- Case 2</t>
  </si>
  <si>
    <t>Investment cost [USD/kW]- Case 2</t>
  </si>
  <si>
    <t>Investment cost [USD] - Case 3</t>
  </si>
  <si>
    <t>Investment cost [USD/kW] - Case 3</t>
  </si>
  <si>
    <t>Throughput [kW] - Case 3</t>
  </si>
  <si>
    <t>Total investment cost (USD/kW) Case 3</t>
  </si>
  <si>
    <t>Operational cost [USD/kW] - Case 3</t>
  </si>
  <si>
    <t>Operational cost [USD/kW]-  Case 2</t>
  </si>
  <si>
    <t>Total investment cost (USD/kW) Case 2</t>
  </si>
  <si>
    <t>Operational cost [USD/kW] - Case I</t>
  </si>
  <si>
    <t>Total investment cost (USD/kW) Case 1</t>
  </si>
  <si>
    <t>Fuel distribution cost LNG, high (USD/kW)</t>
  </si>
  <si>
    <t>Fuel distribution cost LNG, low (USD/kW)</t>
  </si>
  <si>
    <t>Todays price for MCFC</t>
  </si>
  <si>
    <t>Weight (kg)</t>
  </si>
  <si>
    <t>Volume (m3)</t>
  </si>
  <si>
    <t>W/kg</t>
  </si>
  <si>
    <t>kW/m3</t>
  </si>
  <si>
    <t>Power density (MCFC) (W/kg)</t>
  </si>
  <si>
    <t>Specific power (MCFC) (kW/m3)</t>
  </si>
  <si>
    <t>Engine efficiency dependent on size</t>
  </si>
  <si>
    <t>&gt;15000kW</t>
  </si>
  <si>
    <t>15000-5000kW</t>
  </si>
  <si>
    <t>5000 kW</t>
  </si>
  <si>
    <t>Specific fuel oil consumption (g/kWh)</t>
  </si>
  <si>
    <t>LHV/HHV</t>
  </si>
  <si>
    <t>Conversion factor for efficiency beased on LHV (MGO base)</t>
  </si>
  <si>
    <t>Buhaug et al (2009)</t>
  </si>
  <si>
    <t>175, 185, 195</t>
  </si>
  <si>
    <t xml:space="preserve">g HFO/kWh </t>
  </si>
  <si>
    <t>Difference in engine efficiency dependent on engine size Table A1.2</t>
  </si>
  <si>
    <t>Fuel</t>
  </si>
  <si>
    <t>Space and weight of the propulsion system:</t>
  </si>
  <si>
    <t>Engine or fuel cell:</t>
  </si>
  <si>
    <t>Fuel:</t>
  </si>
  <si>
    <t>Weight (kg) assuming 2 m radius 2 cm thick circular cylinder and steel</t>
  </si>
  <si>
    <t>Volume (m3) assuming 2 m radius 2 cm thick circular cylinder and steel</t>
  </si>
  <si>
    <t>Fuel tank:</t>
  </si>
  <si>
    <t>Density steel (kg/m3)</t>
  </si>
  <si>
    <t>Summary weight (kg)</t>
  </si>
  <si>
    <t>Propulsion system</t>
  </si>
  <si>
    <t>Tank</t>
  </si>
  <si>
    <t>Summary volume (m3)</t>
  </si>
  <si>
    <t>Assuming LNG and H2 tanks needs to be 4cm meter thick instead of 2 cm</t>
  </si>
  <si>
    <t>Increase</t>
  </si>
  <si>
    <t>Total</t>
  </si>
  <si>
    <t>Efficiency FC same as IC large engine high</t>
  </si>
  <si>
    <t>Extra data for conversion</t>
  </si>
  <si>
    <t>Values are same as Maria Grahn used, except HFO which is from GREET database</t>
  </si>
  <si>
    <t>Specific fuel oil consumption depending on heating value and engine efficiency</t>
  </si>
  <si>
    <t>Specific fuel oil consuption for differnt engine sizes (Buhaug, 2009)</t>
  </si>
  <si>
    <t>Engine efficiency LHV</t>
  </si>
  <si>
    <t>Engine efficiency HHV</t>
  </si>
  <si>
    <t>ICE 40% eff all fuels, FC 45%</t>
  </si>
  <si>
    <t>Efficiency (LHV 43,2)</t>
  </si>
  <si>
    <t>Efficiency (HHV 46,1)</t>
  </si>
  <si>
    <t>Energy efficiency ratio HHV</t>
  </si>
  <si>
    <t xml:space="preserve">ICE MGO 43%, ICE rest 5% more efficient, FC 50% </t>
  </si>
  <si>
    <t xml:space="preserve">ICE MGO 45%, ICE rest 5% more efficient, FC 50% </t>
  </si>
  <si>
    <t xml:space="preserve">ICE MGO 48%, ICE rest 5% more efficient, FC 50% </t>
  </si>
  <si>
    <t>ICE MGO 40%, ICE rest 5% more efficient, FC 45%</t>
  </si>
  <si>
    <t>Total cost fuels cells base case (USD/kW mech output)</t>
  </si>
  <si>
    <t>base</t>
  </si>
  <si>
    <t>Tank cost for H2 (base)</t>
  </si>
  <si>
    <t xml:space="preserve">LNG tank cost,  low estimate [USD/GJ] </t>
  </si>
  <si>
    <t xml:space="preserve">  Overall PT efficiency, year 2050 HHV</t>
  </si>
  <si>
    <t xml:space="preserve">  Overall PT efficiency, year 2050 LHV</t>
  </si>
  <si>
    <t>Tank cost for HFO/MGO (USD/m3)</t>
  </si>
  <si>
    <t>Tank cost for BTL/GTL/CTL (USD/m3)</t>
  </si>
  <si>
    <t>For bio oils</t>
  </si>
  <si>
    <t>Scal factor for larger tank</t>
  </si>
  <si>
    <t>Rounded to 15 orinally 14</t>
  </si>
  <si>
    <t>Discount rate</t>
  </si>
  <si>
    <t>Denna borde nog inte inkluderas</t>
  </si>
  <si>
    <t>Finns risk att det blir missvisande pga mycket större tank i förhålande till motor för OCEAn</t>
  </si>
  <si>
    <t>Henrik Nordhammar Stena teknik</t>
  </si>
  <si>
    <t>assumed same as CI</t>
  </si>
  <si>
    <t>BEV</t>
  </si>
  <si>
    <t xml:space="preserve">   Battery kWe</t>
  </si>
  <si>
    <t>Propulsion system (electric propulsuion and batteries)</t>
  </si>
  <si>
    <t>EV total</t>
  </si>
  <si>
    <t>Battery capacity (GJ)</t>
  </si>
  <si>
    <t>Fuel tanks(USD/GJ)</t>
  </si>
  <si>
    <t>RoPax ferry</t>
  </si>
  <si>
    <t>Battery capacity (MWh)</t>
  </si>
  <si>
    <t>Truck</t>
  </si>
  <si>
    <t>Buss</t>
  </si>
  <si>
    <t>Vehicle categories</t>
  </si>
  <si>
    <t xml:space="preserve">Road </t>
  </si>
  <si>
    <t>Sea</t>
  </si>
  <si>
    <t>All sea vessels</t>
  </si>
  <si>
    <t>Air</t>
  </si>
  <si>
    <t>Car 1</t>
  </si>
  <si>
    <t>Car 2</t>
  </si>
  <si>
    <t>USD 2018/kW</t>
  </si>
  <si>
    <t>Energy Transitions Commission – WORK IN PROGRESS March 2018 -Decarbonizing shipping Consultation workshop (2018)</t>
  </si>
  <si>
    <t>Unpublished power point main source UCL and UMAS</t>
  </si>
  <si>
    <t xml:space="preserve">Hämtat från http://www.riksbank.se/sv/Rantor-och-valutakurser/Sok-rantor-och-valutakurser/  </t>
  </si>
  <si>
    <t>Räntor och valutor</t>
  </si>
  <si>
    <t>DETALJERAT RESULTAT 2000-01-03 - 2014-12-30</t>
  </si>
  <si>
    <t/>
  </si>
  <si>
    <t>Valutor mot svenska kronor</t>
  </si>
  <si>
    <t>1 EUR</t>
  </si>
  <si>
    <t>1 USD</t>
  </si>
  <si>
    <t>Period</t>
  </si>
  <si>
    <t>Medel</t>
  </si>
  <si>
    <t>2000</t>
  </si>
  <si>
    <t>2001</t>
  </si>
  <si>
    <t>2002</t>
  </si>
  <si>
    <t>2003</t>
  </si>
  <si>
    <t>2004</t>
  </si>
  <si>
    <t>2005</t>
  </si>
  <si>
    <t>2006</t>
  </si>
  <si>
    <t>2007</t>
  </si>
  <si>
    <t>2008</t>
  </si>
  <si>
    <t>2009</t>
  </si>
  <si>
    <t>2010</t>
  </si>
  <si>
    <t>2011</t>
  </si>
  <si>
    <t>2012</t>
  </si>
  <si>
    <t>2013</t>
  </si>
  <si>
    <t>2014</t>
  </si>
  <si>
    <t>Fotnot</t>
  </si>
  <si>
    <t>EUR (1993-01-04 - )</t>
  </si>
  <si>
    <t>EUR Euroland, euro</t>
  </si>
  <si>
    <t>Källa: NASDAQ OMX Stockholm AB</t>
  </si>
  <si>
    <t>USD (1993-01-04 - )</t>
  </si>
  <si>
    <t>USD Förenta Staterna, dollar</t>
  </si>
  <si>
    <t>From excelbook Consumer price index.xls</t>
  </si>
  <si>
    <t>Harmonised Indices of Consumer Prices (HICPs) are designed for international comparisons of consumer price inflation. HICP is used for example by the European Central Bank for monitoring of inflation in the Economic and Monetary Union and for the assessment of inflation convergence as required under Article 121 of the Treaty of Amsterdam. For the U.S. and Japan national consumer price indices are used in the table.</t>
  </si>
  <si>
    <t>Year</t>
  </si>
  <si>
    <t xml:space="preserve">Euro area </t>
  </si>
  <si>
    <t>Euro 2015</t>
  </si>
  <si>
    <t>Euro 2010</t>
  </si>
  <si>
    <t>Dollar 2010</t>
  </si>
  <si>
    <t>Cost conversion</t>
  </si>
  <si>
    <t>https://inflationdata.com/Inflation/Consumer_Price_Index/HistoricalCPI.aspx?reloaded=true#Table</t>
  </si>
  <si>
    <t>Jan</t>
  </si>
  <si>
    <t>Feb</t>
  </si>
  <si>
    <t>Mar</t>
  </si>
  <si>
    <t>Apr</t>
  </si>
  <si>
    <t>May</t>
  </si>
  <si>
    <t>Jun</t>
  </si>
  <si>
    <t>Jul</t>
  </si>
  <si>
    <t>Aug</t>
  </si>
  <si>
    <t>Sep</t>
  </si>
  <si>
    <t>Oct</t>
  </si>
  <si>
    <t>Nov</t>
  </si>
  <si>
    <t>Dec</t>
  </si>
  <si>
    <t>Ave.</t>
  </si>
  <si>
    <t>Historical Consumer Price Index (CPI-U) Data</t>
  </si>
  <si>
    <t>Dollar 2017</t>
  </si>
  <si>
    <t>Electric motor for ships (USD/kWe)</t>
  </si>
  <si>
    <t>Battery cost ships (high) (USD/kWh)</t>
  </si>
  <si>
    <t>Battery cost ships (middle) (USD/kWh)</t>
  </si>
  <si>
    <t>Battery cost ships (low) (USD/kWh)</t>
  </si>
  <si>
    <t>USD 2018/kWM69:O69AM69:X69</t>
  </si>
  <si>
    <t>Battery cost ships (USD/kWh)</t>
  </si>
  <si>
    <t>Fuels cells for ships (USD/kW mech output)</t>
  </si>
  <si>
    <t>H2 storage cost ships</t>
  </si>
  <si>
    <t>USD 2018/kWh</t>
  </si>
  <si>
    <t>USD 2018/kWe</t>
  </si>
  <si>
    <t>USD2017/kWnet</t>
  </si>
  <si>
    <t>DOE Hydrogen and Fuel Cells Program Record, Fuel Cell System Cost - 2017(September 30, 2017) Adria Wilson, Gregory Kleen, and Dimitrios Papageorgopoulos</t>
  </si>
  <si>
    <t>Cost 2025 when manufactured at a volume of 100,000 units/year</t>
  </si>
  <si>
    <t>Cost 2025 when manufactured at a volume of 500,000 units/year</t>
  </si>
  <si>
    <t>Vessel and vechicle cost</t>
  </si>
  <si>
    <t>Cars</t>
  </si>
  <si>
    <t>Gasoline TDI IC</t>
  </si>
  <si>
    <t>MeOH TDI IC</t>
  </si>
  <si>
    <t>H2 TDI IC</t>
  </si>
  <si>
    <t>HEV.
petro</t>
  </si>
  <si>
    <t>PHEV.
petro</t>
  </si>
  <si>
    <t>PHEV.
elec</t>
  </si>
  <si>
    <t>PHEV.
net</t>
  </si>
  <si>
    <t>Petro FC</t>
  </si>
  <si>
    <t>Prius</t>
  </si>
  <si>
    <t>Escape HEV</t>
  </si>
  <si>
    <t>Escape PHEV</t>
  </si>
  <si>
    <t>Volt</t>
  </si>
  <si>
    <t>New value</t>
  </si>
  <si>
    <t>Original Value</t>
  </si>
  <si>
    <t>HEV.
meoh</t>
  </si>
  <si>
    <t>PHEV.
meoh</t>
  </si>
  <si>
    <t>Engine properties</t>
  </si>
  <si>
    <t xml:space="preserve">  Overall PT efficiency, year 2050</t>
  </si>
  <si>
    <t>THIS INFO IS LHV BASED</t>
  </si>
  <si>
    <t>"Min energy use" of vehicle (MJ/km) (rullmotstånd)</t>
  </si>
  <si>
    <t>MJ/km</t>
  </si>
  <si>
    <t>lit/10km</t>
  </si>
  <si>
    <t>MJ/lit (gasoline) HHV</t>
  </si>
  <si>
    <t>Actual energy use-primary mode (MJ/km)</t>
  </si>
  <si>
    <t>Drive range - non elec (km)</t>
  </si>
  <si>
    <t>Drive range - elec (km)</t>
  </si>
  <si>
    <t>Energy storage (GJ) - non elec</t>
  </si>
  <si>
    <t>Energy storage (GJ) - elec</t>
  </si>
  <si>
    <t xml:space="preserve">  Energy storage (kWh) - elec</t>
  </si>
  <si>
    <t>Peak  mechanical output (kWm)</t>
  </si>
  <si>
    <t>unknown</t>
  </si>
  <si>
    <t>Combined, actual</t>
  </si>
  <si>
    <t>Base-load motor mechanical output (Wh/km)</t>
  </si>
  <si>
    <t>Base-load power supply to motors</t>
  </si>
  <si>
    <t>Max driving speed (km/h)</t>
  </si>
  <si>
    <t xml:space="preserve">   Max continuous mechanical load (kWm)</t>
  </si>
  <si>
    <t xml:space="preserve">   Max continuous elec load (kWe)</t>
  </si>
  <si>
    <t>Electric motor</t>
  </si>
  <si>
    <t>Others</t>
  </si>
  <si>
    <t>cost diff relative to TDI IC yr 2050</t>
  </si>
  <si>
    <t>above values, rounded</t>
  </si>
  <si>
    <t>Data used in GET 1.0</t>
  </si>
  <si>
    <t xml:space="preserve">Proposed 4-30-08 </t>
  </si>
  <si>
    <t>SEE TABLE BELOW</t>
  </si>
  <si>
    <t xml:space="preserve">FC stack cost, $/kWe  </t>
  </si>
  <si>
    <r>
      <t xml:space="preserve">FC: </t>
    </r>
    <r>
      <rPr>
        <b/>
        <sz val="10"/>
        <rFont val="Geneva"/>
      </rPr>
      <t>45,</t>
    </r>
    <r>
      <rPr>
        <sz val="10"/>
        <rFont val="Geneva"/>
      </rPr>
      <t xml:space="preserve"> 65, 95, 125</t>
    </r>
  </si>
  <si>
    <t xml:space="preserve">NG storage cost, $/GJ HHV  </t>
  </si>
  <si>
    <r>
      <t xml:space="preserve">NG: </t>
    </r>
    <r>
      <rPr>
        <b/>
        <sz val="10"/>
        <rFont val="Geneva"/>
      </rPr>
      <t>500,</t>
    </r>
    <r>
      <rPr>
        <sz val="10"/>
        <rFont val="Geneva"/>
      </rPr>
      <t xml:space="preserve"> 1000, 1150, 1300,</t>
    </r>
    <r>
      <rPr>
        <b/>
        <sz val="10"/>
        <rFont val="Geneva"/>
      </rPr>
      <t xml:space="preserve"> 1500</t>
    </r>
  </si>
  <si>
    <t xml:space="preserve">H2 storage cost, $/GJ HHV  </t>
  </si>
  <si>
    <r>
      <t xml:space="preserve">H2: </t>
    </r>
    <r>
      <rPr>
        <b/>
        <sz val="10"/>
        <rFont val="Geneva"/>
      </rPr>
      <t>500, 1000</t>
    </r>
    <r>
      <rPr>
        <sz val="10"/>
        <rFont val="Geneva"/>
      </rPr>
      <t xml:space="preserve">, 1500, 2500, 3500, </t>
    </r>
    <r>
      <rPr>
        <b/>
        <sz val="10"/>
        <rFont val="Geneva"/>
      </rPr>
      <t>4500, 6500</t>
    </r>
  </si>
  <si>
    <t xml:space="preserve">Battery cost, $/kWh  </t>
  </si>
  <si>
    <t>Battery: 150,300,450</t>
  </si>
  <si>
    <t>Trucks</t>
  </si>
  <si>
    <t>"Min energy use" of vehicle (MJ/km)</t>
  </si>
  <si>
    <t>MJ/lit (diesel) HHV</t>
  </si>
  <si>
    <t xml:space="preserve">   Max continuous mechanical load (kWtm)</t>
  </si>
  <si>
    <t xml:space="preserve">   Max continuous elec load (kWe/t)</t>
  </si>
  <si>
    <t>Nykvist, B. &amp; Nilsson, M. 2015. Rapidly falling costs of battery packs for electric vehicles. Nature Climate Change, 5, 329.</t>
  </si>
  <si>
    <t>Battery cost cars 2030(USD/kWh)</t>
  </si>
  <si>
    <t>Battery cost cars 2010 (USD/kWh)</t>
  </si>
  <si>
    <t>USD2014/kWh</t>
  </si>
  <si>
    <t>150-500</t>
  </si>
  <si>
    <t>Battery cost cars 2020(USD/kWh)</t>
  </si>
  <si>
    <t>150-300</t>
  </si>
  <si>
    <t xml:space="preserve">https://www.ft.com/content/6e475f18-3c85-11e7-ac89-b01cc67cfeec </t>
  </si>
  <si>
    <t>Electric car costs forecast to hit parity with petrol vehicles</t>
  </si>
  <si>
    <t>Fuels cells for automotive PEM (USD/kW mech output)</t>
  </si>
  <si>
    <t>USD2016/kWnet</t>
  </si>
  <si>
    <t>Cost</t>
  </si>
  <si>
    <t>James, B. D., Huya-Kouadio, J. M., Houchins, C. &amp; DeSantis, D. A. 2017. Mass Production Cost Estimation of Direct H2 PEM Fuel Cell Systems for Transportation Applications: 2016 Update Rev 3. Strategic Analysis Inc.</t>
  </si>
  <si>
    <t>Total system cost automotive PEM 500 000 units (USD/kWnet)</t>
  </si>
  <si>
    <t>Total system cost automotive PEM2016 1000 units (USD/kWnet)</t>
  </si>
  <si>
    <t>GUSD/G cars</t>
  </si>
  <si>
    <t>GUSD/G busses</t>
  </si>
  <si>
    <t>p_car</t>
  </si>
  <si>
    <t>f_road</t>
  </si>
  <si>
    <t>p_bus</t>
  </si>
  <si>
    <t xml:space="preserve">f_container </t>
  </si>
  <si>
    <t>f_coast</t>
  </si>
  <si>
    <t>f_ocean</t>
  </si>
  <si>
    <t>FC</t>
  </si>
  <si>
    <t>hyb</t>
  </si>
  <si>
    <t>PHEV</t>
  </si>
  <si>
    <t>petro</t>
  </si>
  <si>
    <t>CH4</t>
  </si>
  <si>
    <t>elec</t>
  </si>
  <si>
    <t>GUSD/ G road vehicles</t>
  </si>
  <si>
    <t>Unit</t>
  </si>
  <si>
    <t>Vehicle/vessel</t>
  </si>
  <si>
    <t>PHEV.
MeOH</t>
  </si>
  <si>
    <t>HEV.
MeOH</t>
  </si>
  <si>
    <t>PHEV.
H2</t>
  </si>
  <si>
    <t>HEV.
H2</t>
  </si>
  <si>
    <t>HEV.
CH4</t>
  </si>
  <si>
    <t>CH4 TDI IC</t>
  </si>
  <si>
    <t>PHEV.
CH4</t>
  </si>
  <si>
    <t>Total system cost bus PEM2016 200 units (USD/kWnet)</t>
  </si>
  <si>
    <t>Total system cost bus PEM 1000 units (USD/kWnet)</t>
  </si>
  <si>
    <t>HEV.
Petro</t>
  </si>
  <si>
    <r>
      <t xml:space="preserve">efficiency * min "energy use"  </t>
    </r>
    <r>
      <rPr>
        <b/>
        <i/>
        <sz val="10"/>
        <color indexed="10"/>
        <rFont val="Calibri"/>
        <family val="2"/>
        <scheme val="minor"/>
      </rPr>
      <t>(Selma: Vad fyller denna rad för funktion?)</t>
    </r>
  </si>
  <si>
    <t>Scaling cost by Selma</t>
  </si>
  <si>
    <t>Extra cost for LNG engine</t>
  </si>
  <si>
    <t>Assumption</t>
  </si>
  <si>
    <t>Extra cost for H2 engine</t>
  </si>
  <si>
    <t>Scaling by Selma</t>
  </si>
  <si>
    <t>Tank cost for H2 (USD/GJ)</t>
  </si>
  <si>
    <t>1 kWh</t>
  </si>
  <si>
    <t>GJ</t>
  </si>
  <si>
    <t>Battery cost  (USD/GJ)</t>
  </si>
  <si>
    <t>Additional cost compared to MGO (USD/ vessels)</t>
  </si>
  <si>
    <t>Additional cost compared to MGO (G USD/10 000  vessels)</t>
  </si>
  <si>
    <t>Total fuel cell system cost hydrogen (USD/kW)</t>
  </si>
  <si>
    <t>Euro2018/kW</t>
  </si>
  <si>
    <t>Horvath, S., Fasihi, M. &amp; Breyer, C. 2018. Techno-economic analysis of a decarbonized shipping sector: Technology suggestions for a fleet in 2030 and 2040. Energy Conversion and Management, 164, 230-241.</t>
  </si>
  <si>
    <t>2015</t>
  </si>
  <si>
    <t>2016</t>
  </si>
  <si>
    <t>2017</t>
  </si>
  <si>
    <t>Updated 18-04-2018 with 2015=100</t>
  </si>
  <si>
    <t>Euro2017</t>
  </si>
  <si>
    <t>Euro2015</t>
  </si>
  <si>
    <t>Euro2018</t>
  </si>
  <si>
    <t>Euro2010</t>
  </si>
  <si>
    <t>Total vessel cost/kW installed capacity (USD/kW)</t>
  </si>
  <si>
    <t xml:space="preserve">H2 storage tank </t>
  </si>
  <si>
    <t>Euro/kWh</t>
  </si>
  <si>
    <t xml:space="preserve">For comparison: Hummel, P., Lesne, D., Radlinger, J., Golbaz, C., Langan, C., Takahashi, K., Mulholland, D., Stott, A., Haire, G., Mittermaier, M., Gaudois, N. &amp; Shaw, L. 2017. UBS Evidence Lab Electric Car Teardown – Disruption Ahead? : UBS Limited.
</t>
  </si>
  <si>
    <t xml:space="preserve">  Reformer efficiency</t>
  </si>
  <si>
    <t>Electric motor efficiency</t>
  </si>
  <si>
    <t>Pohl, H., Grauers, A., Nyman, J. &amp; Wiberg, E. 2017. När passar bränsleceller bäst? – en studie av elektrifierade drivlinor. Energiforsk.</t>
  </si>
  <si>
    <t>Battery efficiency</t>
  </si>
  <si>
    <t>Electric motor Chevrolet Bolt  2017 (USD/kWe)</t>
  </si>
  <si>
    <t>Gearbox, housing, rest (USD/kWe)</t>
  </si>
  <si>
    <t>USD2017/kWe</t>
  </si>
  <si>
    <t>Electric motor + gearbox, housing rest Chevrolet Bolt  2025 (USD/kWe)</t>
  </si>
  <si>
    <t>Electric motor + gearbox, housing rest Chevrolet Bolt  2017 (USD/kWe)</t>
  </si>
  <si>
    <t>Electric motor + gearbox, housing rest  (USD/kWe)</t>
  </si>
  <si>
    <t>Hummel, P., Lesne, D., Radlinger, J., Golbaz, C., Langan, C., Takahashi, K., Mulholland, D., Stott, A., Haire, G., Mittermaier, M., Gaudois, N. &amp; Shaw, L. 2017. UBS Evidence Lab Electric Car Teardown – Disruption Ahead? : UBS Limited.</t>
  </si>
  <si>
    <t>Electric motor  (USD/kWe)</t>
  </si>
  <si>
    <t>Peak battery cost 2010 (USD/kWe</t>
  </si>
  <si>
    <t>Peak battery cost 20150 (USD/kWe</t>
  </si>
  <si>
    <t>Old Azar Grahn data sheet</t>
  </si>
  <si>
    <t>USD 2010/kWe</t>
  </si>
  <si>
    <t>USD 2017/kWe</t>
  </si>
  <si>
    <t>Batteries (max of capacity or power)</t>
  </si>
  <si>
    <t>Engine cost diesel 2050 (USD/kW mech output main)</t>
  </si>
  <si>
    <t>Engine cost diesel 1010 (USD/kW mech output main)</t>
  </si>
  <si>
    <t>Old GET version Azar,  Maria G mfl.</t>
  </si>
  <si>
    <t>1.5 the value of 2050</t>
  </si>
  <si>
    <t>Engine cost H2 car (USD/kW mech output)</t>
  </si>
  <si>
    <t>Jim Anderson:
Ford estimate that H2 powertrain costs $5/kW more than gasoline</t>
  </si>
  <si>
    <t>Engine cost H2 2050 (USD/kW mech output)</t>
  </si>
  <si>
    <t>Engine cost H2 2010 (USD/kW mech output)</t>
  </si>
  <si>
    <t>Plane 1 short</t>
  </si>
  <si>
    <t>Plane 2 medium</t>
  </si>
  <si>
    <t>Plane 3 long</t>
  </si>
  <si>
    <t>Plane freight?</t>
  </si>
  <si>
    <t>Train</t>
  </si>
  <si>
    <t>p rail ?</t>
  </si>
  <si>
    <t>f rail?</t>
  </si>
  <si>
    <t>Aircraft top level requirements A350-900</t>
  </si>
  <si>
    <t>General Requirements</t>
  </si>
  <si>
    <t>Range (design mission)</t>
  </si>
  <si>
    <t>8100 NM</t>
  </si>
  <si>
    <t>ACAP</t>
  </si>
  <si>
    <t>PAX (design mission)</t>
  </si>
  <si>
    <t>Typical Passenger Weight (design mission)</t>
  </si>
  <si>
    <t>95 kg</t>
  </si>
  <si>
    <t>Take-off and Landing</t>
  </si>
  <si>
    <t>TOFL (MTOW, SL, ISA)</t>
  </si>
  <si>
    <t xml:space="preserve">2900 m </t>
  </si>
  <si>
    <t>TTC (from 1500 ft, ISA)</t>
  </si>
  <si>
    <t>&lt; 25 min</t>
  </si>
  <si>
    <t xml:space="preserve">LFL (MLW, SL) </t>
  </si>
  <si>
    <t>1900 m</t>
  </si>
  <si>
    <t>Vapproach kt</t>
  </si>
  <si>
    <t>Cruise</t>
  </si>
  <si>
    <t>Initial Cruise Altitude</t>
  </si>
  <si>
    <t>at least FL350</t>
  </si>
  <si>
    <t>Design Cruise Mach Number</t>
  </si>
  <si>
    <t>at least M 0.85</t>
  </si>
  <si>
    <t>Airports Compatibility Limits</t>
  </si>
  <si>
    <t>Code E</t>
  </si>
  <si>
    <t>Fuel reserves</t>
  </si>
  <si>
    <t>Contingency</t>
  </si>
  <si>
    <t>Diversion distance</t>
  </si>
  <si>
    <t>100 NM</t>
  </si>
  <si>
    <t>Diversion altitude</t>
  </si>
  <si>
    <t>20,000 ft</t>
  </si>
  <si>
    <t>Hold</t>
  </si>
  <si>
    <t>30 min</t>
  </si>
  <si>
    <t>Jet-A SMR</t>
  </si>
  <si>
    <t>pax</t>
  </si>
  <si>
    <t>payload (kg)</t>
  </si>
  <si>
    <t xml:space="preserve">range </t>
  </si>
  <si>
    <t>Mid cruise L/D</t>
  </si>
  <si>
    <t>MTOW (kg)</t>
  </si>
  <si>
    <t>MRW (kg)</t>
  </si>
  <si>
    <t>MLW (kg)</t>
  </si>
  <si>
    <t>MZFW (kg)</t>
  </si>
  <si>
    <t>MEW (kg)</t>
  </si>
  <si>
    <t>OEW (kg)</t>
  </si>
  <si>
    <t>Tank volume (m3)</t>
  </si>
  <si>
    <t>Tank weight (kg) (including structure and fairing)</t>
  </si>
  <si>
    <t>NA</t>
  </si>
  <si>
    <t>Engine dry weight (kg)</t>
  </si>
  <si>
    <t>Engine thrust SLS (lbs)</t>
  </si>
  <si>
    <t>Block fuel weight (kg)</t>
  </si>
  <si>
    <t>Total fuel (kg)</t>
  </si>
  <si>
    <r>
      <t>Wing area (m</t>
    </r>
    <r>
      <rPr>
        <vertAlign val="superscript"/>
        <sz val="10"/>
        <color rgb="FF000000"/>
        <rFont val="Arial"/>
        <family val="2"/>
      </rPr>
      <t>2</t>
    </r>
    <r>
      <rPr>
        <sz val="10"/>
        <color rgb="FF000000"/>
        <rFont val="Arial"/>
        <family val="2"/>
      </rPr>
      <t>)</t>
    </r>
  </si>
  <si>
    <t>Cruise TSFC (mg/N/s)</t>
  </si>
  <si>
    <t>T/W</t>
  </si>
  <si>
    <t>Wing loading (kg/m2)</t>
  </si>
  <si>
    <t>Span (m)</t>
  </si>
  <si>
    <t>Aspect ratio</t>
  </si>
  <si>
    <t>Block Fuel burn kg/PAX/km</t>
  </si>
  <si>
    <t>Block Energy use MJ/PAX/km</t>
  </si>
  <si>
    <t>CH4 SMR</t>
  </si>
  <si>
    <t>H2 SMR</t>
  </si>
  <si>
    <t>use similar design range (not for biofuel, since they run in offdesign). For the SMR, the design range included cargo, the reported value is off-design</t>
  </si>
  <si>
    <t>Mission fuel burn (not including reserve fuel)</t>
  </si>
  <si>
    <t xml:space="preserve">including reserves (5% contingency also assuming 30 min hold, diversion 150 NM at 25000 ft) </t>
  </si>
  <si>
    <t xml:space="preserve">The engines are assumed to have similar efficiency levels. SFC is only corrected for LHV </t>
  </si>
  <si>
    <t>Higher drag requires increased thrust to meet TOFL</t>
  </si>
  <si>
    <t>wing loading is allowed to increase in LNG and LH2 since fuel is stored elsewhere. We need to comply with field lenght performance TOFL, LFL, Vapp (trade-studies)</t>
  </si>
  <si>
    <t>Span is fixed to a mximum complying with aircport codes. No wing folding mechanism is considered.</t>
  </si>
  <si>
    <t>100% Biofuel SMR *</t>
  </si>
  <si>
    <t>Same aircraft as jet-A with different fuel, 2% better *SFC due to higher LHV, however we cannot carry as much fuel due to lower density in syntetic biofuel</t>
  </si>
  <si>
    <t>Fuel Properties</t>
  </si>
  <si>
    <t xml:space="preserve">Temperature </t>
  </si>
  <si>
    <t>LHV MJ/kg</t>
  </si>
  <si>
    <r>
      <t>Density kg/m</t>
    </r>
    <r>
      <rPr>
        <b/>
        <vertAlign val="superscript"/>
        <sz val="10"/>
        <color rgb="FF000000"/>
        <rFont val="Arial"/>
        <family val="2"/>
      </rPr>
      <t>3</t>
    </r>
  </si>
  <si>
    <t>Kerosene, Jet A1</t>
  </si>
  <si>
    <t>15 °C</t>
  </si>
  <si>
    <t>Biojet [1,2]</t>
  </si>
  <si>
    <t>LNG/LBG</t>
  </si>
  <si>
    <t>Cryogenic</t>
  </si>
  <si>
    <t xml:space="preserve"> (at 1 atm and 112 K)</t>
  </si>
  <si>
    <t>25 °C</t>
  </si>
  <si>
    <t>Average molecular weight 17.9</t>
  </si>
  <si>
    <t>LH2</t>
  </si>
  <si>
    <t>Not used</t>
  </si>
  <si>
    <t>(at 1 atm and 22K) REFPROP</t>
  </si>
  <si>
    <t>Molecular weight 2.016</t>
  </si>
  <si>
    <t>Components included in the cost analysis and thier size</t>
  </si>
  <si>
    <t>Engines</t>
  </si>
  <si>
    <t>Engines thrust (N)</t>
  </si>
  <si>
    <t>Specific engine cost (Euro/N)</t>
  </si>
  <si>
    <t>Engine cost (Euro)</t>
  </si>
  <si>
    <t>Engine cost (kEuro)</t>
  </si>
  <si>
    <t>Fuel volume (m3)</t>
  </si>
  <si>
    <t>Fuel in full tanks (MJ)</t>
  </si>
  <si>
    <t>Fuel in full tanks (GJ)</t>
  </si>
  <si>
    <t>Fuel weight full tank (kg)</t>
  </si>
  <si>
    <t>Tank weight material (kg)</t>
  </si>
  <si>
    <t>Specific tank cost (Euro/MJ)</t>
  </si>
  <si>
    <t>Tank cost (Euro)</t>
  </si>
  <si>
    <t>Tank cost (kEuro)</t>
  </si>
  <si>
    <t>Engine</t>
  </si>
  <si>
    <t>Total propulsion system cost</t>
  </si>
  <si>
    <r>
      <t xml:space="preserve">Airframe weight (assumed </t>
    </r>
    <r>
      <rPr>
        <sz val="11"/>
        <color theme="1"/>
        <rFont val="Calibri"/>
        <family val="2"/>
      </rPr>
      <t>≈</t>
    </r>
    <r>
      <rPr>
        <sz val="11"/>
        <color theme="1"/>
        <rFont val="Calibri"/>
        <family val="2"/>
        <scheme val="minor"/>
      </rPr>
      <t xml:space="preserve"> EOW here)</t>
    </r>
  </si>
  <si>
    <t>Specific airframe cost (Euro/kg)</t>
  </si>
  <si>
    <t>Total airframe cost (Euro)</t>
  </si>
  <si>
    <t>Total airframe cost (kEuro)</t>
  </si>
  <si>
    <t>Airframe (kEuro)</t>
  </si>
  <si>
    <t>Engine (kEuro)</t>
  </si>
  <si>
    <t>Tank (kEuro)</t>
  </si>
  <si>
    <t>Lifetime</t>
  </si>
  <si>
    <t>Annuitized investment cost (Euro/year)</t>
  </si>
  <si>
    <t>Specific fuel cost (USD/GJ)</t>
  </si>
  <si>
    <t>Specific fuel cost (Euro/GJ)</t>
  </si>
  <si>
    <t>Yearly fuel consumption (GJ)</t>
  </si>
  <si>
    <t>Yearly fuel cost</t>
  </si>
  <si>
    <t xml:space="preserve">turbofan engines with efficiency levels similar to CFM-LEAP1A (A321-NEO) </t>
  </si>
  <si>
    <t>Included in airfram cost</t>
  </si>
  <si>
    <t>Propulsion system cost</t>
  </si>
  <si>
    <t>Airfraime cost</t>
  </si>
  <si>
    <t>Type of fuel</t>
  </si>
  <si>
    <r>
      <t>Density kg/m</t>
    </r>
    <r>
      <rPr>
        <vertAlign val="superscript"/>
        <sz val="10"/>
        <color rgb="FF000000"/>
        <rFont val="Arial"/>
        <family val="2"/>
      </rPr>
      <t>3</t>
    </r>
    <r>
      <rPr>
        <sz val="10"/>
        <color rgb="FF000000"/>
        <rFont val="Arial"/>
        <family val="2"/>
      </rPr>
      <t xml:space="preserve"> (at 15 degree C for jet and 25 degree C for gases)</t>
    </r>
  </si>
  <si>
    <t>From Andrei's article with storage cost on ships so a very big approximation…</t>
  </si>
  <si>
    <t>p_air_short</t>
  </si>
  <si>
    <t>p_air_medium</t>
  </si>
  <si>
    <t>p_air_long</t>
  </si>
  <si>
    <t>f_air</t>
  </si>
  <si>
    <t xml:space="preserve">Total aircraft cost </t>
  </si>
  <si>
    <t>Total aircraft cost (GUSD/Gplane)</t>
  </si>
  <si>
    <t>Base airframe cost</t>
  </si>
  <si>
    <t>Additonal airframecost</t>
  </si>
  <si>
    <t>Aircraft top level requirements A321NEO</t>
  </si>
  <si>
    <t>2895 NM</t>
  </si>
  <si>
    <t>2500 m</t>
  </si>
  <si>
    <t>1800 m</t>
  </si>
  <si>
    <t>at least FL330</t>
  </si>
  <si>
    <t>at least M 0.78</t>
  </si>
  <si>
    <t>Code C</t>
  </si>
  <si>
    <t>150 NM</t>
  </si>
  <si>
    <t>25,000 ft</t>
  </si>
  <si>
    <t>Long distance air-plane with A321NEO as reference</t>
  </si>
  <si>
    <t>Jet-A LR</t>
  </si>
  <si>
    <t xml:space="preserve">100% Biofuel LR </t>
  </si>
  <si>
    <t>2% better SFC, the design range is still below the maximum fuel capacity. Therefore contrary to the a321neo we can carry all the required mission fuel</t>
  </si>
  <si>
    <t>Same aircraft as jet-A with different fuel, 2% better SFC due to higher LHV, however we cannot carry as much fuel due to lower density in syntetic biofuel</t>
  </si>
  <si>
    <t>CH4 LR</t>
  </si>
  <si>
    <t>H2 LR</t>
  </si>
  <si>
    <t>turbofan engines with efficiency levels similar to RR Trent-XWB84 (A350-900)</t>
  </si>
  <si>
    <t>f_air assumed to be equal to p_air_long need to be discussed!/Selma 200605</t>
  </si>
  <si>
    <t>have assumed that MeOH is biojet or synjet or electrojet for airplanes/Selma 200605</t>
  </si>
  <si>
    <t>LNG tank cost [USD/m2]</t>
  </si>
  <si>
    <t>Medium distance air-plane with A350-900 as reference</t>
  </si>
  <si>
    <t>P_air_short = p_air_medium/2 needs to be updated!!!</t>
  </si>
  <si>
    <t>IMPORTANT!!!</t>
  </si>
  <si>
    <t>NH3</t>
  </si>
  <si>
    <t>p_rail</t>
  </si>
  <si>
    <t>f_rail</t>
  </si>
  <si>
    <t>GUSD/k aircraft</t>
  </si>
  <si>
    <t>GUSD/10^8 trucks</t>
  </si>
  <si>
    <t>GUSD/10^8 road vehicles</t>
  </si>
  <si>
    <t>GUSD/ 10^8 road vehicles</t>
  </si>
  <si>
    <t xml:space="preserve"> GUSD/10^5 container vessels </t>
  </si>
  <si>
    <t xml:space="preserve">GUSD/10^5 coast vessels  </t>
  </si>
  <si>
    <t xml:space="preserve">GUSD/10^5 ocean vessels </t>
  </si>
  <si>
    <t>GUSD/10^5 vessels</t>
  </si>
  <si>
    <t>Additional cost compared to MGO (G USD/10^5  vessels)</t>
  </si>
  <si>
    <t>GUSD/10^5 aircraft</t>
  </si>
  <si>
    <t xml:space="preserve">vehicle_cost("p_car")  </t>
  </si>
  <si>
    <t>vehicle_cost("f_road")</t>
  </si>
  <si>
    <t xml:space="preserve">vehicle_cost("p_bus") </t>
  </si>
  <si>
    <t>vehicle_cost("f_container")</t>
  </si>
  <si>
    <t xml:space="preserve">vehicle_cost("f_coast") </t>
  </si>
  <si>
    <t xml:space="preserve">vehicle_cost("f_ocean") </t>
  </si>
  <si>
    <t>vehicle_cost("p_air_short")</t>
  </si>
  <si>
    <t xml:space="preserve">vehicle_cost("p_air_medium") </t>
  </si>
  <si>
    <t xml:space="preserve">vehicle_cost("p_air_long") </t>
  </si>
  <si>
    <t xml:space="preserve">vehicle_cost("f_air") </t>
  </si>
  <si>
    <t xml:space="preserve">vehicle_cost("f_rail") </t>
  </si>
  <si>
    <t xml:space="preserve">vehicle_cost("p_rail") </t>
  </si>
  <si>
    <t>air_fuel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</si>
</sst>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_-* #,##0.00&quot; kr&quot;_-;\-* #,##0.00&quot; kr&quot;_-;_-* &quot;-&quot;??&quot; kr&quot;_-;_-@_-"/>
    <numFmt numFmtId="167" formatCode="0.0%"/>
    <numFmt numFmtId="168" formatCode="0.0000"/>
  </numFmts>
  <fonts count="67">
    <font>
      <sz val="11"/>
      <color theme="1"/>
      <name val="Calibri"/>
      <family val="2"/>
      <scheme val="minor"/>
    </font>
    <font>
      <sz val="9"/>
      <name val="Geneva"/>
    </font>
    <font>
      <b/>
      <sz val="10"/>
      <name val="Geneva"/>
    </font>
    <font>
      <sz val="10"/>
      <name val="Geneva"/>
    </font>
    <font>
      <sz val="10"/>
      <color indexed="55"/>
      <name val="Geneva"/>
    </font>
    <font>
      <b/>
      <sz val="8"/>
      <color indexed="81"/>
      <name val="Tahoma"/>
      <family val="2"/>
    </font>
    <font>
      <sz val="8"/>
      <color indexed="81"/>
      <name val="Tahoma"/>
      <family val="2"/>
    </font>
    <font>
      <b/>
      <sz val="9"/>
      <color indexed="81"/>
      <name val="Tahoma"/>
      <family val="2"/>
    </font>
    <font>
      <sz val="9"/>
      <color indexed="81"/>
      <name val="Tahoma"/>
      <family val="2"/>
    </font>
    <font>
      <b/>
      <sz val="9"/>
      <name val="Geneva"/>
    </font>
    <font>
      <b/>
      <i/>
      <sz val="10"/>
      <name val="Geneva"/>
    </font>
    <font>
      <b/>
      <i/>
      <sz val="10"/>
      <color indexed="10"/>
      <name val="Geneva"/>
    </font>
    <font>
      <i/>
      <sz val="10"/>
      <name val="Geneva"/>
    </font>
    <font>
      <b/>
      <sz val="10"/>
      <name val="Arial"/>
      <family val="2"/>
    </font>
    <font>
      <sz val="10"/>
      <name val="Arial"/>
      <family val="2"/>
    </font>
    <font>
      <i/>
      <sz val="9"/>
      <name val="Geneva"/>
    </font>
    <font>
      <sz val="10"/>
      <name val="Arial"/>
      <family val="2"/>
    </font>
    <font>
      <sz val="11"/>
      <color theme="1"/>
      <name val="Calibri"/>
      <family val="2"/>
      <scheme val="minor"/>
    </font>
    <font>
      <b/>
      <sz val="15"/>
      <color theme="3"/>
      <name val="Calibri"/>
      <family val="2"/>
      <scheme val="minor"/>
    </font>
    <font>
      <sz val="12"/>
      <color theme="1"/>
      <name val="Calibri"/>
      <family val="2"/>
      <scheme val="minor"/>
    </font>
    <font>
      <b/>
      <sz val="11"/>
      <color theme="1"/>
      <name val="Calibri"/>
      <family val="2"/>
      <scheme val="minor"/>
    </font>
    <font>
      <sz val="10"/>
      <color theme="0" tint="-0.499984740745262"/>
      <name val="Geneva"/>
      <family val="2"/>
    </font>
    <font>
      <b/>
      <i/>
      <sz val="11"/>
      <color theme="1"/>
      <name val="Calibri"/>
      <family val="2"/>
      <scheme val="minor"/>
    </font>
    <font>
      <i/>
      <sz val="11"/>
      <color theme="1"/>
      <name val="Calibri"/>
      <family val="2"/>
      <scheme val="minor"/>
    </font>
    <font>
      <sz val="10"/>
      <color theme="1"/>
      <name val="Arial"/>
      <family val="2"/>
    </font>
    <font>
      <b/>
      <i/>
      <sz val="10"/>
      <color rgb="FF008000"/>
      <name val="Geneva"/>
    </font>
    <font>
      <b/>
      <i/>
      <sz val="11"/>
      <color rgb="FFFF0000"/>
      <name val="Calibri"/>
      <family val="2"/>
      <scheme val="minor"/>
    </font>
    <font>
      <i/>
      <sz val="11"/>
      <color theme="1" tint="0.499984740745262"/>
      <name val="Calibri"/>
      <family val="2"/>
      <scheme val="minor"/>
    </font>
    <font>
      <sz val="10"/>
      <color rgb="FFFF0000"/>
      <name val="Geneva"/>
    </font>
    <font>
      <i/>
      <sz val="10"/>
      <color theme="1" tint="0.499984740745262"/>
      <name val="Geneva"/>
    </font>
    <font>
      <i/>
      <sz val="10"/>
      <color theme="0" tint="-0.499984740745262"/>
      <name val="Geneva"/>
      <family val="2"/>
    </font>
    <font>
      <sz val="11"/>
      <name val="Calibri"/>
      <family val="2"/>
      <scheme val="minor"/>
    </font>
    <font>
      <i/>
      <sz val="11"/>
      <color theme="0" tint="-0.499984740745262"/>
      <name val="Calibri"/>
      <family val="2"/>
      <scheme val="minor"/>
    </font>
    <font>
      <i/>
      <sz val="10"/>
      <color theme="0" tint="-0.499984740745262"/>
      <name val="Arial"/>
      <family val="2"/>
    </font>
    <font>
      <i/>
      <sz val="10"/>
      <color theme="0" tint="-0.499984740745262"/>
      <name val="Geneva"/>
    </font>
    <font>
      <sz val="11"/>
      <name val="Arial"/>
      <family val="2"/>
    </font>
    <font>
      <sz val="8"/>
      <color rgb="FF000000"/>
      <name val="Calibri"/>
      <family val="2"/>
      <scheme val="minor"/>
    </font>
    <font>
      <u/>
      <sz val="11"/>
      <color theme="10"/>
      <name val="Calibri"/>
      <family val="2"/>
      <scheme val="minor"/>
    </font>
    <font>
      <b/>
      <sz val="24"/>
      <color theme="1"/>
      <name val="Calibri"/>
      <family val="2"/>
      <scheme val="minor"/>
    </font>
    <font>
      <b/>
      <sz val="10"/>
      <color indexed="10"/>
      <name val="Geneva"/>
    </font>
    <font>
      <b/>
      <sz val="10"/>
      <color theme="0" tint="-0.499984740745262"/>
      <name val="Geneva"/>
    </font>
    <font>
      <i/>
      <sz val="8"/>
      <color indexed="81"/>
      <name val="Tahoma"/>
      <family val="2"/>
    </font>
    <font>
      <sz val="10"/>
      <name val="Arial Unicode MS"/>
      <family val="2"/>
    </font>
    <font>
      <b/>
      <sz val="10"/>
      <name val="Calibri"/>
      <family val="2"/>
      <scheme val="minor"/>
    </font>
    <font>
      <sz val="10"/>
      <name val="Calibri"/>
      <family val="2"/>
      <scheme val="minor"/>
    </font>
    <font>
      <i/>
      <sz val="10"/>
      <name val="Calibri"/>
      <family val="2"/>
      <scheme val="minor"/>
    </font>
    <font>
      <sz val="10"/>
      <color indexed="55"/>
      <name val="Calibri"/>
      <family val="2"/>
      <scheme val="minor"/>
    </font>
    <font>
      <sz val="10"/>
      <color theme="0" tint="-0.499984740745262"/>
      <name val="Calibri"/>
      <family val="2"/>
      <scheme val="minor"/>
    </font>
    <font>
      <b/>
      <i/>
      <sz val="10"/>
      <color rgb="FF008000"/>
      <name val="Calibri"/>
      <family val="2"/>
      <scheme val="minor"/>
    </font>
    <font>
      <b/>
      <i/>
      <sz val="10"/>
      <color indexed="10"/>
      <name val="Calibri"/>
      <family val="2"/>
      <scheme val="minor"/>
    </font>
    <font>
      <sz val="10"/>
      <color rgb="FFFF0000"/>
      <name val="Calibri"/>
      <family val="2"/>
      <scheme val="minor"/>
    </font>
    <font>
      <i/>
      <sz val="10"/>
      <color theme="1" tint="0.499984740745262"/>
      <name val="Calibri"/>
      <family val="2"/>
      <scheme val="minor"/>
    </font>
    <font>
      <sz val="10"/>
      <color theme="1"/>
      <name val="Calibri"/>
      <family val="2"/>
      <scheme val="minor"/>
    </font>
    <font>
      <b/>
      <i/>
      <sz val="10"/>
      <color rgb="FFFF0000"/>
      <name val="Calibri"/>
      <family val="2"/>
      <scheme val="minor"/>
    </font>
    <font>
      <b/>
      <sz val="10"/>
      <color theme="1"/>
      <name val="Calibri"/>
      <family val="2"/>
      <scheme val="minor"/>
    </font>
    <font>
      <i/>
      <sz val="10"/>
      <color indexed="55"/>
      <name val="Geneva"/>
    </font>
    <font>
      <b/>
      <i/>
      <sz val="11"/>
      <color theme="0" tint="-0.499984740745262"/>
      <name val="Calibri"/>
      <family val="2"/>
      <scheme val="minor"/>
    </font>
    <font>
      <b/>
      <sz val="10"/>
      <color rgb="FFFFFFFF"/>
      <name val="Arial"/>
      <family val="2"/>
    </font>
    <font>
      <sz val="10"/>
      <color rgb="FFFFFFFF"/>
      <name val="Arial"/>
      <family val="2"/>
    </font>
    <font>
      <sz val="10"/>
      <color rgb="FF000000"/>
      <name val="Arial"/>
      <family val="2"/>
    </font>
    <font>
      <vertAlign val="superscript"/>
      <sz val="10"/>
      <color rgb="FF000000"/>
      <name val="Arial"/>
      <family val="2"/>
    </font>
    <font>
      <sz val="10"/>
      <color rgb="FFFF0000"/>
      <name val="Arial"/>
      <family val="2"/>
    </font>
    <font>
      <i/>
      <sz val="10"/>
      <color theme="1"/>
      <name val="Calibri"/>
      <family val="2"/>
      <scheme val="minor"/>
    </font>
    <font>
      <b/>
      <sz val="10"/>
      <color theme="1"/>
      <name val="Arial"/>
      <family val="2"/>
    </font>
    <font>
      <b/>
      <sz val="10"/>
      <color rgb="FF000000"/>
      <name val="Arial"/>
      <family val="2"/>
    </font>
    <font>
      <b/>
      <vertAlign val="superscript"/>
      <sz val="10"/>
      <color rgb="FF000000"/>
      <name val="Arial"/>
      <family val="2"/>
    </font>
    <font>
      <sz val="11"/>
      <color theme="1"/>
      <name val="Calibri"/>
      <family val="2"/>
    </font>
  </fonts>
  <fills count="19">
    <fill>
      <patternFill patternType="none"/>
    </fill>
    <fill>
      <patternFill patternType="gray125"/>
    </fill>
    <fill>
      <patternFill patternType="solid">
        <fgColor rgb="FFFFFFCC"/>
      </patternFill>
    </fill>
    <fill>
      <patternFill patternType="solid">
        <fgColor rgb="FFFFFF00"/>
        <bgColor indexed="64"/>
      </patternFill>
    </fill>
    <fill>
      <patternFill patternType="solid">
        <fgColor theme="5" tint="0.59999389629810485"/>
        <bgColor indexed="64"/>
      </patternFill>
    </fill>
    <fill>
      <patternFill patternType="solid">
        <fgColor indexed="31"/>
        <bgColor indexed="64"/>
      </patternFill>
    </fill>
    <fill>
      <patternFill patternType="solid">
        <fgColor rgb="FF000000"/>
        <bgColor indexed="64"/>
      </patternFill>
    </fill>
    <fill>
      <patternFill patternType="solid">
        <fgColor rgb="FFEBF4CB"/>
        <bgColor indexed="64"/>
      </patternFill>
    </fill>
    <fill>
      <patternFill patternType="solid">
        <fgColor indexed="15"/>
        <bgColor indexed="64"/>
      </patternFill>
    </fill>
    <fill>
      <patternFill patternType="solid">
        <fgColor indexed="41"/>
        <bgColor indexed="64"/>
      </patternFill>
    </fill>
    <fill>
      <patternFill patternType="solid">
        <fgColor rgb="FF66FF33"/>
        <bgColor indexed="64"/>
      </patternFill>
    </fill>
    <fill>
      <patternFill patternType="solid">
        <fgColor indexed="13"/>
        <bgColor indexed="64"/>
      </patternFill>
    </fill>
    <fill>
      <patternFill patternType="solid">
        <fgColor rgb="FF00B0F0"/>
        <bgColor indexed="64"/>
      </patternFill>
    </fill>
    <fill>
      <patternFill patternType="solid">
        <fgColor rgb="FF7F7F7F"/>
        <bgColor indexed="64"/>
      </patternFill>
    </fill>
    <fill>
      <patternFill patternType="solid">
        <fgColor rgb="FF808080"/>
        <bgColor indexed="64"/>
      </patternFill>
    </fill>
    <fill>
      <patternFill patternType="solid">
        <fgColor rgb="FFBFBFBF"/>
        <bgColor indexed="64"/>
      </patternFill>
    </fill>
    <fill>
      <patternFill patternType="solid">
        <fgColor theme="0"/>
        <bgColor indexed="64"/>
      </patternFill>
    </fill>
    <fill>
      <patternFill patternType="solid">
        <fgColor theme="6" tint="0.79998168889431442"/>
        <bgColor indexed="65"/>
      </patternFill>
    </fill>
    <fill>
      <patternFill patternType="solid">
        <fgColor rgb="FFFF0000"/>
        <bgColor indexed="64"/>
      </patternFill>
    </fill>
  </fills>
  <borders count="2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ck">
        <color theme="4"/>
      </bottom>
      <diagonal/>
    </border>
    <border>
      <left style="thin">
        <color rgb="FFB2B2B2"/>
      </left>
      <right style="thin">
        <color rgb="FFB2B2B2"/>
      </right>
      <top style="thin">
        <color rgb="FFB2B2B2"/>
      </top>
      <bottom style="thin">
        <color rgb="FFB2B2B2"/>
      </bottom>
      <diagonal/>
    </border>
    <border>
      <left/>
      <right style="thin">
        <color rgb="FFB2B2B2"/>
      </right>
      <top style="thin">
        <color rgb="FFB2B2B2"/>
      </top>
      <bottom style="thin">
        <color rgb="FFB2B2B2"/>
      </bottom>
      <diagonal/>
    </border>
    <border>
      <left style="thin">
        <color indexed="8"/>
      </left>
      <right style="thin">
        <color indexed="8"/>
      </right>
      <top style="thin">
        <color indexed="8"/>
      </top>
      <bottom style="thin">
        <color indexed="8"/>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right/>
      <top/>
      <bottom style="medium">
        <color indexed="64"/>
      </bottom>
      <diagonal/>
    </border>
    <border>
      <left/>
      <right style="medium">
        <color indexed="64"/>
      </right>
      <top style="medium">
        <color indexed="64"/>
      </top>
      <bottom/>
      <diagonal/>
    </border>
  </borders>
  <cellStyleXfs count="13">
    <xf numFmtId="0" fontId="0" fillId="0" borderId="0"/>
    <xf numFmtId="0" fontId="18" fillId="0" borderId="12" applyNumberFormat="0" applyFill="0" applyAlignment="0" applyProtection="0"/>
    <xf numFmtId="0" fontId="1" fillId="0" borderId="0"/>
    <xf numFmtId="0" fontId="19" fillId="0" borderId="0"/>
    <xf numFmtId="0" fontId="16" fillId="0" borderId="0"/>
    <xf numFmtId="0" fontId="17" fillId="2" borderId="13" applyNumberFormat="0" applyFont="0" applyAlignment="0" applyProtection="0"/>
    <xf numFmtId="9" fontId="17"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37" fillId="0" borderId="0" applyNumberForma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7" fillId="17" borderId="0" applyNumberFormat="0" applyBorder="0" applyAlignment="0" applyProtection="0"/>
  </cellStyleXfs>
  <cellXfs count="455">
    <xf numFmtId="0" fontId="0" fillId="0" borderId="0" xfId="0"/>
    <xf numFmtId="0" fontId="2" fillId="0" borderId="0" xfId="2" applyFont="1" applyFill="1" applyAlignment="1">
      <alignment wrapText="1"/>
    </xf>
    <xf numFmtId="0" fontId="2" fillId="0" borderId="1" xfId="2" applyFont="1" applyFill="1" applyBorder="1" applyAlignment="1">
      <alignment horizontal="center" wrapText="1"/>
    </xf>
    <xf numFmtId="0" fontId="2" fillId="0" borderId="2" xfId="2" applyFont="1" applyFill="1" applyBorder="1" applyAlignment="1">
      <alignment horizontal="center" wrapText="1"/>
    </xf>
    <xf numFmtId="0" fontId="2" fillId="0" borderId="3" xfId="2" applyFont="1" applyFill="1" applyBorder="1" applyAlignment="1">
      <alignment horizontal="center" wrapText="1"/>
    </xf>
    <xf numFmtId="0" fontId="1" fillId="0" borderId="0" xfId="2"/>
    <xf numFmtId="0" fontId="2" fillId="0" borderId="0" xfId="2" applyFont="1" applyFill="1"/>
    <xf numFmtId="0" fontId="3" fillId="0" borderId="4" xfId="2" applyFont="1" applyFill="1" applyBorder="1" applyAlignment="1">
      <alignment horizontal="center"/>
    </xf>
    <xf numFmtId="0" fontId="3" fillId="0" borderId="0" xfId="2" applyFont="1" applyFill="1" applyBorder="1" applyAlignment="1">
      <alignment horizontal="center"/>
    </xf>
    <xf numFmtId="0" fontId="3" fillId="0" borderId="5" xfId="2" applyFont="1" applyFill="1" applyBorder="1" applyAlignment="1">
      <alignment horizontal="center"/>
    </xf>
    <xf numFmtId="0" fontId="3" fillId="0" borderId="0" xfId="2" applyFont="1" applyFill="1"/>
    <xf numFmtId="0" fontId="3" fillId="0" borderId="4" xfId="2" applyFont="1" applyBorder="1"/>
    <xf numFmtId="0" fontId="3" fillId="0" borderId="0" xfId="2" applyFont="1"/>
    <xf numFmtId="9" fontId="4" fillId="0" borderId="4" xfId="2" applyNumberFormat="1" applyFont="1" applyFill="1" applyBorder="1" applyAlignment="1">
      <alignment horizontal="center"/>
    </xf>
    <xf numFmtId="9" fontId="4" fillId="0" borderId="0" xfId="2" applyNumberFormat="1" applyFont="1" applyFill="1" applyBorder="1" applyAlignment="1">
      <alignment horizontal="center"/>
    </xf>
    <xf numFmtId="0" fontId="4" fillId="0" borderId="5" xfId="2" applyFont="1" applyFill="1" applyBorder="1" applyAlignment="1">
      <alignment horizontal="center"/>
    </xf>
    <xf numFmtId="9" fontId="4" fillId="0" borderId="5" xfId="2" applyNumberFormat="1" applyFont="1" applyFill="1" applyBorder="1" applyAlignment="1">
      <alignment horizontal="center"/>
    </xf>
    <xf numFmtId="9" fontId="3" fillId="0" borderId="4" xfId="2" applyNumberFormat="1" applyFont="1" applyFill="1" applyBorder="1" applyAlignment="1">
      <alignment horizontal="center"/>
    </xf>
    <xf numFmtId="2" fontId="3" fillId="0" borderId="4" xfId="2" applyNumberFormat="1" applyFont="1" applyFill="1" applyBorder="1" applyAlignment="1">
      <alignment horizontal="center"/>
    </xf>
    <xf numFmtId="2" fontId="3" fillId="0" borderId="0" xfId="2" applyNumberFormat="1" applyFont="1" applyFill="1" applyBorder="1" applyAlignment="1">
      <alignment horizontal="center"/>
    </xf>
    <xf numFmtId="2" fontId="3" fillId="0" borderId="5" xfId="2" applyNumberFormat="1" applyFont="1" applyFill="1" applyBorder="1" applyAlignment="1">
      <alignment horizontal="center"/>
    </xf>
    <xf numFmtId="0" fontId="21" fillId="0" borderId="0" xfId="2" applyFont="1" applyFill="1"/>
    <xf numFmtId="2" fontId="21" fillId="0" borderId="4" xfId="2" applyNumberFormat="1" applyFont="1" applyFill="1" applyBorder="1" applyAlignment="1">
      <alignment horizontal="center"/>
    </xf>
    <xf numFmtId="2" fontId="21" fillId="0" borderId="0" xfId="2" applyNumberFormat="1" applyFont="1" applyFill="1" applyBorder="1" applyAlignment="1">
      <alignment horizontal="center"/>
    </xf>
    <xf numFmtId="2" fontId="21" fillId="0" borderId="5" xfId="2" applyNumberFormat="1" applyFont="1" applyFill="1" applyBorder="1" applyAlignment="1">
      <alignment horizontal="center"/>
    </xf>
    <xf numFmtId="0" fontId="3" fillId="0" borderId="4" xfId="2" applyFont="1" applyFill="1" applyBorder="1"/>
    <xf numFmtId="0" fontId="3" fillId="0" borderId="0" xfId="2" applyFont="1" applyFill="1" applyBorder="1"/>
    <xf numFmtId="0" fontId="3" fillId="0" borderId="5" xfId="2" applyFont="1" applyFill="1" applyBorder="1"/>
    <xf numFmtId="1" fontId="3" fillId="0" borderId="4" xfId="2" applyNumberFormat="1" applyFont="1" applyFill="1" applyBorder="1" applyAlignment="1">
      <alignment horizontal="center"/>
    </xf>
    <xf numFmtId="1" fontId="3" fillId="0" borderId="0" xfId="2" applyNumberFormat="1" applyFont="1" applyFill="1" applyBorder="1" applyAlignment="1">
      <alignment horizontal="center"/>
    </xf>
    <xf numFmtId="1" fontId="3" fillId="0" borderId="5" xfId="2" applyNumberFormat="1" applyFont="1" applyFill="1" applyBorder="1" applyAlignment="1">
      <alignment horizontal="center"/>
    </xf>
    <xf numFmtId="2" fontId="1" fillId="0" borderId="0" xfId="2" applyNumberFormat="1"/>
    <xf numFmtId="1" fontId="2" fillId="0" borderId="6" xfId="2" applyNumberFormat="1" applyFont="1" applyFill="1" applyBorder="1" applyAlignment="1">
      <alignment horizontal="center"/>
    </xf>
    <xf numFmtId="1" fontId="2" fillId="0" borderId="7" xfId="2" applyNumberFormat="1" applyFont="1" applyFill="1" applyBorder="1" applyAlignment="1">
      <alignment horizontal="center"/>
    </xf>
    <xf numFmtId="1" fontId="2" fillId="0" borderId="8" xfId="2" applyNumberFormat="1" applyFont="1" applyFill="1" applyBorder="1" applyAlignment="1">
      <alignment horizontal="center"/>
    </xf>
    <xf numFmtId="1" fontId="0" fillId="0" borderId="0" xfId="0" applyNumberFormat="1"/>
    <xf numFmtId="0" fontId="3" fillId="0" borderId="0" xfId="2" applyFont="1" applyFill="1" applyBorder="1" applyAlignment="1">
      <alignment horizontal="left"/>
    </xf>
    <xf numFmtId="0" fontId="3" fillId="0" borderId="0" xfId="2" applyFont="1" applyBorder="1"/>
    <xf numFmtId="0" fontId="3" fillId="0" borderId="0" xfId="2" applyFont="1" applyFill="1" applyAlignment="1">
      <alignment wrapText="1"/>
    </xf>
    <xf numFmtId="0" fontId="20" fillId="0" borderId="0" xfId="0" applyFont="1"/>
    <xf numFmtId="1" fontId="20" fillId="0" borderId="0" xfId="0" applyNumberFormat="1" applyFont="1"/>
    <xf numFmtId="0" fontId="3" fillId="0" borderId="9" xfId="2" applyFont="1" applyFill="1" applyBorder="1" applyAlignment="1">
      <alignment horizontal="center"/>
    </xf>
    <xf numFmtId="0" fontId="3" fillId="0" borderId="10" xfId="2" applyFont="1" applyFill="1" applyBorder="1" applyAlignment="1">
      <alignment horizontal="center"/>
    </xf>
    <xf numFmtId="0" fontId="3" fillId="0" borderId="11" xfId="2" applyFont="1" applyFill="1" applyBorder="1" applyAlignment="1">
      <alignment horizontal="center"/>
    </xf>
    <xf numFmtId="0" fontId="3" fillId="0" borderId="5" xfId="2" applyFont="1" applyBorder="1"/>
    <xf numFmtId="9" fontId="3" fillId="0" borderId="0" xfId="2" applyNumberFormat="1" applyFont="1" applyFill="1" applyBorder="1" applyAlignment="1">
      <alignment horizontal="center"/>
    </xf>
    <xf numFmtId="9" fontId="3" fillId="0" borderId="5" xfId="2" applyNumberFormat="1" applyFont="1" applyFill="1" applyBorder="1" applyAlignment="1">
      <alignment horizontal="center"/>
    </xf>
    <xf numFmtId="1" fontId="2" fillId="0" borderId="0" xfId="2" applyNumberFormat="1" applyFont="1" applyFill="1" applyBorder="1" applyAlignment="1">
      <alignment horizontal="center"/>
    </xf>
    <xf numFmtId="0" fontId="9" fillId="0" borderId="0" xfId="2" applyFont="1"/>
    <xf numFmtId="0" fontId="1" fillId="0" borderId="4" xfId="2" applyBorder="1"/>
    <xf numFmtId="0" fontId="1" fillId="0" borderId="0" xfId="2" applyBorder="1"/>
    <xf numFmtId="0" fontId="1" fillId="0" borderId="5" xfId="2" applyBorder="1"/>
    <xf numFmtId="0" fontId="22" fillId="0" borderId="0" xfId="0" applyFont="1"/>
    <xf numFmtId="0" fontId="0" fillId="0" borderId="0" xfId="0" applyFont="1"/>
    <xf numFmtId="1" fontId="0" fillId="0" borderId="0" xfId="0" applyNumberFormat="1" applyFont="1"/>
    <xf numFmtId="0" fontId="0" fillId="0" borderId="0" xfId="0" applyFont="1" applyAlignment="1">
      <alignment horizontal="right"/>
    </xf>
    <xf numFmtId="1" fontId="0" fillId="3" borderId="0" xfId="0" applyNumberFormat="1" applyFill="1"/>
    <xf numFmtId="0" fontId="23" fillId="0" borderId="0" xfId="0" applyFont="1"/>
    <xf numFmtId="0" fontId="10" fillId="0" borderId="0" xfId="2" applyFont="1" applyFill="1" applyAlignment="1">
      <alignment wrapText="1"/>
    </xf>
    <xf numFmtId="1" fontId="23" fillId="0" borderId="0" xfId="0" applyNumberFormat="1" applyFont="1"/>
    <xf numFmtId="9" fontId="17" fillId="0" borderId="0" xfId="6" applyFont="1"/>
    <xf numFmtId="164" fontId="23" fillId="0" borderId="0" xfId="0" applyNumberFormat="1" applyFont="1"/>
    <xf numFmtId="0" fontId="24" fillId="0" borderId="0" xfId="0" applyFont="1"/>
    <xf numFmtId="9" fontId="3" fillId="0" borderId="4" xfId="6" applyFont="1" applyBorder="1"/>
    <xf numFmtId="9" fontId="3" fillId="0" borderId="0" xfId="6" applyFont="1" applyBorder="1"/>
    <xf numFmtId="0" fontId="17" fillId="2" borderId="13" xfId="5" applyFont="1"/>
    <xf numFmtId="1" fontId="3" fillId="0" borderId="0" xfId="2" applyNumberFormat="1" applyFont="1" applyBorder="1"/>
    <xf numFmtId="0" fontId="1" fillId="2" borderId="13" xfId="5" applyFont="1"/>
    <xf numFmtId="0" fontId="3" fillId="2" borderId="13" xfId="5" applyFont="1"/>
    <xf numFmtId="0" fontId="25" fillId="2" borderId="13" xfId="5" applyFont="1"/>
    <xf numFmtId="0" fontId="0" fillId="0" borderId="0" xfId="0" applyFill="1" applyBorder="1"/>
    <xf numFmtId="0" fontId="0" fillId="0" borderId="4" xfId="0" applyBorder="1"/>
    <xf numFmtId="0" fontId="26" fillId="2" borderId="13" xfId="5" applyFont="1"/>
    <xf numFmtId="0" fontId="12" fillId="0" borderId="0" xfId="2" applyFont="1" applyFill="1"/>
    <xf numFmtId="1" fontId="0" fillId="0" borderId="9" xfId="0" applyNumberFormat="1" applyBorder="1"/>
    <xf numFmtId="1" fontId="0" fillId="0" borderId="10" xfId="0" applyNumberFormat="1" applyBorder="1"/>
    <xf numFmtId="1" fontId="0" fillId="0" borderId="11" xfId="0" applyNumberFormat="1" applyBorder="1"/>
    <xf numFmtId="1" fontId="0" fillId="0" borderId="0" xfId="0" applyNumberFormat="1" applyBorder="1"/>
    <xf numFmtId="1" fontId="0" fillId="0" borderId="5" xfId="0" applyNumberFormat="1" applyBorder="1"/>
    <xf numFmtId="1" fontId="20" fillId="4" borderId="4" xfId="0" applyNumberFormat="1" applyFont="1" applyFill="1" applyBorder="1"/>
    <xf numFmtId="1" fontId="20" fillId="4" borderId="6" xfId="0" applyNumberFormat="1" applyFont="1" applyFill="1" applyBorder="1"/>
    <xf numFmtId="1" fontId="20" fillId="4" borderId="7" xfId="0" applyNumberFormat="1" applyFont="1" applyFill="1" applyBorder="1"/>
    <xf numFmtId="1" fontId="20" fillId="4" borderId="8" xfId="0" applyNumberFormat="1" applyFont="1" applyFill="1" applyBorder="1"/>
    <xf numFmtId="0" fontId="27" fillId="0" borderId="0" xfId="0" applyFont="1"/>
    <xf numFmtId="1" fontId="27" fillId="0" borderId="0" xfId="0" applyNumberFormat="1" applyFont="1"/>
    <xf numFmtId="0" fontId="27" fillId="0" borderId="0" xfId="0" applyFont="1" applyAlignment="1">
      <alignment horizontal="right"/>
    </xf>
    <xf numFmtId="9" fontId="27" fillId="0" borderId="0" xfId="6" applyFont="1"/>
    <xf numFmtId="0" fontId="26" fillId="0" borderId="0" xfId="0" applyFont="1"/>
    <xf numFmtId="0" fontId="1" fillId="2" borderId="14" xfId="5" applyFont="1" applyBorder="1"/>
    <xf numFmtId="1" fontId="28" fillId="0" borderId="4" xfId="2" applyNumberFormat="1" applyFont="1" applyFill="1" applyBorder="1" applyAlignment="1">
      <alignment horizontal="center"/>
    </xf>
    <xf numFmtId="1" fontId="28" fillId="0" borderId="0" xfId="2" applyNumberFormat="1" applyFont="1" applyFill="1" applyBorder="1" applyAlignment="1">
      <alignment horizontal="center"/>
    </xf>
    <xf numFmtId="1" fontId="28" fillId="0" borderId="5" xfId="2" applyNumberFormat="1" applyFont="1" applyFill="1" applyBorder="1" applyAlignment="1">
      <alignment horizontal="center"/>
    </xf>
    <xf numFmtId="0" fontId="3" fillId="0" borderId="0" xfId="2" applyFont="1" applyFill="1" applyAlignment="1">
      <alignment horizontal="left"/>
    </xf>
    <xf numFmtId="0" fontId="29" fillId="0" borderId="0" xfId="2" applyFont="1" applyFill="1" applyAlignment="1">
      <alignment horizontal="left" indent="1"/>
    </xf>
    <xf numFmtId="0" fontId="29" fillId="0" borderId="4" xfId="2" applyFont="1" applyFill="1" applyBorder="1" applyAlignment="1">
      <alignment horizontal="center"/>
    </xf>
    <xf numFmtId="0" fontId="29" fillId="0" borderId="0" xfId="2" applyFont="1" applyFill="1" applyBorder="1" applyAlignment="1">
      <alignment horizontal="center"/>
    </xf>
    <xf numFmtId="0" fontId="29" fillId="0" borderId="5" xfId="2" applyFont="1" applyFill="1" applyBorder="1" applyAlignment="1">
      <alignment horizontal="center"/>
    </xf>
    <xf numFmtId="1" fontId="29" fillId="0" borderId="4" xfId="2" applyNumberFormat="1" applyFont="1" applyFill="1" applyBorder="1" applyAlignment="1">
      <alignment horizontal="center"/>
    </xf>
    <xf numFmtId="1" fontId="29" fillId="0" borderId="0" xfId="2" applyNumberFormat="1" applyFont="1" applyFill="1" applyBorder="1" applyAlignment="1">
      <alignment horizontal="center"/>
    </xf>
    <xf numFmtId="1" fontId="29" fillId="0" borderId="5" xfId="2" applyNumberFormat="1" applyFont="1" applyFill="1" applyBorder="1" applyAlignment="1">
      <alignment horizontal="center"/>
    </xf>
    <xf numFmtId="1" fontId="1" fillId="2" borderId="13" xfId="5" applyNumberFormat="1" applyFont="1"/>
    <xf numFmtId="1" fontId="1" fillId="0" borderId="0" xfId="2" applyNumberFormat="1"/>
    <xf numFmtId="0" fontId="3" fillId="2" borderId="14" xfId="5" applyFont="1" applyBorder="1"/>
    <xf numFmtId="0" fontId="2" fillId="0" borderId="0" xfId="2" applyFont="1" applyFill="1" applyBorder="1" applyAlignment="1">
      <alignment horizontal="center" wrapText="1"/>
    </xf>
    <xf numFmtId="0" fontId="17" fillId="2" borderId="14" xfId="5" applyFont="1" applyBorder="1"/>
    <xf numFmtId="1" fontId="0" fillId="0" borderId="4" xfId="0" applyNumberFormat="1" applyBorder="1"/>
    <xf numFmtId="0" fontId="0" fillId="0" borderId="0" xfId="0" applyBorder="1"/>
    <xf numFmtId="0" fontId="0" fillId="0" borderId="5" xfId="0" applyBorder="1"/>
    <xf numFmtId="0" fontId="0" fillId="0" borderId="0" xfId="0" applyAlignment="1">
      <alignment wrapText="1"/>
    </xf>
    <xf numFmtId="2" fontId="30" fillId="0" borderId="0" xfId="2" applyNumberFormat="1" applyFont="1" applyFill="1" applyBorder="1" applyAlignment="1">
      <alignment horizontal="left"/>
    </xf>
    <xf numFmtId="2" fontId="30" fillId="0" borderId="0" xfId="2" applyNumberFormat="1" applyFont="1" applyFill="1" applyBorder="1" applyAlignment="1">
      <alignment horizontal="right"/>
    </xf>
    <xf numFmtId="2" fontId="30" fillId="0" borderId="0" xfId="2" applyNumberFormat="1" applyFont="1" applyFill="1" applyBorder="1" applyAlignment="1">
      <alignment horizontal="center"/>
    </xf>
    <xf numFmtId="1" fontId="27" fillId="0" borderId="0" xfId="0" applyNumberFormat="1" applyFont="1" applyAlignment="1">
      <alignment horizontal="left" indent="4"/>
    </xf>
    <xf numFmtId="1" fontId="27" fillId="0" borderId="0" xfId="0" applyNumberFormat="1" applyFont="1" applyAlignment="1">
      <alignment horizontal="left" indent="5"/>
    </xf>
    <xf numFmtId="0" fontId="27" fillId="0" borderId="0" xfId="6" applyNumberFormat="1" applyFont="1"/>
    <xf numFmtId="165" fontId="0" fillId="0" borderId="0" xfId="0" applyNumberFormat="1" applyFont="1"/>
    <xf numFmtId="0" fontId="1" fillId="2" borderId="0" xfId="5" applyFont="1" applyBorder="1"/>
    <xf numFmtId="2" fontId="0" fillId="0" borderId="0" xfId="0" applyNumberFormat="1"/>
    <xf numFmtId="0" fontId="2" fillId="0" borderId="9" xfId="2" applyFont="1" applyFill="1" applyBorder="1" applyAlignment="1">
      <alignment horizontal="center" wrapText="1"/>
    </xf>
    <xf numFmtId="0" fontId="2" fillId="0" borderId="10" xfId="2" applyFont="1" applyFill="1" applyBorder="1" applyAlignment="1">
      <alignment horizontal="center" wrapText="1"/>
    </xf>
    <xf numFmtId="0" fontId="2" fillId="0" borderId="11" xfId="2" applyFont="1" applyFill="1" applyBorder="1" applyAlignment="1">
      <alignment horizontal="center" wrapText="1"/>
    </xf>
    <xf numFmtId="1" fontId="3" fillId="2" borderId="14" xfId="5" applyNumberFormat="1" applyFont="1" applyBorder="1"/>
    <xf numFmtId="0" fontId="0" fillId="0" borderId="0" xfId="0" applyFill="1" applyBorder="1" applyAlignment="1">
      <alignment wrapText="1"/>
    </xf>
    <xf numFmtId="2" fontId="0" fillId="0" borderId="0" xfId="0" applyNumberFormat="1" applyFill="1" applyBorder="1" applyAlignment="1">
      <alignment wrapText="1"/>
    </xf>
    <xf numFmtId="0" fontId="15" fillId="0" borderId="0" xfId="2" applyFont="1"/>
    <xf numFmtId="0" fontId="1" fillId="0" borderId="9" xfId="2" applyBorder="1"/>
    <xf numFmtId="0" fontId="1" fillId="0" borderId="10" xfId="2" applyBorder="1"/>
    <xf numFmtId="0" fontId="1" fillId="0" borderId="11" xfId="2" applyBorder="1"/>
    <xf numFmtId="1" fontId="1" fillId="0" borderId="4" xfId="2" applyNumberFormat="1" applyBorder="1"/>
    <xf numFmtId="1" fontId="1" fillId="0" borderId="0" xfId="2" applyNumberFormat="1" applyBorder="1"/>
    <xf numFmtId="1" fontId="1" fillId="0" borderId="5" xfId="2" applyNumberFormat="1" applyBorder="1"/>
    <xf numFmtId="1" fontId="1" fillId="0" borderId="6" xfId="2" applyNumberFormat="1" applyBorder="1"/>
    <xf numFmtId="1" fontId="1" fillId="0" borderId="7" xfId="2" applyNumberFormat="1" applyBorder="1"/>
    <xf numFmtId="1" fontId="1" fillId="0" borderId="8" xfId="2" applyNumberFormat="1" applyBorder="1"/>
    <xf numFmtId="1" fontId="3" fillId="2" borderId="13" xfId="5" applyNumberFormat="1" applyFont="1"/>
    <xf numFmtId="9" fontId="1" fillId="0" borderId="0" xfId="6" applyFont="1"/>
    <xf numFmtId="0" fontId="16" fillId="0" borderId="0" xfId="4" applyBorder="1" applyAlignment="1">
      <alignment horizontal="right"/>
    </xf>
    <xf numFmtId="164" fontId="16" fillId="0" borderId="0" xfId="4" applyNumberFormat="1" applyBorder="1" applyAlignment="1">
      <alignment horizontal="right"/>
    </xf>
    <xf numFmtId="0" fontId="32" fillId="0" borderId="0" xfId="0" applyFont="1"/>
    <xf numFmtId="164" fontId="33" fillId="0" borderId="0" xfId="4" applyNumberFormat="1" applyFont="1" applyBorder="1" applyAlignment="1">
      <alignment horizontal="right"/>
    </xf>
    <xf numFmtId="0" fontId="33" fillId="0" borderId="0" xfId="4" applyFont="1" applyBorder="1" applyAlignment="1">
      <alignment horizontal="right"/>
    </xf>
    <xf numFmtId="0" fontId="34" fillId="0" borderId="0" xfId="2" applyFont="1" applyFill="1" applyAlignment="1">
      <alignment wrapText="1"/>
    </xf>
    <xf numFmtId="0" fontId="0" fillId="0" borderId="0" xfId="0" applyAlignment="1">
      <alignment horizontal="left" wrapText="1"/>
    </xf>
    <xf numFmtId="2" fontId="3" fillId="0" borderId="0" xfId="6" applyNumberFormat="1" applyFont="1" applyBorder="1"/>
    <xf numFmtId="9" fontId="3" fillId="0" borderId="4" xfId="6" applyFont="1" applyFill="1" applyBorder="1" applyAlignment="1">
      <alignment horizontal="center"/>
    </xf>
    <xf numFmtId="9" fontId="3" fillId="0" borderId="0" xfId="6" applyFont="1" applyFill="1" applyBorder="1" applyAlignment="1">
      <alignment horizontal="center"/>
    </xf>
    <xf numFmtId="9" fontId="3" fillId="0" borderId="5" xfId="6" applyFont="1" applyFill="1" applyBorder="1" applyAlignment="1">
      <alignment horizontal="center"/>
    </xf>
    <xf numFmtId="2" fontId="3" fillId="0" borderId="0" xfId="6" applyNumberFormat="1" applyFont="1" applyBorder="1" applyAlignment="1">
      <alignment horizontal="right"/>
    </xf>
    <xf numFmtId="2" fontId="3" fillId="0" borderId="4" xfId="6" applyNumberFormat="1" applyFont="1" applyBorder="1" applyAlignment="1">
      <alignment horizontal="right"/>
    </xf>
    <xf numFmtId="2" fontId="3" fillId="0" borderId="5" xfId="6" applyNumberFormat="1" applyFont="1" applyBorder="1" applyAlignment="1">
      <alignment horizontal="right"/>
    </xf>
    <xf numFmtId="2" fontId="3" fillId="0" borderId="4" xfId="6" applyNumberFormat="1" applyFont="1" applyBorder="1"/>
    <xf numFmtId="2" fontId="3" fillId="0" borderId="5" xfId="6" applyNumberFormat="1" applyFont="1" applyBorder="1"/>
    <xf numFmtId="2" fontId="3" fillId="0" borderId="6" xfId="6" applyNumberFormat="1" applyFont="1" applyBorder="1"/>
    <xf numFmtId="2" fontId="3" fillId="0" borderId="7" xfId="6" applyNumberFormat="1" applyFont="1" applyBorder="1"/>
    <xf numFmtId="2" fontId="3" fillId="0" borderId="8" xfId="6" applyNumberFormat="1" applyFont="1" applyBorder="1"/>
    <xf numFmtId="9" fontId="3" fillId="0" borderId="4" xfId="6" applyFont="1" applyFill="1" applyBorder="1" applyAlignment="1"/>
    <xf numFmtId="9" fontId="3" fillId="0" borderId="0" xfId="6" applyFont="1" applyFill="1" applyBorder="1" applyAlignment="1"/>
    <xf numFmtId="9" fontId="3" fillId="0" borderId="5" xfId="6" applyFont="1" applyFill="1" applyBorder="1" applyAlignment="1"/>
    <xf numFmtId="2" fontId="27" fillId="0" borderId="0" xfId="0" applyNumberFormat="1" applyFont="1"/>
    <xf numFmtId="0" fontId="4" fillId="0" borderId="0" xfId="2" applyFont="1" applyFill="1" applyBorder="1" applyAlignment="1">
      <alignment horizontal="center"/>
    </xf>
    <xf numFmtId="1" fontId="3" fillId="0" borderId="0" xfId="2" applyNumberFormat="1" applyFont="1" applyFill="1" applyBorder="1"/>
    <xf numFmtId="2" fontId="0" fillId="0" borderId="0" xfId="0" applyNumberFormat="1" applyFont="1"/>
    <xf numFmtId="0" fontId="20" fillId="0" borderId="0" xfId="0" applyFont="1" applyAlignment="1">
      <alignment horizontal="center"/>
    </xf>
    <xf numFmtId="1" fontId="20" fillId="0" borderId="0" xfId="0" applyNumberFormat="1" applyFont="1" applyAlignment="1">
      <alignment horizontal="center"/>
    </xf>
    <xf numFmtId="1" fontId="20" fillId="0" borderId="0" xfId="0" applyNumberFormat="1" applyFont="1" applyAlignment="1">
      <alignment horizontal="left"/>
    </xf>
    <xf numFmtId="0" fontId="20" fillId="0" borderId="0" xfId="0" applyFont="1" applyAlignment="1"/>
    <xf numFmtId="0" fontId="18" fillId="0" borderId="12" xfId="1"/>
    <xf numFmtId="0" fontId="13" fillId="5" borderId="15" xfId="2" applyFont="1" applyFill="1" applyBorder="1"/>
    <xf numFmtId="0" fontId="14" fillId="5" borderId="15" xfId="2" applyFont="1" applyFill="1" applyBorder="1"/>
    <xf numFmtId="0" fontId="13" fillId="0" borderId="0" xfId="2" applyFont="1"/>
    <xf numFmtId="0" fontId="35" fillId="0" borderId="0" xfId="0" applyFont="1"/>
    <xf numFmtId="0" fontId="37" fillId="6" borderId="16" xfId="9" applyFill="1" applyBorder="1" applyAlignment="1">
      <alignment horizontal="center" vertical="center" wrapText="1"/>
    </xf>
    <xf numFmtId="0" fontId="36" fillId="0" borderId="16" xfId="0" applyFont="1" applyBorder="1" applyAlignment="1">
      <alignment horizontal="center" vertical="center"/>
    </xf>
    <xf numFmtId="0" fontId="36" fillId="0" borderId="16" xfId="0" applyFont="1" applyBorder="1" applyAlignment="1">
      <alignment horizontal="right" vertical="center"/>
    </xf>
    <xf numFmtId="0" fontId="36" fillId="7" borderId="16" xfId="0" applyFont="1" applyFill="1" applyBorder="1" applyAlignment="1">
      <alignment horizontal="center" vertical="center"/>
    </xf>
    <xf numFmtId="0" fontId="36" fillId="7" borderId="16" xfId="0" applyFont="1" applyFill="1" applyBorder="1" applyAlignment="1">
      <alignment horizontal="right" vertical="center"/>
    </xf>
    <xf numFmtId="0" fontId="38" fillId="0" borderId="0" xfId="0" applyFont="1" applyAlignment="1">
      <alignment vertical="center"/>
    </xf>
    <xf numFmtId="0" fontId="0" fillId="0" borderId="0" xfId="0" applyAlignment="1"/>
    <xf numFmtId="0" fontId="0" fillId="0" borderId="0" xfId="0" applyFont="1" applyAlignment="1"/>
    <xf numFmtId="0" fontId="27" fillId="0" borderId="0" xfId="0" applyFont="1" applyAlignment="1"/>
    <xf numFmtId="0" fontId="31" fillId="0" borderId="0" xfId="0" applyFont="1" applyAlignment="1"/>
    <xf numFmtId="0" fontId="23" fillId="0" borderId="0" xfId="0" applyFont="1" applyAlignment="1"/>
    <xf numFmtId="0" fontId="1" fillId="0" borderId="0" xfId="2"/>
    <xf numFmtId="0" fontId="2" fillId="0" borderId="17" xfId="2" applyFont="1" applyFill="1" applyBorder="1" applyAlignment="1">
      <alignment horizontal="center" wrapText="1"/>
    </xf>
    <xf numFmtId="0" fontId="3" fillId="0" borderId="0" xfId="2" applyFont="1" applyAlignment="1">
      <alignment wrapText="1"/>
    </xf>
    <xf numFmtId="0" fontId="10" fillId="0" borderId="2" xfId="2" applyFont="1" applyFill="1" applyBorder="1" applyAlignment="1">
      <alignment horizontal="center" wrapText="1"/>
    </xf>
    <xf numFmtId="0" fontId="10" fillId="0" borderId="0" xfId="2" applyFont="1" applyAlignment="1">
      <alignment horizontal="center"/>
    </xf>
    <xf numFmtId="0" fontId="3" fillId="0" borderId="18" xfId="2" applyFont="1" applyFill="1" applyBorder="1" applyAlignment="1">
      <alignment horizontal="center"/>
    </xf>
    <xf numFmtId="0" fontId="3" fillId="0" borderId="0" xfId="2" applyFont="1" applyAlignment="1">
      <alignment horizontal="center"/>
    </xf>
    <xf numFmtId="9" fontId="3" fillId="0" borderId="18" xfId="2" applyNumberFormat="1" applyFont="1" applyFill="1" applyBorder="1" applyAlignment="1">
      <alignment horizontal="center"/>
    </xf>
    <xf numFmtId="0" fontId="3" fillId="0" borderId="4" xfId="2" applyFont="1" applyFill="1" applyBorder="1" applyAlignment="1">
      <alignment horizontal="left"/>
    </xf>
    <xf numFmtId="167" fontId="3" fillId="0" borderId="0" xfId="10" applyNumberFormat="1" applyFont="1"/>
    <xf numFmtId="9" fontId="3" fillId="0" borderId="0" xfId="10" applyFont="1"/>
    <xf numFmtId="0" fontId="3" fillId="0" borderId="0" xfId="2" applyNumberFormat="1" applyFont="1"/>
    <xf numFmtId="0" fontId="3" fillId="0" borderId="0" xfId="10" applyNumberFormat="1" applyFont="1"/>
    <xf numFmtId="0" fontId="3" fillId="0" borderId="18" xfId="2" applyNumberFormat="1" applyFont="1" applyFill="1" applyBorder="1" applyAlignment="1">
      <alignment horizontal="center"/>
    </xf>
    <xf numFmtId="0" fontId="3" fillId="0" borderId="4" xfId="2" applyNumberFormat="1" applyFont="1" applyFill="1" applyBorder="1" applyAlignment="1">
      <alignment horizontal="center"/>
    </xf>
    <xf numFmtId="0" fontId="3" fillId="0" borderId="0" xfId="2" applyNumberFormat="1" applyFont="1" applyFill="1" applyBorder="1" applyAlignment="1">
      <alignment horizontal="center"/>
    </xf>
    <xf numFmtId="0" fontId="3" fillId="0" borderId="5" xfId="2" applyNumberFormat="1" applyFont="1" applyFill="1" applyBorder="1" applyAlignment="1">
      <alignment horizontal="center"/>
    </xf>
    <xf numFmtId="2" fontId="3" fillId="0" borderId="18" xfId="2" applyNumberFormat="1" applyFont="1" applyFill="1" applyBorder="1" applyAlignment="1">
      <alignment horizontal="center"/>
    </xf>
    <xf numFmtId="0" fontId="3" fillId="0" borderId="0" xfId="2" applyFont="1" applyAlignment="1">
      <alignment horizontal="left"/>
    </xf>
    <xf numFmtId="0" fontId="12" fillId="0" borderId="0" xfId="2" applyFont="1" applyAlignment="1">
      <alignment horizontal="center"/>
    </xf>
    <xf numFmtId="0" fontId="3" fillId="0" borderId="18" xfId="2" applyFont="1" applyFill="1" applyBorder="1"/>
    <xf numFmtId="0" fontId="12" fillId="0" borderId="18" xfId="2" applyFont="1" applyFill="1" applyBorder="1" applyAlignment="1">
      <alignment horizontal="center"/>
    </xf>
    <xf numFmtId="0" fontId="39" fillId="0" borderId="0" xfId="2" applyFont="1" applyFill="1" applyBorder="1" applyAlignment="1">
      <alignment horizontal="center"/>
    </xf>
    <xf numFmtId="164" fontId="3" fillId="0" borderId="0" xfId="2" applyNumberFormat="1" applyFont="1" applyFill="1" applyBorder="1" applyAlignment="1">
      <alignment horizontal="center"/>
    </xf>
    <xf numFmtId="0" fontId="3" fillId="0" borderId="0" xfId="2" applyFont="1" applyFill="1" applyAlignment="1">
      <alignment horizontal="center"/>
    </xf>
    <xf numFmtId="168" fontId="3" fillId="0" borderId="18" xfId="2" applyNumberFormat="1" applyFont="1" applyFill="1" applyBorder="1" applyAlignment="1">
      <alignment horizontal="center"/>
    </xf>
    <xf numFmtId="165" fontId="3" fillId="0" borderId="4" xfId="2" applyNumberFormat="1" applyFont="1" applyFill="1" applyBorder="1" applyAlignment="1">
      <alignment horizontal="center"/>
    </xf>
    <xf numFmtId="165" fontId="3" fillId="0" borderId="0" xfId="2" applyNumberFormat="1" applyFont="1" applyFill="1" applyBorder="1" applyAlignment="1">
      <alignment horizontal="center"/>
    </xf>
    <xf numFmtId="165" fontId="3" fillId="0" borderId="5" xfId="2" applyNumberFormat="1" applyFont="1" applyFill="1" applyBorder="1" applyAlignment="1">
      <alignment horizontal="center"/>
    </xf>
    <xf numFmtId="164" fontId="3" fillId="0" borderId="18" xfId="2" applyNumberFormat="1" applyFont="1" applyFill="1" applyBorder="1" applyAlignment="1">
      <alignment horizontal="center"/>
    </xf>
    <xf numFmtId="1" fontId="3" fillId="0" borderId="18" xfId="2" applyNumberFormat="1" applyFont="1" applyFill="1" applyBorder="1" applyAlignment="1">
      <alignment horizontal="center"/>
    </xf>
    <xf numFmtId="1" fontId="12" fillId="0" borderId="18" xfId="2" applyNumberFormat="1" applyFont="1" applyFill="1" applyBorder="1" applyAlignment="1">
      <alignment horizontal="center"/>
    </xf>
    <xf numFmtId="9" fontId="3" fillId="0" borderId="5" xfId="2" applyNumberFormat="1" applyFont="1" applyBorder="1" applyAlignment="1">
      <alignment horizontal="center"/>
    </xf>
    <xf numFmtId="9" fontId="3" fillId="0" borderId="0" xfId="2" applyNumberFormat="1" applyFont="1" applyAlignment="1">
      <alignment horizontal="center"/>
    </xf>
    <xf numFmtId="0" fontId="4" fillId="0" borderId="0" xfId="2" applyFont="1" applyFill="1"/>
    <xf numFmtId="1" fontId="4" fillId="0" borderId="4" xfId="2" applyNumberFormat="1" applyFont="1" applyFill="1" applyBorder="1" applyAlignment="1">
      <alignment horizontal="center"/>
    </xf>
    <xf numFmtId="1" fontId="4" fillId="0" borderId="0" xfId="2" applyNumberFormat="1" applyFont="1" applyFill="1" applyBorder="1" applyAlignment="1">
      <alignment horizontal="center"/>
    </xf>
    <xf numFmtId="1" fontId="4" fillId="0" borderId="5" xfId="2" applyNumberFormat="1" applyFont="1" applyFill="1" applyBorder="1" applyAlignment="1">
      <alignment horizontal="center"/>
    </xf>
    <xf numFmtId="1" fontId="4" fillId="0" borderId="18" xfId="2" applyNumberFormat="1" applyFont="1" applyFill="1" applyBorder="1" applyAlignment="1">
      <alignment horizontal="center"/>
    </xf>
    <xf numFmtId="0" fontId="4" fillId="0" borderId="18" xfId="2" applyFont="1" applyFill="1" applyBorder="1" applyAlignment="1">
      <alignment horizontal="center"/>
    </xf>
    <xf numFmtId="0" fontId="4" fillId="0" borderId="4" xfId="2" applyFont="1" applyFill="1" applyBorder="1" applyAlignment="1">
      <alignment horizontal="center"/>
    </xf>
    <xf numFmtId="1" fontId="3" fillId="0" borderId="0" xfId="2" applyNumberFormat="1" applyFont="1" applyAlignment="1">
      <alignment horizontal="center"/>
    </xf>
    <xf numFmtId="164" fontId="4" fillId="0" borderId="4" xfId="2" applyNumberFormat="1" applyFont="1" applyFill="1" applyBorder="1" applyAlignment="1">
      <alignment horizontal="center"/>
    </xf>
    <xf numFmtId="166" fontId="2" fillId="0" borderId="0" xfId="11" applyFont="1" applyFill="1"/>
    <xf numFmtId="1" fontId="2" fillId="0" borderId="19" xfId="2" applyNumberFormat="1" applyFont="1" applyFill="1" applyBorder="1" applyAlignment="1">
      <alignment horizontal="center"/>
    </xf>
    <xf numFmtId="0" fontId="3" fillId="8" borderId="0" xfId="2" applyFont="1" applyFill="1"/>
    <xf numFmtId="3" fontId="2" fillId="8" borderId="1" xfId="2" applyNumberFormat="1" applyFont="1" applyFill="1" applyBorder="1" applyAlignment="1">
      <alignment horizontal="center"/>
    </xf>
    <xf numFmtId="3" fontId="2" fillId="8" borderId="2" xfId="2" applyNumberFormat="1" applyFont="1" applyFill="1" applyBorder="1" applyAlignment="1">
      <alignment horizontal="center"/>
    </xf>
    <xf numFmtId="3" fontId="2" fillId="8" borderId="3" xfId="2" applyNumberFormat="1" applyFont="1" applyFill="1" applyBorder="1" applyAlignment="1">
      <alignment horizontal="center"/>
    </xf>
    <xf numFmtId="3" fontId="40" fillId="9" borderId="1" xfId="2" applyNumberFormat="1" applyFont="1" applyFill="1" applyBorder="1" applyAlignment="1">
      <alignment horizontal="center"/>
    </xf>
    <xf numFmtId="3" fontId="40" fillId="9" borderId="2" xfId="2" applyNumberFormat="1" applyFont="1" applyFill="1" applyBorder="1" applyAlignment="1">
      <alignment horizontal="center"/>
    </xf>
    <xf numFmtId="3" fontId="40" fillId="9" borderId="3" xfId="2" applyNumberFormat="1" applyFont="1" applyFill="1" applyBorder="1" applyAlignment="1">
      <alignment horizontal="center"/>
    </xf>
    <xf numFmtId="0" fontId="3" fillId="10" borderId="0" xfId="2" applyFont="1" applyFill="1"/>
    <xf numFmtId="3" fontId="2" fillId="10" borderId="1" xfId="2" applyNumberFormat="1" applyFont="1" applyFill="1" applyBorder="1" applyAlignment="1">
      <alignment horizontal="center"/>
    </xf>
    <xf numFmtId="3" fontId="2" fillId="10" borderId="2" xfId="2" applyNumberFormat="1" applyFont="1" applyFill="1" applyBorder="1" applyAlignment="1">
      <alignment horizontal="center"/>
    </xf>
    <xf numFmtId="3" fontId="2" fillId="10" borderId="3" xfId="2" applyNumberFormat="1" applyFont="1" applyFill="1" applyBorder="1" applyAlignment="1">
      <alignment horizontal="center"/>
    </xf>
    <xf numFmtId="3" fontId="40" fillId="10" borderId="1" xfId="2" applyNumberFormat="1" applyFont="1" applyFill="1" applyBorder="1" applyAlignment="1">
      <alignment horizontal="center"/>
    </xf>
    <xf numFmtId="3" fontId="40" fillId="10" borderId="2" xfId="2" applyNumberFormat="1" applyFont="1" applyFill="1" applyBorder="1" applyAlignment="1">
      <alignment horizontal="center"/>
    </xf>
    <xf numFmtId="3" fontId="40" fillId="10" borderId="3" xfId="2" applyNumberFormat="1" applyFont="1" applyFill="1" applyBorder="1" applyAlignment="1">
      <alignment horizontal="center"/>
    </xf>
    <xf numFmtId="1" fontId="2" fillId="0" borderId="1" xfId="2" applyNumberFormat="1" applyFont="1" applyFill="1" applyBorder="1" applyAlignment="1">
      <alignment horizontal="center"/>
    </xf>
    <xf numFmtId="1" fontId="2" fillId="0" borderId="2" xfId="2" applyNumberFormat="1" applyFont="1" applyFill="1" applyBorder="1" applyAlignment="1">
      <alignment horizontal="center"/>
    </xf>
    <xf numFmtId="1" fontId="2" fillId="0" borderId="3" xfId="2" applyNumberFormat="1" applyFont="1" applyFill="1" applyBorder="1" applyAlignment="1">
      <alignment horizontal="center"/>
    </xf>
    <xf numFmtId="0" fontId="3" fillId="0" borderId="1" xfId="2" applyFont="1" applyFill="1" applyBorder="1"/>
    <xf numFmtId="0" fontId="3" fillId="0" borderId="2" xfId="2" applyFont="1" applyBorder="1"/>
    <xf numFmtId="0" fontId="3" fillId="0" borderId="3" xfId="2" applyFont="1" applyBorder="1"/>
    <xf numFmtId="0" fontId="2" fillId="0" borderId="0" xfId="2" applyFont="1" applyFill="1" applyBorder="1" applyAlignment="1">
      <alignment horizontal="center"/>
    </xf>
    <xf numFmtId="0" fontId="3" fillId="0" borderId="0" xfId="2" applyFont="1" applyAlignment="1">
      <alignment horizontal="right"/>
    </xf>
    <xf numFmtId="0" fontId="2" fillId="11" borderId="20" xfId="2" applyFont="1" applyFill="1" applyBorder="1" applyAlignment="1">
      <alignment horizontal="center"/>
    </xf>
    <xf numFmtId="1" fontId="3" fillId="0" borderId="0" xfId="2" applyNumberFormat="1" applyFont="1" applyFill="1" applyAlignment="1">
      <alignment horizontal="right"/>
    </xf>
    <xf numFmtId="0" fontId="2" fillId="11" borderId="18" xfId="2" applyFont="1" applyFill="1" applyBorder="1" applyAlignment="1">
      <alignment horizontal="center"/>
    </xf>
    <xf numFmtId="1" fontId="3" fillId="0" borderId="0" xfId="2" applyNumberFormat="1" applyFont="1" applyFill="1"/>
    <xf numFmtId="0" fontId="3" fillId="0" borderId="0" xfId="2" applyFont="1" applyFill="1" applyAlignment="1">
      <alignment horizontal="right"/>
    </xf>
    <xf numFmtId="0" fontId="2" fillId="11" borderId="19" xfId="2" applyFont="1" applyFill="1" applyBorder="1" applyAlignment="1">
      <alignment horizontal="center"/>
    </xf>
    <xf numFmtId="3" fontId="3" fillId="0" borderId="0" xfId="2" applyNumberFormat="1" applyFont="1" applyFill="1" applyAlignment="1">
      <alignment horizontal="left"/>
    </xf>
    <xf numFmtId="167" fontId="3" fillId="0" borderId="0" xfId="2" applyNumberFormat="1" applyFont="1"/>
    <xf numFmtId="2" fontId="3" fillId="0" borderId="0" xfId="2" applyNumberFormat="1" applyFont="1"/>
    <xf numFmtId="0" fontId="42" fillId="0" borderId="0" xfId="2" applyFont="1"/>
    <xf numFmtId="0" fontId="37" fillId="0" borderId="0" xfId="9"/>
    <xf numFmtId="0" fontId="13" fillId="0" borderId="0" xfId="0" applyFont="1"/>
    <xf numFmtId="0" fontId="14" fillId="0" borderId="0" xfId="0" applyFont="1"/>
    <xf numFmtId="0" fontId="0" fillId="0" borderId="0" xfId="0" applyFill="1"/>
    <xf numFmtId="3" fontId="0" fillId="0" borderId="0" xfId="0" applyNumberFormat="1" applyFill="1"/>
    <xf numFmtId="1" fontId="3" fillId="0" borderId="6" xfId="2" applyNumberFormat="1" applyFont="1" applyFill="1" applyBorder="1" applyAlignment="1">
      <alignment horizontal="center"/>
    </xf>
    <xf numFmtId="1" fontId="3" fillId="0" borderId="7" xfId="2" applyNumberFormat="1" applyFont="1" applyFill="1" applyBorder="1" applyAlignment="1">
      <alignment horizontal="center"/>
    </xf>
    <xf numFmtId="1" fontId="3" fillId="0" borderId="8" xfId="2" applyNumberFormat="1" applyFont="1" applyFill="1" applyBorder="1" applyAlignment="1">
      <alignment horizontal="center"/>
    </xf>
    <xf numFmtId="3" fontId="3" fillId="0" borderId="0" xfId="2" applyNumberFormat="1" applyFont="1" applyFill="1" applyBorder="1" applyAlignment="1">
      <alignment horizontal="left"/>
    </xf>
    <xf numFmtId="167" fontId="3" fillId="0" borderId="4" xfId="10" applyNumberFormat="1" applyFont="1" applyBorder="1"/>
    <xf numFmtId="9" fontId="3" fillId="0" borderId="5" xfId="10" applyFont="1" applyBorder="1"/>
    <xf numFmtId="0" fontId="3" fillId="0" borderId="4" xfId="2" applyNumberFormat="1" applyFont="1" applyBorder="1"/>
    <xf numFmtId="0" fontId="3" fillId="0" borderId="0" xfId="2" applyNumberFormat="1" applyFont="1" applyBorder="1"/>
    <xf numFmtId="0" fontId="3" fillId="0" borderId="5" xfId="10" applyNumberFormat="1" applyFont="1" applyBorder="1"/>
    <xf numFmtId="0" fontId="43" fillId="0" borderId="0" xfId="2" applyFont="1" applyFill="1" applyAlignment="1">
      <alignment wrapText="1"/>
    </xf>
    <xf numFmtId="0" fontId="43" fillId="0" borderId="1" xfId="2" applyFont="1" applyFill="1" applyBorder="1" applyAlignment="1">
      <alignment horizontal="center" wrapText="1"/>
    </xf>
    <xf numFmtId="0" fontId="43" fillId="0" borderId="2" xfId="2" applyFont="1" applyFill="1" applyBorder="1" applyAlignment="1">
      <alignment horizontal="center" wrapText="1"/>
    </xf>
    <xf numFmtId="0" fontId="43" fillId="0" borderId="3" xfId="2" applyFont="1" applyFill="1" applyBorder="1" applyAlignment="1">
      <alignment horizontal="center" wrapText="1"/>
    </xf>
    <xf numFmtId="0" fontId="43" fillId="0" borderId="0" xfId="2" applyFont="1" applyFill="1" applyBorder="1" applyAlignment="1">
      <alignment horizontal="center" wrapText="1"/>
    </xf>
    <xf numFmtId="0" fontId="43" fillId="0" borderId="0" xfId="2" applyFont="1" applyFill="1"/>
    <xf numFmtId="0" fontId="44" fillId="0" borderId="9" xfId="2" applyFont="1" applyFill="1" applyBorder="1" applyAlignment="1">
      <alignment horizontal="center"/>
    </xf>
    <xf numFmtId="0" fontId="44" fillId="0" borderId="10" xfId="2" applyFont="1" applyFill="1" applyBorder="1" applyAlignment="1">
      <alignment horizontal="center"/>
    </xf>
    <xf numFmtId="0" fontId="44" fillId="0" borderId="11" xfId="2" applyFont="1" applyFill="1" applyBorder="1" applyAlignment="1">
      <alignment horizontal="center"/>
    </xf>
    <xf numFmtId="0" fontId="44" fillId="0" borderId="0" xfId="2" applyFont="1" applyFill="1" applyBorder="1" applyAlignment="1">
      <alignment horizontal="center"/>
    </xf>
    <xf numFmtId="0" fontId="45" fillId="0" borderId="0" xfId="2" applyFont="1" applyFill="1"/>
    <xf numFmtId="0" fontId="44" fillId="0" borderId="4" xfId="2" applyFont="1" applyFill="1" applyBorder="1" applyAlignment="1">
      <alignment horizontal="center"/>
    </xf>
    <xf numFmtId="0" fontId="44" fillId="0" borderId="5" xfId="2" applyFont="1" applyFill="1" applyBorder="1" applyAlignment="1">
      <alignment horizontal="center"/>
    </xf>
    <xf numFmtId="0" fontId="44" fillId="0" borderId="0" xfId="2" applyFont="1" applyFill="1"/>
    <xf numFmtId="0" fontId="44" fillId="0" borderId="4" xfId="2" applyFont="1" applyBorder="1"/>
    <xf numFmtId="0" fontId="44" fillId="0" borderId="0" xfId="2" applyFont="1" applyBorder="1"/>
    <xf numFmtId="0" fontId="44" fillId="0" borderId="5" xfId="2" applyFont="1" applyBorder="1"/>
    <xf numFmtId="0" fontId="44" fillId="0" borderId="0" xfId="2" applyFont="1" applyFill="1" applyBorder="1" applyAlignment="1">
      <alignment horizontal="left"/>
    </xf>
    <xf numFmtId="9" fontId="46" fillId="0" borderId="4" xfId="2" applyNumberFormat="1" applyFont="1" applyFill="1" applyBorder="1" applyAlignment="1">
      <alignment horizontal="center"/>
    </xf>
    <xf numFmtId="9" fontId="46" fillId="0" borderId="0" xfId="2" applyNumberFormat="1" applyFont="1" applyFill="1" applyBorder="1" applyAlignment="1">
      <alignment horizontal="center"/>
    </xf>
    <xf numFmtId="0" fontId="46" fillId="0" borderId="5" xfId="2" applyFont="1" applyFill="1" applyBorder="1" applyAlignment="1">
      <alignment horizontal="center"/>
    </xf>
    <xf numFmtId="0" fontId="46" fillId="0" borderId="0" xfId="2" applyFont="1" applyFill="1" applyBorder="1" applyAlignment="1">
      <alignment horizontal="center"/>
    </xf>
    <xf numFmtId="9" fontId="46" fillId="0" borderId="5" xfId="2" applyNumberFormat="1" applyFont="1" applyFill="1" applyBorder="1" applyAlignment="1">
      <alignment horizontal="center"/>
    </xf>
    <xf numFmtId="9" fontId="44" fillId="0" borderId="4" xfId="2" applyNumberFormat="1" applyFont="1" applyFill="1" applyBorder="1" applyAlignment="1">
      <alignment horizontal="center"/>
    </xf>
    <xf numFmtId="9" fontId="44" fillId="0" borderId="0" xfId="2" applyNumberFormat="1" applyFont="1" applyFill="1" applyBorder="1" applyAlignment="1">
      <alignment horizontal="center"/>
    </xf>
    <xf numFmtId="9" fontId="44" fillId="0" borderId="5" xfId="2" applyNumberFormat="1" applyFont="1" applyFill="1" applyBorder="1" applyAlignment="1">
      <alignment horizontal="center"/>
    </xf>
    <xf numFmtId="9" fontId="44" fillId="0" borderId="4" xfId="6" applyFont="1" applyBorder="1"/>
    <xf numFmtId="9" fontId="44" fillId="0" borderId="0" xfId="6" applyFont="1" applyBorder="1"/>
    <xf numFmtId="9" fontId="44" fillId="0" borderId="4" xfId="6" applyFont="1" applyFill="1" applyBorder="1" applyAlignment="1"/>
    <xf numFmtId="9" fontId="44" fillId="0" borderId="0" xfId="6" applyFont="1" applyFill="1" applyBorder="1" applyAlignment="1"/>
    <xf numFmtId="9" fontId="44" fillId="0" borderId="5" xfId="6" applyFont="1" applyFill="1" applyBorder="1" applyAlignment="1"/>
    <xf numFmtId="2" fontId="44" fillId="0" borderId="4" xfId="6" applyNumberFormat="1" applyFont="1" applyBorder="1" applyAlignment="1">
      <alignment horizontal="right"/>
    </xf>
    <xf numFmtId="2" fontId="44" fillId="0" borderId="0" xfId="6" applyNumberFormat="1" applyFont="1" applyBorder="1" applyAlignment="1">
      <alignment horizontal="right"/>
    </xf>
    <xf numFmtId="2" fontId="44" fillId="0" borderId="5" xfId="6" applyNumberFormat="1" applyFont="1" applyBorder="1" applyAlignment="1">
      <alignment horizontal="right"/>
    </xf>
    <xf numFmtId="0" fontId="44" fillId="2" borderId="14" xfId="5" applyFont="1" applyBorder="1"/>
    <xf numFmtId="0" fontId="44" fillId="0" borderId="0" xfId="2" applyFont="1"/>
    <xf numFmtId="0" fontId="47" fillId="0" borderId="0" xfId="2" applyFont="1" applyFill="1"/>
    <xf numFmtId="2" fontId="47" fillId="0" borderId="4" xfId="2" applyNumberFormat="1" applyFont="1" applyFill="1" applyBorder="1" applyAlignment="1">
      <alignment horizontal="center"/>
    </xf>
    <xf numFmtId="2" fontId="47" fillId="0" borderId="0" xfId="2" applyNumberFormat="1" applyFont="1" applyFill="1" applyBorder="1" applyAlignment="1">
      <alignment horizontal="center"/>
    </xf>
    <xf numFmtId="2" fontId="47" fillId="0" borderId="5" xfId="2" applyNumberFormat="1" applyFont="1" applyFill="1" applyBorder="1" applyAlignment="1">
      <alignment horizontal="center"/>
    </xf>
    <xf numFmtId="0" fontId="48" fillId="2" borderId="13" xfId="5" applyFont="1"/>
    <xf numFmtId="0" fontId="44" fillId="0" borderId="5" xfId="2" applyFont="1" applyFill="1" applyBorder="1"/>
    <xf numFmtId="1" fontId="44" fillId="0" borderId="0" xfId="2" applyNumberFormat="1" applyFont="1" applyBorder="1"/>
    <xf numFmtId="1" fontId="44" fillId="0" borderId="4" xfId="2" applyNumberFormat="1" applyFont="1" applyFill="1" applyBorder="1" applyAlignment="1">
      <alignment horizontal="center"/>
    </xf>
    <xf numFmtId="1" fontId="44" fillId="0" borderId="0" xfId="2" applyNumberFormat="1" applyFont="1" applyFill="1" applyBorder="1" applyAlignment="1">
      <alignment horizontal="center"/>
    </xf>
    <xf numFmtId="1" fontId="44" fillId="0" borderId="5" xfId="2" applyNumberFormat="1" applyFont="1" applyFill="1" applyBorder="1" applyAlignment="1">
      <alignment horizontal="center"/>
    </xf>
    <xf numFmtId="2" fontId="44" fillId="0" borderId="4" xfId="2" applyNumberFormat="1" applyFont="1" applyFill="1" applyBorder="1" applyAlignment="1">
      <alignment horizontal="center"/>
    </xf>
    <xf numFmtId="2" fontId="44" fillId="0" borderId="0" xfId="2" applyNumberFormat="1" applyFont="1" applyFill="1" applyBorder="1" applyAlignment="1">
      <alignment horizontal="center"/>
    </xf>
    <xf numFmtId="2" fontId="44" fillId="0" borderId="5" xfId="2" applyNumberFormat="1" applyFont="1" applyFill="1" applyBorder="1" applyAlignment="1">
      <alignment horizontal="center"/>
    </xf>
    <xf numFmtId="1" fontId="50" fillId="0" borderId="4" xfId="2" applyNumberFormat="1" applyFont="1" applyFill="1" applyBorder="1" applyAlignment="1">
      <alignment horizontal="center"/>
    </xf>
    <xf numFmtId="1" fontId="50" fillId="0" borderId="0" xfId="2" applyNumberFormat="1" applyFont="1" applyFill="1" applyBorder="1" applyAlignment="1">
      <alignment horizontal="center"/>
    </xf>
    <xf numFmtId="1" fontId="50" fillId="0" borderId="5" xfId="2" applyNumberFormat="1" applyFont="1" applyFill="1" applyBorder="1" applyAlignment="1">
      <alignment horizontal="center"/>
    </xf>
    <xf numFmtId="0" fontId="44" fillId="2" borderId="13" xfId="5" applyFont="1"/>
    <xf numFmtId="0" fontId="44" fillId="0" borderId="4" xfId="2" applyFont="1" applyFill="1" applyBorder="1"/>
    <xf numFmtId="0" fontId="44" fillId="0" borderId="0" xfId="2" applyFont="1" applyFill="1" applyBorder="1"/>
    <xf numFmtId="1" fontId="44" fillId="2" borderId="14" xfId="5" applyNumberFormat="1" applyFont="1" applyBorder="1"/>
    <xf numFmtId="1" fontId="44" fillId="0" borderId="0" xfId="2" applyNumberFormat="1" applyFont="1" applyFill="1" applyBorder="1"/>
    <xf numFmtId="0" fontId="51" fillId="0" borderId="0" xfId="2" applyFont="1" applyFill="1" applyAlignment="1">
      <alignment horizontal="left" indent="1"/>
    </xf>
    <xf numFmtId="0" fontId="51" fillId="0" borderId="4" xfId="2" applyFont="1" applyFill="1" applyBorder="1" applyAlignment="1">
      <alignment horizontal="center"/>
    </xf>
    <xf numFmtId="0" fontId="51" fillId="0" borderId="0" xfId="2" applyFont="1" applyFill="1" applyBorder="1" applyAlignment="1">
      <alignment horizontal="center"/>
    </xf>
    <xf numFmtId="0" fontId="51" fillId="0" borderId="5" xfId="2" applyFont="1" applyFill="1" applyBorder="1" applyAlignment="1">
      <alignment horizontal="center"/>
    </xf>
    <xf numFmtId="1" fontId="51" fillId="0" borderId="4" xfId="2" applyNumberFormat="1" applyFont="1" applyFill="1" applyBorder="1" applyAlignment="1">
      <alignment horizontal="center"/>
    </xf>
    <xf numFmtId="1" fontId="51" fillId="0" borderId="0" xfId="2" applyNumberFormat="1" applyFont="1" applyFill="1" applyBorder="1" applyAlignment="1">
      <alignment horizontal="center"/>
    </xf>
    <xf numFmtId="1" fontId="51" fillId="0" borderId="5" xfId="2" applyNumberFormat="1" applyFont="1" applyFill="1" applyBorder="1" applyAlignment="1">
      <alignment horizontal="center"/>
    </xf>
    <xf numFmtId="0" fontId="44" fillId="0" borderId="0" xfId="2" applyFont="1" applyFill="1" applyAlignment="1">
      <alignment horizontal="left"/>
    </xf>
    <xf numFmtId="1" fontId="43" fillId="0" borderId="6" xfId="2" applyNumberFormat="1" applyFont="1" applyFill="1" applyBorder="1" applyAlignment="1">
      <alignment horizontal="center"/>
    </xf>
    <xf numFmtId="1" fontId="43" fillId="0" borderId="7" xfId="2" applyNumberFormat="1" applyFont="1" applyFill="1" applyBorder="1" applyAlignment="1">
      <alignment horizontal="center"/>
    </xf>
    <xf numFmtId="1" fontId="43" fillId="0" borderId="8" xfId="2" applyNumberFormat="1" applyFont="1" applyFill="1" applyBorder="1" applyAlignment="1">
      <alignment horizontal="center"/>
    </xf>
    <xf numFmtId="1" fontId="43" fillId="0" borderId="0" xfId="2" applyNumberFormat="1" applyFont="1" applyFill="1" applyBorder="1" applyAlignment="1">
      <alignment horizontal="center"/>
    </xf>
    <xf numFmtId="1" fontId="44" fillId="2" borderId="13" xfId="5" applyNumberFormat="1" applyFont="1"/>
    <xf numFmtId="0" fontId="52" fillId="2" borderId="13" xfId="5" applyFont="1"/>
    <xf numFmtId="0" fontId="52" fillId="0" borderId="0" xfId="0" applyFont="1"/>
    <xf numFmtId="0" fontId="53" fillId="2" borderId="13" xfId="5" applyFont="1"/>
    <xf numFmtId="0" fontId="52" fillId="0" borderId="4" xfId="0" applyFont="1" applyBorder="1"/>
    <xf numFmtId="2" fontId="44" fillId="0" borderId="0" xfId="2" applyNumberFormat="1" applyFont="1"/>
    <xf numFmtId="0" fontId="43" fillId="0" borderId="0" xfId="2" applyFont="1"/>
    <xf numFmtId="1" fontId="52" fillId="0" borderId="9" xfId="0" applyNumberFormat="1" applyFont="1" applyBorder="1"/>
    <xf numFmtId="1" fontId="52" fillId="0" borderId="10" xfId="0" applyNumberFormat="1" applyFont="1" applyBorder="1"/>
    <xf numFmtId="1" fontId="52" fillId="0" borderId="11" xfId="0" applyNumberFormat="1" applyFont="1" applyBorder="1"/>
    <xf numFmtId="1" fontId="54" fillId="4" borderId="4" xfId="0" applyNumberFormat="1" applyFont="1" applyFill="1" applyBorder="1"/>
    <xf numFmtId="1" fontId="52" fillId="0" borderId="0" xfId="0" applyNumberFormat="1" applyFont="1" applyBorder="1"/>
    <xf numFmtId="1" fontId="52" fillId="0" borderId="5" xfId="0" applyNumberFormat="1" applyFont="1" applyBorder="1"/>
    <xf numFmtId="1" fontId="52" fillId="0" borderId="4" xfId="0" applyNumberFormat="1" applyFont="1" applyBorder="1"/>
    <xf numFmtId="1" fontId="54" fillId="4" borderId="6" xfId="0" applyNumberFormat="1" applyFont="1" applyFill="1" applyBorder="1"/>
    <xf numFmtId="1" fontId="54" fillId="4" borderId="7" xfId="0" applyNumberFormat="1" applyFont="1" applyFill="1" applyBorder="1"/>
    <xf numFmtId="1" fontId="54" fillId="4" borderId="8" xfId="0" applyNumberFormat="1" applyFont="1" applyFill="1" applyBorder="1"/>
    <xf numFmtId="0" fontId="44" fillId="2" borderId="0" xfId="5" applyFont="1" applyBorder="1"/>
    <xf numFmtId="2" fontId="52" fillId="0" borderId="0" xfId="0" applyNumberFormat="1" applyFont="1"/>
    <xf numFmtId="1" fontId="44" fillId="0" borderId="0" xfId="2" applyNumberFormat="1" applyFont="1"/>
    <xf numFmtId="0" fontId="45" fillId="0" borderId="0" xfId="2" applyFont="1"/>
    <xf numFmtId="0" fontId="44" fillId="0" borderId="9" xfId="2" applyFont="1" applyBorder="1"/>
    <xf numFmtId="0" fontId="44" fillId="0" borderId="10" xfId="2" applyFont="1" applyBorder="1"/>
    <xf numFmtId="0" fontId="44" fillId="0" borderId="11" xfId="2" applyFont="1" applyBorder="1"/>
    <xf numFmtId="1" fontId="44" fillId="0" borderId="4" xfId="2" applyNumberFormat="1" applyFont="1" applyBorder="1"/>
    <xf numFmtId="1" fontId="44" fillId="0" borderId="5" xfId="2" applyNumberFormat="1" applyFont="1" applyBorder="1"/>
    <xf numFmtId="1" fontId="44" fillId="0" borderId="6" xfId="2" applyNumberFormat="1" applyFont="1" applyBorder="1"/>
    <xf numFmtId="1" fontId="44" fillId="0" borderId="7" xfId="2" applyNumberFormat="1" applyFont="1" applyBorder="1"/>
    <xf numFmtId="1" fontId="44" fillId="0" borderId="8" xfId="2" applyNumberFormat="1" applyFont="1" applyBorder="1"/>
    <xf numFmtId="9" fontId="44" fillId="0" borderId="0" xfId="6" applyFont="1"/>
    <xf numFmtId="1" fontId="32" fillId="0" borderId="0" xfId="0" applyNumberFormat="1" applyFont="1"/>
    <xf numFmtId="1" fontId="52" fillId="12" borderId="1" xfId="0" applyNumberFormat="1" applyFont="1" applyFill="1" applyBorder="1"/>
    <xf numFmtId="1" fontId="0" fillId="0" borderId="0" xfId="0" applyNumberFormat="1" applyFill="1"/>
    <xf numFmtId="0" fontId="3" fillId="0" borderId="0" xfId="2" applyFont="1" applyAlignment="1">
      <alignment horizontal="center"/>
    </xf>
    <xf numFmtId="164" fontId="32" fillId="0" borderId="0" xfId="0" applyNumberFormat="1" applyFont="1"/>
    <xf numFmtId="164" fontId="0" fillId="0" borderId="0" xfId="0" applyNumberFormat="1"/>
    <xf numFmtId="0" fontId="12" fillId="0" borderId="4" xfId="2" applyFont="1" applyFill="1" applyBorder="1" applyAlignment="1">
      <alignment horizontal="center"/>
    </xf>
    <xf numFmtId="0" fontId="12" fillId="0" borderId="0" xfId="2" applyFont="1" applyFill="1" applyBorder="1" applyAlignment="1">
      <alignment horizontal="center"/>
    </xf>
    <xf numFmtId="0" fontId="12" fillId="0" borderId="5" xfId="2" applyFont="1" applyFill="1" applyBorder="1" applyAlignment="1">
      <alignment horizontal="center"/>
    </xf>
    <xf numFmtId="0" fontId="12" fillId="0" borderId="0" xfId="2" applyFont="1"/>
    <xf numFmtId="0" fontId="55" fillId="0" borderId="0" xfId="2" applyFont="1" applyFill="1"/>
    <xf numFmtId="1" fontId="55" fillId="0" borderId="4" xfId="2" applyNumberFormat="1" applyFont="1" applyFill="1" applyBorder="1" applyAlignment="1">
      <alignment horizontal="center"/>
    </xf>
    <xf numFmtId="1" fontId="55" fillId="0" borderId="0" xfId="2" applyNumberFormat="1" applyFont="1" applyFill="1" applyBorder="1" applyAlignment="1">
      <alignment horizontal="center"/>
    </xf>
    <xf numFmtId="1" fontId="55" fillId="0" borderId="5" xfId="2" applyNumberFormat="1" applyFont="1" applyFill="1" applyBorder="1" applyAlignment="1">
      <alignment horizontal="center"/>
    </xf>
    <xf numFmtId="1" fontId="55" fillId="0" borderId="18" xfId="2" applyNumberFormat="1" applyFont="1" applyFill="1" applyBorder="1" applyAlignment="1">
      <alignment horizontal="center"/>
    </xf>
    <xf numFmtId="1" fontId="12" fillId="0" borderId="4" xfId="2" applyNumberFormat="1" applyFont="1" applyFill="1" applyBorder="1" applyAlignment="1">
      <alignment horizontal="center"/>
    </xf>
    <xf numFmtId="1" fontId="12" fillId="0" borderId="0" xfId="2" applyNumberFormat="1" applyFont="1" applyFill="1" applyBorder="1" applyAlignment="1">
      <alignment horizontal="center"/>
    </xf>
    <xf numFmtId="1" fontId="12" fillId="0" borderId="5" xfId="2" applyNumberFormat="1" applyFont="1" applyFill="1" applyBorder="1" applyAlignment="1">
      <alignment horizontal="center"/>
    </xf>
    <xf numFmtId="0" fontId="55" fillId="0" borderId="4" xfId="2" applyFont="1" applyFill="1" applyBorder="1" applyAlignment="1">
      <alignment horizontal="center"/>
    </xf>
    <xf numFmtId="0" fontId="55" fillId="0" borderId="0" xfId="2" applyFont="1" applyFill="1" applyBorder="1" applyAlignment="1">
      <alignment horizontal="center"/>
    </xf>
    <xf numFmtId="0" fontId="55" fillId="0" borderId="5" xfId="2" applyFont="1" applyFill="1" applyBorder="1" applyAlignment="1">
      <alignment horizontal="center"/>
    </xf>
    <xf numFmtId="0" fontId="55" fillId="0" borderId="18" xfId="2" applyFont="1" applyFill="1" applyBorder="1" applyAlignment="1">
      <alignment horizontal="center"/>
    </xf>
    <xf numFmtId="2" fontId="12" fillId="0" borderId="0" xfId="2" applyNumberFormat="1" applyFont="1" applyFill="1" applyBorder="1" applyAlignment="1">
      <alignment horizontal="center"/>
    </xf>
    <xf numFmtId="1" fontId="12" fillId="0" borderId="0" xfId="2" applyNumberFormat="1" applyFont="1" applyAlignment="1">
      <alignment horizontal="center"/>
    </xf>
    <xf numFmtId="164" fontId="55" fillId="0" borderId="4" xfId="2" applyNumberFormat="1" applyFont="1" applyFill="1" applyBorder="1" applyAlignment="1">
      <alignment horizontal="center"/>
    </xf>
    <xf numFmtId="0" fontId="31" fillId="0" borderId="0" xfId="0" applyFont="1"/>
    <xf numFmtId="1" fontId="31" fillId="0" borderId="0" xfId="0" applyNumberFormat="1" applyFont="1"/>
    <xf numFmtId="0" fontId="31" fillId="0" borderId="0" xfId="0" applyFont="1" applyAlignment="1">
      <alignment horizontal="right"/>
    </xf>
    <xf numFmtId="1" fontId="20" fillId="0" borderId="0" xfId="0" applyNumberFormat="1" applyFont="1" applyAlignment="1">
      <alignment horizontal="left"/>
    </xf>
    <xf numFmtId="1" fontId="20" fillId="0" borderId="0" xfId="0" applyNumberFormat="1" applyFont="1" applyAlignment="1">
      <alignment horizontal="center"/>
    </xf>
    <xf numFmtId="0" fontId="56" fillId="0" borderId="0" xfId="0" applyFont="1"/>
    <xf numFmtId="1" fontId="56" fillId="0" borderId="0" xfId="0" applyNumberFormat="1" applyFont="1"/>
    <xf numFmtId="0" fontId="57" fillId="13" borderId="21" xfId="0" applyFont="1" applyFill="1" applyBorder="1" applyAlignment="1">
      <alignment horizontal="justify" vertical="center" wrapText="1"/>
    </xf>
    <xf numFmtId="0" fontId="24" fillId="13" borderId="22" xfId="0" applyFont="1" applyFill="1" applyBorder="1" applyAlignment="1">
      <alignment horizontal="justify" vertical="center" wrapText="1"/>
    </xf>
    <xf numFmtId="0" fontId="58" fillId="13" borderId="22" xfId="0" applyFont="1" applyFill="1" applyBorder="1" applyAlignment="1">
      <alignment horizontal="justify" vertical="center" wrapText="1"/>
    </xf>
    <xf numFmtId="0" fontId="24" fillId="0" borderId="23" xfId="0" applyFont="1" applyBorder="1" applyAlignment="1">
      <alignment horizontal="left" wrapText="1"/>
    </xf>
    <xf numFmtId="0" fontId="24" fillId="0" borderId="24" xfId="0" applyFont="1" applyBorder="1" applyAlignment="1">
      <alignment horizontal="center" wrapText="1"/>
    </xf>
    <xf numFmtId="0" fontId="57" fillId="13" borderId="23" xfId="0" applyFont="1" applyFill="1" applyBorder="1" applyAlignment="1">
      <alignment horizontal="left" wrapText="1"/>
    </xf>
    <xf numFmtId="0" fontId="59" fillId="13" borderId="24" xfId="0" applyFont="1" applyFill="1" applyBorder="1" applyAlignment="1">
      <alignment horizontal="center" wrapText="1"/>
    </xf>
    <xf numFmtId="0" fontId="24" fillId="13" borderId="24" xfId="0" applyFont="1" applyFill="1" applyBorder="1" applyAlignment="1">
      <alignment horizontal="center" wrapText="1"/>
    </xf>
    <xf numFmtId="0" fontId="59" fillId="0" borderId="23" xfId="0" applyFont="1" applyBorder="1" applyAlignment="1">
      <alignment horizontal="left" wrapText="1"/>
    </xf>
    <xf numFmtId="9" fontId="59" fillId="0" borderId="24" xfId="0" applyNumberFormat="1" applyFont="1" applyBorder="1" applyAlignment="1">
      <alignment horizontal="center" wrapText="1"/>
    </xf>
    <xf numFmtId="0" fontId="59" fillId="0" borderId="24" xfId="0" applyFont="1" applyBorder="1" applyAlignment="1">
      <alignment horizontal="left" wrapText="1"/>
    </xf>
    <xf numFmtId="0" fontId="59" fillId="0" borderId="24" xfId="0" applyFont="1" applyBorder="1" applyAlignment="1">
      <alignment horizontal="center" wrapText="1"/>
    </xf>
    <xf numFmtId="0" fontId="57" fillId="14" borderId="25" xfId="0" applyFont="1" applyFill="1" applyBorder="1" applyAlignment="1">
      <alignment horizontal="center" vertical="center" wrapText="1"/>
    </xf>
    <xf numFmtId="0" fontId="57" fillId="14" borderId="22" xfId="0" applyFont="1" applyFill="1" applyBorder="1" applyAlignment="1">
      <alignment horizontal="center" vertical="center" wrapText="1"/>
    </xf>
    <xf numFmtId="0" fontId="59" fillId="0" borderId="23" xfId="0" applyFont="1" applyBorder="1" applyAlignment="1">
      <alignment horizontal="center" vertical="center" wrapText="1"/>
    </xf>
    <xf numFmtId="0" fontId="59" fillId="0" borderId="24" xfId="0" applyFont="1" applyBorder="1" applyAlignment="1">
      <alignment horizontal="center" vertical="center" wrapText="1"/>
    </xf>
    <xf numFmtId="0" fontId="61" fillId="0" borderId="24" xfId="0" applyFont="1" applyBorder="1" applyAlignment="1">
      <alignment horizontal="center" vertical="center" wrapText="1"/>
    </xf>
    <xf numFmtId="0" fontId="24" fillId="0" borderId="24" xfId="0" applyFont="1" applyBorder="1" applyAlignment="1">
      <alignment horizontal="center" vertical="center" wrapText="1"/>
    </xf>
    <xf numFmtId="0" fontId="14" fillId="0" borderId="24" xfId="0" applyFont="1" applyBorder="1" applyAlignment="1">
      <alignment horizontal="center" vertical="center" wrapText="1"/>
    </xf>
    <xf numFmtId="0" fontId="62" fillId="0" borderId="0" xfId="0" applyFont="1"/>
    <xf numFmtId="0" fontId="62" fillId="0" borderId="0" xfId="0" applyFont="1" applyAlignment="1">
      <alignment wrapText="1"/>
    </xf>
    <xf numFmtId="0" fontId="63" fillId="15" borderId="21" xfId="0" applyFont="1" applyFill="1" applyBorder="1" applyAlignment="1">
      <alignment horizontal="justify" vertical="center" wrapText="1"/>
    </xf>
    <xf numFmtId="0" fontId="64" fillId="15" borderId="22" xfId="0" applyFont="1" applyFill="1" applyBorder="1" applyAlignment="1">
      <alignment horizontal="justify" vertical="center" wrapText="1"/>
    </xf>
    <xf numFmtId="0" fontId="24" fillId="0" borderId="23" xfId="0" applyFont="1" applyBorder="1" applyAlignment="1">
      <alignment horizontal="justify" vertical="center" wrapText="1"/>
    </xf>
    <xf numFmtId="0" fontId="24" fillId="0" borderId="24" xfId="0" applyFont="1" applyBorder="1" applyAlignment="1">
      <alignment horizontal="justify" vertical="center" wrapText="1"/>
    </xf>
    <xf numFmtId="0" fontId="24" fillId="16" borderId="24" xfId="0" applyFont="1" applyFill="1" applyBorder="1" applyAlignment="1">
      <alignment horizontal="justify" vertical="center" wrapText="1"/>
    </xf>
    <xf numFmtId="0" fontId="19" fillId="0" borderId="0" xfId="3"/>
    <xf numFmtId="1" fontId="0" fillId="0" borderId="0" xfId="0" applyNumberFormat="1" applyAlignment="1">
      <alignment horizontal="center"/>
    </xf>
    <xf numFmtId="0" fontId="0" fillId="0" borderId="0" xfId="0" applyAlignment="1">
      <alignment horizontal="center"/>
    </xf>
    <xf numFmtId="9" fontId="0" fillId="0" borderId="0" xfId="6" applyFont="1"/>
    <xf numFmtId="0" fontId="57" fillId="13" borderId="21" xfId="0" applyFont="1" applyFill="1" applyBorder="1" applyAlignment="1">
      <alignment horizontal="left" vertical="center" wrapText="1"/>
    </xf>
    <xf numFmtId="0" fontId="59" fillId="0" borderId="0" xfId="0" applyFont="1" applyBorder="1" applyAlignment="1">
      <alignment horizontal="center" vertical="center" wrapText="1"/>
    </xf>
    <xf numFmtId="0" fontId="14" fillId="0" borderId="0" xfId="0" applyFont="1" applyBorder="1" applyAlignment="1">
      <alignment horizontal="center" vertical="center" wrapText="1"/>
    </xf>
    <xf numFmtId="0" fontId="59" fillId="0" borderId="0" xfId="0" applyFont="1" applyBorder="1" applyAlignment="1">
      <alignment horizontal="left" vertical="center" wrapText="1"/>
    </xf>
    <xf numFmtId="0" fontId="0" fillId="3" borderId="0" xfId="0" applyFill="1"/>
    <xf numFmtId="0" fontId="57" fillId="14" borderId="27" xfId="0" applyFont="1" applyFill="1" applyBorder="1" applyAlignment="1">
      <alignment horizontal="center" vertical="center" wrapText="1"/>
    </xf>
    <xf numFmtId="0" fontId="62" fillId="0" borderId="0" xfId="0" applyFont="1" applyAlignment="1">
      <alignment horizontal="left" vertical="top" wrapText="1"/>
    </xf>
    <xf numFmtId="0" fontId="0" fillId="18" borderId="0" xfId="0" applyFill="1"/>
    <xf numFmtId="0" fontId="17" fillId="17" borderId="0" xfId="12"/>
    <xf numFmtId="1" fontId="20" fillId="0" borderId="0" xfId="0" applyNumberFormat="1" applyFont="1" applyAlignment="1">
      <alignment horizontal="left"/>
    </xf>
    <xf numFmtId="0" fontId="20" fillId="0" borderId="0" xfId="0" applyFont="1" applyAlignment="1">
      <alignment horizontal="center"/>
    </xf>
    <xf numFmtId="1" fontId="20" fillId="0" borderId="0" xfId="0" applyNumberFormat="1" applyFont="1" applyAlignment="1">
      <alignment horizontal="center"/>
    </xf>
    <xf numFmtId="0" fontId="20" fillId="0" borderId="0" xfId="0" applyFont="1" applyAlignment="1">
      <alignment horizontal="left"/>
    </xf>
    <xf numFmtId="0" fontId="3" fillId="0" borderId="0" xfId="2" applyFont="1" applyAlignment="1">
      <alignment horizontal="center"/>
    </xf>
    <xf numFmtId="0" fontId="59" fillId="0" borderId="26" xfId="0" applyFont="1" applyFill="1" applyBorder="1" applyAlignment="1">
      <alignment horizontal="center" wrapText="1"/>
    </xf>
    <xf numFmtId="0" fontId="59" fillId="0" borderId="0" xfId="0" applyFont="1" applyFill="1" applyBorder="1" applyAlignment="1">
      <alignment horizontal="center" wrapText="1"/>
    </xf>
    <xf numFmtId="0" fontId="13" fillId="0" borderId="0" xfId="2" applyFont="1"/>
    <xf numFmtId="0" fontId="1" fillId="0" borderId="0" xfId="2"/>
    <xf numFmtId="0" fontId="13" fillId="5" borderId="15" xfId="2" applyFont="1" applyFill="1" applyBorder="1"/>
    <xf numFmtId="0" fontId="0" fillId="0" borderId="0" xfId="0" applyAlignment="1">
      <alignment horizontal="left"/>
    </xf>
    <xf numFmtId="0" fontId="0" fillId="0" borderId="0" xfId="0" applyAlignment="1">
      <alignment horizontal="left" wrapText="1"/>
    </xf>
  </cellXfs>
  <cellStyles count="13">
    <cellStyle name="20% - Accent3" xfId="12" builtinId="38"/>
    <cellStyle name="Currency 2" xfId="11" xr:uid="{00000000-0005-0000-0000-000000000000}"/>
    <cellStyle name="Heading 1" xfId="1" builtinId="16"/>
    <cellStyle name="Hyperlink" xfId="9" builtinId="8"/>
    <cellStyle name="Normal" xfId="0" builtinId="0"/>
    <cellStyle name="Normal 2" xfId="2" xr:uid="{00000000-0005-0000-0000-000004000000}"/>
    <cellStyle name="Normal 3" xfId="3" xr:uid="{00000000-0005-0000-0000-000005000000}"/>
    <cellStyle name="Normal_HHV versus LHV basis" xfId="4" xr:uid="{00000000-0005-0000-0000-000006000000}"/>
    <cellStyle name="Note" xfId="5" builtinId="10"/>
    <cellStyle name="Percent" xfId="6" builtinId="5"/>
    <cellStyle name="Percent 2" xfId="10" xr:uid="{00000000-0005-0000-0000-000009000000}"/>
    <cellStyle name="Procent 2" xfId="7" xr:uid="{00000000-0005-0000-0000-00000A000000}"/>
    <cellStyle name="Valuta 2" xfId="8"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GB"/>
              <a:t>Container vessel</a:t>
            </a:r>
          </a:p>
        </c:rich>
      </c:tx>
      <c:overlay val="0"/>
    </c:title>
    <c:autoTitleDeleted val="0"/>
    <c:plotArea>
      <c:layout/>
      <c:barChart>
        <c:barDir val="col"/>
        <c:grouping val="stacked"/>
        <c:varyColors val="0"/>
        <c:ser>
          <c:idx val="0"/>
          <c:order val="0"/>
          <c:tx>
            <c:strRef>
              <c:f>container!$A$93</c:f>
              <c:strCache>
                <c:ptCount val="1"/>
                <c:pt idx="0">
                  <c:v>Propulsion system</c:v>
                </c:pt>
              </c:strCache>
            </c:strRef>
          </c:tx>
          <c:invertIfNegative val="0"/>
          <c:cat>
            <c:strRef>
              <c:f>container!$B$92:$N$92</c:f>
              <c:strCache>
                <c:ptCount val="13"/>
                <c:pt idx="0">
                  <c:v>Conventional HFO</c:v>
                </c:pt>
                <c:pt idx="1">
                  <c:v>HFO IC + Scrubber </c:v>
                </c:pt>
                <c:pt idx="2">
                  <c:v>MGO IC</c:v>
                </c:pt>
                <c:pt idx="3">
                  <c:v>MeOH IC</c:v>
                </c:pt>
                <c:pt idx="4">
                  <c:v>BTL IC</c:v>
                </c:pt>
                <c:pt idx="5">
                  <c:v>LNG IC</c:v>
                </c:pt>
                <c:pt idx="6">
                  <c:v>H2 IC</c:v>
                </c:pt>
                <c:pt idx="7">
                  <c:v>HFO FC</c:v>
                </c:pt>
                <c:pt idx="8">
                  <c:v>MGO FC</c:v>
                </c:pt>
                <c:pt idx="9">
                  <c:v>MeOH FC</c:v>
                </c:pt>
                <c:pt idx="10">
                  <c:v>BTL FC</c:v>
                </c:pt>
                <c:pt idx="11">
                  <c:v>LNG FC</c:v>
                </c:pt>
                <c:pt idx="12">
                  <c:v>H2 FC</c:v>
                </c:pt>
              </c:strCache>
            </c:strRef>
          </c:cat>
          <c:val>
            <c:numRef>
              <c:f>container!$B$93:$N$93</c:f>
              <c:numCache>
                <c:formatCode>0</c:formatCode>
                <c:ptCount val="13"/>
                <c:pt idx="0">
                  <c:v>255555.55555555556</c:v>
                </c:pt>
                <c:pt idx="1">
                  <c:v>255555.55555555556</c:v>
                </c:pt>
                <c:pt idx="2">
                  <c:v>255555.55555555556</c:v>
                </c:pt>
                <c:pt idx="3">
                  <c:v>255555.55555555556</c:v>
                </c:pt>
                <c:pt idx="4">
                  <c:v>255555.55555555556</c:v>
                </c:pt>
                <c:pt idx="5">
                  <c:v>255555.55555555556</c:v>
                </c:pt>
                <c:pt idx="6">
                  <c:v>255555.55555555556</c:v>
                </c:pt>
                <c:pt idx="7">
                  <c:v>1533333.3333333335</c:v>
                </c:pt>
                <c:pt idx="8">
                  <c:v>1533333.3333333335</c:v>
                </c:pt>
                <c:pt idx="9">
                  <c:v>1533333.3333333335</c:v>
                </c:pt>
                <c:pt idx="10">
                  <c:v>1533333.3333333335</c:v>
                </c:pt>
                <c:pt idx="11">
                  <c:v>1533333.3333333335</c:v>
                </c:pt>
                <c:pt idx="12">
                  <c:v>1533333.3333333335</c:v>
                </c:pt>
              </c:numCache>
            </c:numRef>
          </c:val>
          <c:extLst>
            <c:ext xmlns:c16="http://schemas.microsoft.com/office/drawing/2014/chart" uri="{C3380CC4-5D6E-409C-BE32-E72D297353CC}">
              <c16:uniqueId val="{00000000-E11D-4323-AED7-F2DABDF5BA04}"/>
            </c:ext>
          </c:extLst>
        </c:ser>
        <c:ser>
          <c:idx val="1"/>
          <c:order val="1"/>
          <c:tx>
            <c:strRef>
              <c:f>container!$A$94</c:f>
              <c:strCache>
                <c:ptCount val="1"/>
                <c:pt idx="0">
                  <c:v>Fuel</c:v>
                </c:pt>
              </c:strCache>
            </c:strRef>
          </c:tx>
          <c:invertIfNegative val="0"/>
          <c:cat>
            <c:strRef>
              <c:f>container!$B$92:$N$92</c:f>
              <c:strCache>
                <c:ptCount val="13"/>
                <c:pt idx="0">
                  <c:v>Conventional HFO</c:v>
                </c:pt>
                <c:pt idx="1">
                  <c:v>HFO IC + Scrubber </c:v>
                </c:pt>
                <c:pt idx="2">
                  <c:v>MGO IC</c:v>
                </c:pt>
                <c:pt idx="3">
                  <c:v>MeOH IC</c:v>
                </c:pt>
                <c:pt idx="4">
                  <c:v>BTL IC</c:v>
                </c:pt>
                <c:pt idx="5">
                  <c:v>LNG IC</c:v>
                </c:pt>
                <c:pt idx="6">
                  <c:v>H2 IC</c:v>
                </c:pt>
                <c:pt idx="7">
                  <c:v>HFO FC</c:v>
                </c:pt>
                <c:pt idx="8">
                  <c:v>MGO FC</c:v>
                </c:pt>
                <c:pt idx="9">
                  <c:v>MeOH FC</c:v>
                </c:pt>
                <c:pt idx="10">
                  <c:v>BTL FC</c:v>
                </c:pt>
                <c:pt idx="11">
                  <c:v>LNG FC</c:v>
                </c:pt>
                <c:pt idx="12">
                  <c:v>H2 FC</c:v>
                </c:pt>
              </c:strCache>
            </c:strRef>
          </c:cat>
          <c:val>
            <c:numRef>
              <c:f>container!$B$94:$N$94</c:f>
              <c:numCache>
                <c:formatCode>0</c:formatCode>
                <c:ptCount val="13"/>
                <c:pt idx="0">
                  <c:v>1886453.8473513487</c:v>
                </c:pt>
                <c:pt idx="1">
                  <c:v>1886453.8473513487</c:v>
                </c:pt>
                <c:pt idx="2">
                  <c:v>1723318.017456359</c:v>
                </c:pt>
                <c:pt idx="3">
                  <c:v>3718693.7094972064</c:v>
                </c:pt>
                <c:pt idx="4">
                  <c:v>3718693.7094972064</c:v>
                </c:pt>
                <c:pt idx="5">
                  <c:v>1492572.3542435423</c:v>
                </c:pt>
                <c:pt idx="6">
                  <c:v>621000.00000000012</c:v>
                </c:pt>
                <c:pt idx="7">
                  <c:v>1684333.7922779901</c:v>
                </c:pt>
                <c:pt idx="8">
                  <c:v>1525060.1924392558</c:v>
                </c:pt>
                <c:pt idx="9">
                  <c:v>3508201.6127332132</c:v>
                </c:pt>
                <c:pt idx="10">
                  <c:v>3508201.6127332132</c:v>
                </c:pt>
                <c:pt idx="11">
                  <c:v>1382011.4391143906</c:v>
                </c:pt>
                <c:pt idx="12">
                  <c:v>614851.48514851485</c:v>
                </c:pt>
              </c:numCache>
            </c:numRef>
          </c:val>
          <c:extLst>
            <c:ext xmlns:c16="http://schemas.microsoft.com/office/drawing/2014/chart" uri="{C3380CC4-5D6E-409C-BE32-E72D297353CC}">
              <c16:uniqueId val="{00000001-E11D-4323-AED7-F2DABDF5BA04}"/>
            </c:ext>
          </c:extLst>
        </c:ser>
        <c:ser>
          <c:idx val="2"/>
          <c:order val="2"/>
          <c:tx>
            <c:strRef>
              <c:f>container!$A$95</c:f>
              <c:strCache>
                <c:ptCount val="1"/>
                <c:pt idx="0">
                  <c:v>Tank</c:v>
                </c:pt>
              </c:strCache>
            </c:strRef>
          </c:tx>
          <c:invertIfNegative val="0"/>
          <c:cat>
            <c:strRef>
              <c:f>container!$B$92:$N$92</c:f>
              <c:strCache>
                <c:ptCount val="13"/>
                <c:pt idx="0">
                  <c:v>Conventional HFO</c:v>
                </c:pt>
                <c:pt idx="1">
                  <c:v>HFO IC + Scrubber </c:v>
                </c:pt>
                <c:pt idx="2">
                  <c:v>MGO IC</c:v>
                </c:pt>
                <c:pt idx="3">
                  <c:v>MeOH IC</c:v>
                </c:pt>
                <c:pt idx="4">
                  <c:v>BTL IC</c:v>
                </c:pt>
                <c:pt idx="5">
                  <c:v>LNG IC</c:v>
                </c:pt>
                <c:pt idx="6">
                  <c:v>H2 IC</c:v>
                </c:pt>
                <c:pt idx="7">
                  <c:v>HFO FC</c:v>
                </c:pt>
                <c:pt idx="8">
                  <c:v>MGO FC</c:v>
                </c:pt>
                <c:pt idx="9">
                  <c:v>MeOH FC</c:v>
                </c:pt>
                <c:pt idx="10">
                  <c:v>BTL FC</c:v>
                </c:pt>
                <c:pt idx="11">
                  <c:v>LNG FC</c:v>
                </c:pt>
                <c:pt idx="12">
                  <c:v>H2 FC</c:v>
                </c:pt>
              </c:strCache>
            </c:strRef>
          </c:cat>
          <c:val>
            <c:numRef>
              <c:f>container!$B$95:$N$95</c:f>
              <c:numCache>
                <c:formatCode>0</c:formatCode>
                <c:ptCount val="13"/>
                <c:pt idx="0">
                  <c:v>305808.12115118117</c:v>
                </c:pt>
                <c:pt idx="1">
                  <c:v>305808.12115118117</c:v>
                </c:pt>
                <c:pt idx="2">
                  <c:v>317296.75810473814</c:v>
                </c:pt>
                <c:pt idx="3">
                  <c:v>756024.1340782122</c:v>
                </c:pt>
                <c:pt idx="4">
                  <c:v>756024.1340782122</c:v>
                </c:pt>
                <c:pt idx="5">
                  <c:v>976734.46494464937</c:v>
                </c:pt>
                <c:pt idx="6">
                  <c:v>2798873.2394366208</c:v>
                </c:pt>
                <c:pt idx="7">
                  <c:v>273042.96531355463</c:v>
                </c:pt>
                <c:pt idx="8">
                  <c:v>280793.59124313114</c:v>
                </c:pt>
                <c:pt idx="9">
                  <c:v>713230.31516812462</c:v>
                </c:pt>
                <c:pt idx="10">
                  <c:v>713230.31516812462</c:v>
                </c:pt>
                <c:pt idx="11">
                  <c:v>904383.76383763808</c:v>
                </c:pt>
                <c:pt idx="12">
                  <c:v>2771161.623204574</c:v>
                </c:pt>
              </c:numCache>
            </c:numRef>
          </c:val>
          <c:extLst>
            <c:ext xmlns:c16="http://schemas.microsoft.com/office/drawing/2014/chart" uri="{C3380CC4-5D6E-409C-BE32-E72D297353CC}">
              <c16:uniqueId val="{00000002-E11D-4323-AED7-F2DABDF5BA04}"/>
            </c:ext>
          </c:extLst>
        </c:ser>
        <c:dLbls>
          <c:showLegendKey val="0"/>
          <c:showVal val="0"/>
          <c:showCatName val="0"/>
          <c:showSerName val="0"/>
          <c:showPercent val="0"/>
          <c:showBubbleSize val="0"/>
        </c:dLbls>
        <c:gapWidth val="55"/>
        <c:overlap val="100"/>
        <c:axId val="335775624"/>
        <c:axId val="335776016"/>
      </c:barChart>
      <c:catAx>
        <c:axId val="335775624"/>
        <c:scaling>
          <c:orientation val="minMax"/>
        </c:scaling>
        <c:delete val="0"/>
        <c:axPos val="b"/>
        <c:numFmt formatCode="General" sourceLinked="0"/>
        <c:majorTickMark val="none"/>
        <c:minorTickMark val="none"/>
        <c:tickLblPos val="nextTo"/>
        <c:txPr>
          <a:bodyPr rot="-5400000" vert="horz"/>
          <a:lstStyle/>
          <a:p>
            <a:pPr>
              <a:defRPr sz="1000" b="0" i="0" u="none" strike="noStrike" baseline="0">
                <a:solidFill>
                  <a:srgbClr val="000000"/>
                </a:solidFill>
                <a:latin typeface="Calibri"/>
                <a:ea typeface="Calibri"/>
                <a:cs typeface="Calibri"/>
              </a:defRPr>
            </a:pPr>
            <a:endParaRPr lang="sv-SE"/>
          </a:p>
        </c:txPr>
        <c:crossAx val="335776016"/>
        <c:crosses val="autoZero"/>
        <c:auto val="1"/>
        <c:lblAlgn val="ctr"/>
        <c:lblOffset val="100"/>
        <c:noMultiLvlLbl val="0"/>
      </c:catAx>
      <c:valAx>
        <c:axId val="335776016"/>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GB"/>
                  <a:t>Weight (kg)</a:t>
                </a:r>
              </a:p>
            </c:rich>
          </c:tx>
          <c:overlay val="0"/>
        </c:title>
        <c:numFmt formatCode="0"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sv-SE"/>
          </a:p>
        </c:txPr>
        <c:crossAx val="335775624"/>
        <c:crosses val="autoZero"/>
        <c:crossBetween val="between"/>
      </c:valAx>
    </c:plotArea>
    <c:legend>
      <c:legendPos val="r"/>
      <c:overlay val="0"/>
      <c:txPr>
        <a:bodyPr/>
        <a:lstStyle/>
        <a:p>
          <a:pPr>
            <a:defRPr sz="920" b="0" i="0" u="none" strike="noStrike" baseline="0">
              <a:solidFill>
                <a:srgbClr val="000000"/>
              </a:solidFill>
              <a:latin typeface="Calibri"/>
              <a:ea typeface="Calibri"/>
              <a:cs typeface="Calibri"/>
            </a:defRPr>
          </a:pPr>
          <a:endParaRPr lang="sv-S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sv-S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GB"/>
              <a:t>Container vessel</a:t>
            </a:r>
          </a:p>
        </c:rich>
      </c:tx>
      <c:overlay val="0"/>
    </c:title>
    <c:autoTitleDeleted val="0"/>
    <c:plotArea>
      <c:layout/>
      <c:barChart>
        <c:barDir val="col"/>
        <c:grouping val="stacked"/>
        <c:varyColors val="0"/>
        <c:ser>
          <c:idx val="0"/>
          <c:order val="0"/>
          <c:tx>
            <c:strRef>
              <c:f>container!$A$99</c:f>
              <c:strCache>
                <c:ptCount val="1"/>
                <c:pt idx="0">
                  <c:v>Propulsion system</c:v>
                </c:pt>
              </c:strCache>
            </c:strRef>
          </c:tx>
          <c:invertIfNegative val="0"/>
          <c:cat>
            <c:strRef>
              <c:f>container!$B$98:$N$98</c:f>
              <c:strCache>
                <c:ptCount val="13"/>
                <c:pt idx="0">
                  <c:v>Conventional HFO</c:v>
                </c:pt>
                <c:pt idx="1">
                  <c:v>HFO IC + Scrubber </c:v>
                </c:pt>
                <c:pt idx="2">
                  <c:v>MGO IC</c:v>
                </c:pt>
                <c:pt idx="3">
                  <c:v>MeOH IC</c:v>
                </c:pt>
                <c:pt idx="4">
                  <c:v>BTL IC</c:v>
                </c:pt>
                <c:pt idx="5">
                  <c:v>LNG IC</c:v>
                </c:pt>
                <c:pt idx="6">
                  <c:v>H2 IC</c:v>
                </c:pt>
                <c:pt idx="7">
                  <c:v>HFO FC</c:v>
                </c:pt>
                <c:pt idx="8">
                  <c:v>MGO FC</c:v>
                </c:pt>
                <c:pt idx="9">
                  <c:v>MeOH FC</c:v>
                </c:pt>
                <c:pt idx="10">
                  <c:v>BTL FC</c:v>
                </c:pt>
                <c:pt idx="11">
                  <c:v>LNG FC</c:v>
                </c:pt>
                <c:pt idx="12">
                  <c:v>H2 FC</c:v>
                </c:pt>
              </c:strCache>
            </c:strRef>
          </c:cat>
          <c:val>
            <c:numRef>
              <c:f>container!$B$99:$N$99</c:f>
              <c:numCache>
                <c:formatCode>0</c:formatCode>
                <c:ptCount val="13"/>
                <c:pt idx="0">
                  <c:v>287.5</c:v>
                </c:pt>
                <c:pt idx="1">
                  <c:v>287.5</c:v>
                </c:pt>
                <c:pt idx="2">
                  <c:v>287.5</c:v>
                </c:pt>
                <c:pt idx="3">
                  <c:v>287.5</c:v>
                </c:pt>
                <c:pt idx="4">
                  <c:v>287.5</c:v>
                </c:pt>
                <c:pt idx="5">
                  <c:v>287.5</c:v>
                </c:pt>
                <c:pt idx="6">
                  <c:v>287.5</c:v>
                </c:pt>
                <c:pt idx="7">
                  <c:v>7666.666666666667</c:v>
                </c:pt>
                <c:pt idx="8">
                  <c:v>7666.666666666667</c:v>
                </c:pt>
                <c:pt idx="9">
                  <c:v>7666.666666666667</c:v>
                </c:pt>
                <c:pt idx="10">
                  <c:v>7666.666666666667</c:v>
                </c:pt>
                <c:pt idx="11">
                  <c:v>7666.666666666667</c:v>
                </c:pt>
                <c:pt idx="12">
                  <c:v>7666.666666666667</c:v>
                </c:pt>
              </c:numCache>
            </c:numRef>
          </c:val>
          <c:extLst>
            <c:ext xmlns:c16="http://schemas.microsoft.com/office/drawing/2014/chart" uri="{C3380CC4-5D6E-409C-BE32-E72D297353CC}">
              <c16:uniqueId val="{00000000-863D-4175-9CEB-92B702EBC9CB}"/>
            </c:ext>
          </c:extLst>
        </c:ser>
        <c:ser>
          <c:idx val="1"/>
          <c:order val="1"/>
          <c:tx>
            <c:strRef>
              <c:f>container!$A$100</c:f>
              <c:strCache>
                <c:ptCount val="1"/>
                <c:pt idx="0">
                  <c:v>Fuel</c:v>
                </c:pt>
              </c:strCache>
            </c:strRef>
          </c:tx>
          <c:invertIfNegative val="0"/>
          <c:cat>
            <c:strRef>
              <c:f>container!$B$98:$N$98</c:f>
              <c:strCache>
                <c:ptCount val="13"/>
                <c:pt idx="0">
                  <c:v>Conventional HFO</c:v>
                </c:pt>
                <c:pt idx="1">
                  <c:v>HFO IC + Scrubber </c:v>
                </c:pt>
                <c:pt idx="2">
                  <c:v>MGO IC</c:v>
                </c:pt>
                <c:pt idx="3">
                  <c:v>MeOH IC</c:v>
                </c:pt>
                <c:pt idx="4">
                  <c:v>BTL IC</c:v>
                </c:pt>
                <c:pt idx="5">
                  <c:v>LNG IC</c:v>
                </c:pt>
                <c:pt idx="6">
                  <c:v>H2 IC</c:v>
                </c:pt>
                <c:pt idx="7">
                  <c:v>HFO FC</c:v>
                </c:pt>
                <c:pt idx="8">
                  <c:v>MGO FC</c:v>
                </c:pt>
                <c:pt idx="9">
                  <c:v>MeOH FC</c:v>
                </c:pt>
                <c:pt idx="10">
                  <c:v>BTL FC</c:v>
                </c:pt>
                <c:pt idx="11">
                  <c:v>LNG FC</c:v>
                </c:pt>
                <c:pt idx="12">
                  <c:v>H2 FC</c:v>
                </c:pt>
              </c:strCache>
            </c:strRef>
          </c:cat>
          <c:val>
            <c:numRef>
              <c:f>container!$B$100:$N$100</c:f>
              <c:numCache>
                <c:formatCode>0</c:formatCode>
                <c:ptCount val="13"/>
                <c:pt idx="0">
                  <c:v>1911.3007571948822</c:v>
                </c:pt>
                <c:pt idx="1">
                  <c:v>1911.3007571948822</c:v>
                </c:pt>
                <c:pt idx="2">
                  <c:v>1983.1047381546134</c:v>
                </c:pt>
                <c:pt idx="3">
                  <c:v>4725.1508379888264</c:v>
                </c:pt>
                <c:pt idx="4">
                  <c:v>4725.1508379888264</c:v>
                </c:pt>
                <c:pt idx="5">
                  <c:v>3052.2952029520293</c:v>
                </c:pt>
                <c:pt idx="6">
                  <c:v>8746.4788732394391</c:v>
                </c:pt>
                <c:pt idx="7">
                  <c:v>1706.5185332097165</c:v>
                </c:pt>
                <c:pt idx="8">
                  <c:v>1754.9599452695695</c:v>
                </c:pt>
                <c:pt idx="9">
                  <c:v>4457.6894698007791</c:v>
                </c:pt>
                <c:pt idx="10">
                  <c:v>4457.6894698007791</c:v>
                </c:pt>
                <c:pt idx="11">
                  <c:v>2826.1992619926191</c:v>
                </c:pt>
                <c:pt idx="12">
                  <c:v>8659.8800725142937</c:v>
                </c:pt>
              </c:numCache>
            </c:numRef>
          </c:val>
          <c:extLst>
            <c:ext xmlns:c16="http://schemas.microsoft.com/office/drawing/2014/chart" uri="{C3380CC4-5D6E-409C-BE32-E72D297353CC}">
              <c16:uniqueId val="{00000001-863D-4175-9CEB-92B702EBC9CB}"/>
            </c:ext>
          </c:extLst>
        </c:ser>
        <c:ser>
          <c:idx val="2"/>
          <c:order val="2"/>
          <c:tx>
            <c:strRef>
              <c:f>container!$A$101</c:f>
              <c:strCache>
                <c:ptCount val="1"/>
                <c:pt idx="0">
                  <c:v>Tank</c:v>
                </c:pt>
              </c:strCache>
            </c:strRef>
          </c:tx>
          <c:invertIfNegative val="0"/>
          <c:cat>
            <c:strRef>
              <c:f>container!$B$98:$N$98</c:f>
              <c:strCache>
                <c:ptCount val="13"/>
                <c:pt idx="0">
                  <c:v>Conventional HFO</c:v>
                </c:pt>
                <c:pt idx="1">
                  <c:v>HFO IC + Scrubber </c:v>
                </c:pt>
                <c:pt idx="2">
                  <c:v>MGO IC</c:v>
                </c:pt>
                <c:pt idx="3">
                  <c:v>MeOH IC</c:v>
                </c:pt>
                <c:pt idx="4">
                  <c:v>BTL IC</c:v>
                </c:pt>
                <c:pt idx="5">
                  <c:v>LNG IC</c:v>
                </c:pt>
                <c:pt idx="6">
                  <c:v>H2 IC</c:v>
                </c:pt>
                <c:pt idx="7">
                  <c:v>HFO FC</c:v>
                </c:pt>
                <c:pt idx="8">
                  <c:v>MGO FC</c:v>
                </c:pt>
                <c:pt idx="9">
                  <c:v>MeOH FC</c:v>
                </c:pt>
                <c:pt idx="10">
                  <c:v>BTL FC</c:v>
                </c:pt>
                <c:pt idx="11">
                  <c:v>LNG FC</c:v>
                </c:pt>
                <c:pt idx="12">
                  <c:v>H2 FC</c:v>
                </c:pt>
              </c:strCache>
            </c:strRef>
          </c:cat>
          <c:val>
            <c:numRef>
              <c:f>container!$B$101:$N$101</c:f>
              <c:numCache>
                <c:formatCode>0</c:formatCode>
                <c:ptCount val="13"/>
                <c:pt idx="0">
                  <c:v>38.226015143897648</c:v>
                </c:pt>
                <c:pt idx="1">
                  <c:v>38.226015143897648</c:v>
                </c:pt>
                <c:pt idx="2">
                  <c:v>39.66209476309227</c:v>
                </c:pt>
                <c:pt idx="3">
                  <c:v>94.503016759776528</c:v>
                </c:pt>
                <c:pt idx="4">
                  <c:v>94.503016759776528</c:v>
                </c:pt>
                <c:pt idx="5">
                  <c:v>122.09180811808118</c:v>
                </c:pt>
                <c:pt idx="6">
                  <c:v>349.85915492957758</c:v>
                </c:pt>
                <c:pt idx="7">
                  <c:v>34.130370664194331</c:v>
                </c:pt>
                <c:pt idx="8">
                  <c:v>35.09919890539139</c:v>
                </c:pt>
                <c:pt idx="9">
                  <c:v>89.153789396015583</c:v>
                </c:pt>
                <c:pt idx="10">
                  <c:v>89.153789396015583</c:v>
                </c:pt>
                <c:pt idx="11">
                  <c:v>113.04797047970476</c:v>
                </c:pt>
                <c:pt idx="12">
                  <c:v>346.39520290057175</c:v>
                </c:pt>
              </c:numCache>
            </c:numRef>
          </c:val>
          <c:extLst>
            <c:ext xmlns:c16="http://schemas.microsoft.com/office/drawing/2014/chart" uri="{C3380CC4-5D6E-409C-BE32-E72D297353CC}">
              <c16:uniqueId val="{00000002-863D-4175-9CEB-92B702EBC9CB}"/>
            </c:ext>
          </c:extLst>
        </c:ser>
        <c:dLbls>
          <c:showLegendKey val="0"/>
          <c:showVal val="0"/>
          <c:showCatName val="0"/>
          <c:showSerName val="0"/>
          <c:showPercent val="0"/>
          <c:showBubbleSize val="0"/>
        </c:dLbls>
        <c:gapWidth val="55"/>
        <c:overlap val="100"/>
        <c:axId val="335776800"/>
        <c:axId val="335777192"/>
      </c:barChart>
      <c:catAx>
        <c:axId val="335776800"/>
        <c:scaling>
          <c:orientation val="minMax"/>
        </c:scaling>
        <c:delete val="0"/>
        <c:axPos val="b"/>
        <c:numFmt formatCode="General" sourceLinked="0"/>
        <c:majorTickMark val="none"/>
        <c:minorTickMark val="none"/>
        <c:tickLblPos val="nextTo"/>
        <c:txPr>
          <a:bodyPr rot="-5400000" vert="horz"/>
          <a:lstStyle/>
          <a:p>
            <a:pPr>
              <a:defRPr sz="1000" b="0" i="0" u="none" strike="noStrike" baseline="0">
                <a:solidFill>
                  <a:srgbClr val="000000"/>
                </a:solidFill>
                <a:latin typeface="Calibri"/>
                <a:ea typeface="Calibri"/>
                <a:cs typeface="Calibri"/>
              </a:defRPr>
            </a:pPr>
            <a:endParaRPr lang="sv-SE"/>
          </a:p>
        </c:txPr>
        <c:crossAx val="335777192"/>
        <c:crosses val="autoZero"/>
        <c:auto val="1"/>
        <c:lblAlgn val="ctr"/>
        <c:lblOffset val="100"/>
        <c:noMultiLvlLbl val="0"/>
      </c:catAx>
      <c:valAx>
        <c:axId val="33577719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GB"/>
                  <a:t>Volume (m3)</a:t>
                </a:r>
              </a:p>
            </c:rich>
          </c:tx>
          <c:overlay val="0"/>
        </c:title>
        <c:numFmt formatCode="0"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sv-SE"/>
          </a:p>
        </c:txPr>
        <c:crossAx val="335776800"/>
        <c:crosses val="autoZero"/>
        <c:crossBetween val="between"/>
      </c:valAx>
    </c:plotArea>
    <c:legend>
      <c:legendPos val="r"/>
      <c:overlay val="0"/>
      <c:txPr>
        <a:bodyPr/>
        <a:lstStyle/>
        <a:p>
          <a:pPr>
            <a:defRPr sz="920" b="0" i="0" u="none" strike="noStrike" baseline="0">
              <a:solidFill>
                <a:srgbClr val="000000"/>
              </a:solidFill>
              <a:latin typeface="Calibri"/>
              <a:ea typeface="Calibri"/>
              <a:cs typeface="Calibri"/>
            </a:defRPr>
          </a:pPr>
          <a:endParaRPr lang="sv-S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sv-S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GB"/>
              <a:t>Deep sea</a:t>
            </a:r>
          </a:p>
        </c:rich>
      </c:tx>
      <c:overlay val="0"/>
    </c:title>
    <c:autoTitleDeleted val="0"/>
    <c:plotArea>
      <c:layout/>
      <c:barChart>
        <c:barDir val="col"/>
        <c:grouping val="stacked"/>
        <c:varyColors val="0"/>
        <c:ser>
          <c:idx val="0"/>
          <c:order val="0"/>
          <c:tx>
            <c:strRef>
              <c:f>ocean!$A$93</c:f>
              <c:strCache>
                <c:ptCount val="1"/>
                <c:pt idx="0">
                  <c:v>Propulsion system</c:v>
                </c:pt>
              </c:strCache>
            </c:strRef>
          </c:tx>
          <c:invertIfNegative val="0"/>
          <c:cat>
            <c:strRef>
              <c:f>ocean!$B$92:$N$92</c:f>
              <c:strCache>
                <c:ptCount val="13"/>
                <c:pt idx="0">
                  <c:v>Conventional HFO</c:v>
                </c:pt>
                <c:pt idx="1">
                  <c:v>HFO IC + Scrubber </c:v>
                </c:pt>
                <c:pt idx="2">
                  <c:v>MGO IC</c:v>
                </c:pt>
                <c:pt idx="3">
                  <c:v>MeOH IC</c:v>
                </c:pt>
                <c:pt idx="4">
                  <c:v>BTL IC</c:v>
                </c:pt>
                <c:pt idx="5">
                  <c:v>LNG IC</c:v>
                </c:pt>
                <c:pt idx="6">
                  <c:v>H2 IC</c:v>
                </c:pt>
                <c:pt idx="7">
                  <c:v>HFO FC</c:v>
                </c:pt>
                <c:pt idx="8">
                  <c:v>MGO FC</c:v>
                </c:pt>
                <c:pt idx="9">
                  <c:v>MeOH FC</c:v>
                </c:pt>
                <c:pt idx="10">
                  <c:v>BTL FC</c:v>
                </c:pt>
                <c:pt idx="11">
                  <c:v>LNG FC</c:v>
                </c:pt>
                <c:pt idx="12">
                  <c:v>H2 FC</c:v>
                </c:pt>
              </c:strCache>
            </c:strRef>
          </c:cat>
          <c:val>
            <c:numRef>
              <c:f>ocean!$B$93:$N$93</c:f>
              <c:numCache>
                <c:formatCode>0</c:formatCode>
                <c:ptCount val="13"/>
                <c:pt idx="0">
                  <c:v>122222.22222222223</c:v>
                </c:pt>
                <c:pt idx="1">
                  <c:v>122222.22222222223</c:v>
                </c:pt>
                <c:pt idx="2">
                  <c:v>122222.22222222223</c:v>
                </c:pt>
                <c:pt idx="3">
                  <c:v>122222.22222222223</c:v>
                </c:pt>
                <c:pt idx="4">
                  <c:v>122222.22222222223</c:v>
                </c:pt>
                <c:pt idx="5">
                  <c:v>122222.22222222223</c:v>
                </c:pt>
                <c:pt idx="6">
                  <c:v>122222.22222222223</c:v>
                </c:pt>
                <c:pt idx="7">
                  <c:v>733333.33333333337</c:v>
                </c:pt>
                <c:pt idx="8">
                  <c:v>733333.33333333337</c:v>
                </c:pt>
                <c:pt idx="9">
                  <c:v>733333.33333333337</c:v>
                </c:pt>
                <c:pt idx="10">
                  <c:v>733333.33333333337</c:v>
                </c:pt>
                <c:pt idx="11">
                  <c:v>733333.33333333337</c:v>
                </c:pt>
                <c:pt idx="12">
                  <c:v>733333.33333333337</c:v>
                </c:pt>
              </c:numCache>
            </c:numRef>
          </c:val>
          <c:extLst>
            <c:ext xmlns:c16="http://schemas.microsoft.com/office/drawing/2014/chart" uri="{C3380CC4-5D6E-409C-BE32-E72D297353CC}">
              <c16:uniqueId val="{00000000-ECEF-4DCD-A128-F76F8F31D85E}"/>
            </c:ext>
          </c:extLst>
        </c:ser>
        <c:ser>
          <c:idx val="1"/>
          <c:order val="1"/>
          <c:tx>
            <c:strRef>
              <c:f>ocean!$A$94</c:f>
              <c:strCache>
                <c:ptCount val="1"/>
                <c:pt idx="0">
                  <c:v>Fuel</c:v>
                </c:pt>
              </c:strCache>
            </c:strRef>
          </c:tx>
          <c:invertIfNegative val="0"/>
          <c:cat>
            <c:strRef>
              <c:f>ocean!$B$92:$N$92</c:f>
              <c:strCache>
                <c:ptCount val="13"/>
                <c:pt idx="0">
                  <c:v>Conventional HFO</c:v>
                </c:pt>
                <c:pt idx="1">
                  <c:v>HFO IC + Scrubber </c:v>
                </c:pt>
                <c:pt idx="2">
                  <c:v>MGO IC</c:v>
                </c:pt>
                <c:pt idx="3">
                  <c:v>MeOH IC</c:v>
                </c:pt>
                <c:pt idx="4">
                  <c:v>BTL IC</c:v>
                </c:pt>
                <c:pt idx="5">
                  <c:v>LNG IC</c:v>
                </c:pt>
                <c:pt idx="6">
                  <c:v>H2 IC</c:v>
                </c:pt>
                <c:pt idx="7">
                  <c:v>HFO FC</c:v>
                </c:pt>
                <c:pt idx="8">
                  <c:v>MGO FC</c:v>
                </c:pt>
                <c:pt idx="9">
                  <c:v>MeOH FC</c:v>
                </c:pt>
                <c:pt idx="10">
                  <c:v>BTL FC</c:v>
                </c:pt>
                <c:pt idx="11">
                  <c:v>LNG FC</c:v>
                </c:pt>
                <c:pt idx="12">
                  <c:v>H2 FC</c:v>
                </c:pt>
              </c:strCache>
            </c:strRef>
          </c:cat>
          <c:val>
            <c:numRef>
              <c:f>ocean!$B$94:$N$94</c:f>
              <c:numCache>
                <c:formatCode>0</c:formatCode>
                <c:ptCount val="13"/>
                <c:pt idx="0">
                  <c:v>1804434.1148578119</c:v>
                </c:pt>
                <c:pt idx="1">
                  <c:v>1804434.1148578119</c:v>
                </c:pt>
                <c:pt idx="2">
                  <c:v>1648391.1471321697</c:v>
                </c:pt>
                <c:pt idx="3">
                  <c:v>3557011.3743016757</c:v>
                </c:pt>
                <c:pt idx="4">
                  <c:v>3557011.3743016757</c:v>
                </c:pt>
                <c:pt idx="5">
                  <c:v>1427677.9040590401</c:v>
                </c:pt>
                <c:pt idx="6">
                  <c:v>594000</c:v>
                </c:pt>
                <c:pt idx="7">
                  <c:v>1611101.8882659033</c:v>
                </c:pt>
                <c:pt idx="8">
                  <c:v>1458753.2275505925</c:v>
                </c:pt>
                <c:pt idx="9">
                  <c:v>3161787.8882681569</c:v>
                </c:pt>
                <c:pt idx="10">
                  <c:v>3161787.8882681569</c:v>
                </c:pt>
                <c:pt idx="11">
                  <c:v>1269047.0258302584</c:v>
                </c:pt>
                <c:pt idx="12">
                  <c:v>528000.00000000012</c:v>
                </c:pt>
              </c:numCache>
            </c:numRef>
          </c:val>
          <c:extLst>
            <c:ext xmlns:c16="http://schemas.microsoft.com/office/drawing/2014/chart" uri="{C3380CC4-5D6E-409C-BE32-E72D297353CC}">
              <c16:uniqueId val="{00000001-ECEF-4DCD-A128-F76F8F31D85E}"/>
            </c:ext>
          </c:extLst>
        </c:ser>
        <c:ser>
          <c:idx val="2"/>
          <c:order val="2"/>
          <c:tx>
            <c:strRef>
              <c:f>ocean!$A$95</c:f>
              <c:strCache>
                <c:ptCount val="1"/>
                <c:pt idx="0">
                  <c:v>Tank</c:v>
                </c:pt>
              </c:strCache>
            </c:strRef>
          </c:tx>
          <c:invertIfNegative val="0"/>
          <c:cat>
            <c:strRef>
              <c:f>ocean!$B$92:$N$92</c:f>
              <c:strCache>
                <c:ptCount val="13"/>
                <c:pt idx="0">
                  <c:v>Conventional HFO</c:v>
                </c:pt>
                <c:pt idx="1">
                  <c:v>HFO IC + Scrubber </c:v>
                </c:pt>
                <c:pt idx="2">
                  <c:v>MGO IC</c:v>
                </c:pt>
                <c:pt idx="3">
                  <c:v>MeOH IC</c:v>
                </c:pt>
                <c:pt idx="4">
                  <c:v>BTL IC</c:v>
                </c:pt>
                <c:pt idx="5">
                  <c:v>LNG IC</c:v>
                </c:pt>
                <c:pt idx="6">
                  <c:v>H2 IC</c:v>
                </c:pt>
                <c:pt idx="7">
                  <c:v>HFO FC</c:v>
                </c:pt>
                <c:pt idx="8">
                  <c:v>MGO FC</c:v>
                </c:pt>
                <c:pt idx="9">
                  <c:v>MeOH FC</c:v>
                </c:pt>
                <c:pt idx="10">
                  <c:v>BTL FC</c:v>
                </c:pt>
                <c:pt idx="11">
                  <c:v>LNG FC</c:v>
                </c:pt>
                <c:pt idx="12">
                  <c:v>H2 FC</c:v>
                </c:pt>
              </c:strCache>
            </c:strRef>
          </c:cat>
          <c:val>
            <c:numRef>
              <c:f>ocean!$B$95:$N$95</c:f>
              <c:numCache>
                <c:formatCode>0</c:formatCode>
                <c:ptCount val="13"/>
                <c:pt idx="0">
                  <c:v>292512.11588373856</c:v>
                </c:pt>
                <c:pt idx="1">
                  <c:v>292512.11588373856</c:v>
                </c:pt>
                <c:pt idx="2">
                  <c:v>303501.24688279303</c:v>
                </c:pt>
                <c:pt idx="3">
                  <c:v>723153.51955307252</c:v>
                </c:pt>
                <c:pt idx="4">
                  <c:v>723153.51955307252</c:v>
                </c:pt>
                <c:pt idx="5">
                  <c:v>934267.74907749065</c:v>
                </c:pt>
                <c:pt idx="6">
                  <c:v>2677183.0985915498</c:v>
                </c:pt>
                <c:pt idx="7">
                  <c:v>261171.53203905222</c:v>
                </c:pt>
                <c:pt idx="8">
                  <c:v>268585.17423256021</c:v>
                </c:pt>
                <c:pt idx="9">
                  <c:v>642803.12849162018</c:v>
                </c:pt>
                <c:pt idx="10">
                  <c:v>642803.12849162018</c:v>
                </c:pt>
                <c:pt idx="11">
                  <c:v>830460.22140221403</c:v>
                </c:pt>
                <c:pt idx="12">
                  <c:v>2379718.3098591552</c:v>
                </c:pt>
              </c:numCache>
            </c:numRef>
          </c:val>
          <c:extLst>
            <c:ext xmlns:c16="http://schemas.microsoft.com/office/drawing/2014/chart" uri="{C3380CC4-5D6E-409C-BE32-E72D297353CC}">
              <c16:uniqueId val="{00000002-ECEF-4DCD-A128-F76F8F31D85E}"/>
            </c:ext>
          </c:extLst>
        </c:ser>
        <c:dLbls>
          <c:showLegendKey val="0"/>
          <c:showVal val="0"/>
          <c:showCatName val="0"/>
          <c:showSerName val="0"/>
          <c:showPercent val="0"/>
          <c:showBubbleSize val="0"/>
        </c:dLbls>
        <c:gapWidth val="55"/>
        <c:overlap val="100"/>
        <c:axId val="335777976"/>
        <c:axId val="335778368"/>
      </c:barChart>
      <c:catAx>
        <c:axId val="335777976"/>
        <c:scaling>
          <c:orientation val="minMax"/>
        </c:scaling>
        <c:delete val="0"/>
        <c:axPos val="b"/>
        <c:numFmt formatCode="General" sourceLinked="0"/>
        <c:majorTickMark val="none"/>
        <c:minorTickMark val="none"/>
        <c:tickLblPos val="nextTo"/>
        <c:txPr>
          <a:bodyPr rot="-5400000" vert="horz"/>
          <a:lstStyle/>
          <a:p>
            <a:pPr>
              <a:defRPr sz="1000" b="0" i="0" u="none" strike="noStrike" baseline="0">
                <a:solidFill>
                  <a:srgbClr val="000000"/>
                </a:solidFill>
                <a:latin typeface="Calibri"/>
                <a:ea typeface="Calibri"/>
                <a:cs typeface="Calibri"/>
              </a:defRPr>
            </a:pPr>
            <a:endParaRPr lang="sv-SE"/>
          </a:p>
        </c:txPr>
        <c:crossAx val="335778368"/>
        <c:crosses val="autoZero"/>
        <c:auto val="1"/>
        <c:lblAlgn val="ctr"/>
        <c:lblOffset val="100"/>
        <c:noMultiLvlLbl val="0"/>
      </c:catAx>
      <c:valAx>
        <c:axId val="335778368"/>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GB"/>
                  <a:t>Weight (kg)</a:t>
                </a:r>
              </a:p>
            </c:rich>
          </c:tx>
          <c:overlay val="0"/>
        </c:title>
        <c:numFmt formatCode="0"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sv-SE"/>
          </a:p>
        </c:txPr>
        <c:crossAx val="335777976"/>
        <c:crosses val="autoZero"/>
        <c:crossBetween val="between"/>
      </c:valAx>
    </c:plotArea>
    <c:legend>
      <c:legendPos val="r"/>
      <c:overlay val="0"/>
      <c:txPr>
        <a:bodyPr/>
        <a:lstStyle/>
        <a:p>
          <a:pPr>
            <a:defRPr sz="920" b="0" i="0" u="none" strike="noStrike" baseline="0">
              <a:solidFill>
                <a:srgbClr val="000000"/>
              </a:solidFill>
              <a:latin typeface="Calibri"/>
              <a:ea typeface="Calibri"/>
              <a:cs typeface="Calibri"/>
            </a:defRPr>
          </a:pPr>
          <a:endParaRPr lang="sv-S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sv-S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GB"/>
              <a:t>Deep sea</a:t>
            </a:r>
          </a:p>
        </c:rich>
      </c:tx>
      <c:overlay val="0"/>
    </c:title>
    <c:autoTitleDeleted val="0"/>
    <c:plotArea>
      <c:layout/>
      <c:barChart>
        <c:barDir val="col"/>
        <c:grouping val="stacked"/>
        <c:varyColors val="0"/>
        <c:ser>
          <c:idx val="0"/>
          <c:order val="0"/>
          <c:tx>
            <c:strRef>
              <c:f>ocean!$A$99</c:f>
              <c:strCache>
                <c:ptCount val="1"/>
                <c:pt idx="0">
                  <c:v>Propulsion system</c:v>
                </c:pt>
              </c:strCache>
            </c:strRef>
          </c:tx>
          <c:invertIfNegative val="0"/>
          <c:cat>
            <c:strRef>
              <c:f>ocean!$B$98:$N$98</c:f>
              <c:strCache>
                <c:ptCount val="13"/>
                <c:pt idx="0">
                  <c:v>Conventional HFO</c:v>
                </c:pt>
                <c:pt idx="1">
                  <c:v>HFO IC + Scrubber </c:v>
                </c:pt>
                <c:pt idx="2">
                  <c:v>MGO IC</c:v>
                </c:pt>
                <c:pt idx="3">
                  <c:v>MeOH IC</c:v>
                </c:pt>
                <c:pt idx="4">
                  <c:v>BTL IC</c:v>
                </c:pt>
                <c:pt idx="5">
                  <c:v>LNG IC</c:v>
                </c:pt>
                <c:pt idx="6">
                  <c:v>H2 IC</c:v>
                </c:pt>
                <c:pt idx="7">
                  <c:v>HFO FC</c:v>
                </c:pt>
                <c:pt idx="8">
                  <c:v>MGO FC</c:v>
                </c:pt>
                <c:pt idx="9">
                  <c:v>MeOH FC</c:v>
                </c:pt>
                <c:pt idx="10">
                  <c:v>BTL FC</c:v>
                </c:pt>
                <c:pt idx="11">
                  <c:v>LNG FC</c:v>
                </c:pt>
                <c:pt idx="12">
                  <c:v>H2 FC</c:v>
                </c:pt>
              </c:strCache>
            </c:strRef>
          </c:cat>
          <c:val>
            <c:numRef>
              <c:f>ocean!$B$99:$N$99</c:f>
              <c:numCache>
                <c:formatCode>0</c:formatCode>
                <c:ptCount val="13"/>
                <c:pt idx="0">
                  <c:v>137.5</c:v>
                </c:pt>
                <c:pt idx="1">
                  <c:v>137.5</c:v>
                </c:pt>
                <c:pt idx="2">
                  <c:v>137.5</c:v>
                </c:pt>
                <c:pt idx="3">
                  <c:v>137.5</c:v>
                </c:pt>
                <c:pt idx="4">
                  <c:v>137.5</c:v>
                </c:pt>
                <c:pt idx="5">
                  <c:v>137.5</c:v>
                </c:pt>
                <c:pt idx="6">
                  <c:v>137.5</c:v>
                </c:pt>
                <c:pt idx="7">
                  <c:v>3666.6666666666665</c:v>
                </c:pt>
                <c:pt idx="8">
                  <c:v>3666.6666666666665</c:v>
                </c:pt>
                <c:pt idx="9">
                  <c:v>3666.6666666666665</c:v>
                </c:pt>
                <c:pt idx="10">
                  <c:v>3666.6666666666665</c:v>
                </c:pt>
                <c:pt idx="11">
                  <c:v>3666.6666666666665</c:v>
                </c:pt>
                <c:pt idx="12">
                  <c:v>3666.6666666666665</c:v>
                </c:pt>
              </c:numCache>
            </c:numRef>
          </c:val>
          <c:extLst>
            <c:ext xmlns:c16="http://schemas.microsoft.com/office/drawing/2014/chart" uri="{C3380CC4-5D6E-409C-BE32-E72D297353CC}">
              <c16:uniqueId val="{00000000-7078-49BC-82D8-8BD16666AF57}"/>
            </c:ext>
          </c:extLst>
        </c:ser>
        <c:ser>
          <c:idx val="1"/>
          <c:order val="1"/>
          <c:tx>
            <c:strRef>
              <c:f>ocean!$A$100</c:f>
              <c:strCache>
                <c:ptCount val="1"/>
                <c:pt idx="0">
                  <c:v>Fuel</c:v>
                </c:pt>
              </c:strCache>
            </c:strRef>
          </c:tx>
          <c:invertIfNegative val="0"/>
          <c:cat>
            <c:strRef>
              <c:f>ocean!$B$98:$N$98</c:f>
              <c:strCache>
                <c:ptCount val="13"/>
                <c:pt idx="0">
                  <c:v>Conventional HFO</c:v>
                </c:pt>
                <c:pt idx="1">
                  <c:v>HFO IC + Scrubber </c:v>
                </c:pt>
                <c:pt idx="2">
                  <c:v>MGO IC</c:v>
                </c:pt>
                <c:pt idx="3">
                  <c:v>MeOH IC</c:v>
                </c:pt>
                <c:pt idx="4">
                  <c:v>BTL IC</c:v>
                </c:pt>
                <c:pt idx="5">
                  <c:v>LNG IC</c:v>
                </c:pt>
                <c:pt idx="6">
                  <c:v>H2 IC</c:v>
                </c:pt>
                <c:pt idx="7">
                  <c:v>HFO FC</c:v>
                </c:pt>
                <c:pt idx="8">
                  <c:v>MGO FC</c:v>
                </c:pt>
                <c:pt idx="9">
                  <c:v>MeOH FC</c:v>
                </c:pt>
                <c:pt idx="10">
                  <c:v>BTL FC</c:v>
                </c:pt>
                <c:pt idx="11">
                  <c:v>LNG FC</c:v>
                </c:pt>
                <c:pt idx="12">
                  <c:v>H2 FC</c:v>
                </c:pt>
              </c:strCache>
            </c:strRef>
          </c:cat>
          <c:val>
            <c:numRef>
              <c:f>ocean!$B$100:$N$100</c:f>
              <c:numCache>
                <c:formatCode>0</c:formatCode>
                <c:ptCount val="13"/>
                <c:pt idx="0">
                  <c:v>1828.2007242733657</c:v>
                </c:pt>
                <c:pt idx="1">
                  <c:v>1828.2007242733657</c:v>
                </c:pt>
                <c:pt idx="2">
                  <c:v>1896.8827930174564</c:v>
                </c:pt>
                <c:pt idx="3">
                  <c:v>4519.7094972067034</c:v>
                </c:pt>
                <c:pt idx="4">
                  <c:v>4519.7094972067034</c:v>
                </c:pt>
                <c:pt idx="5">
                  <c:v>2919.5867158671581</c:v>
                </c:pt>
                <c:pt idx="6">
                  <c:v>8366.1971830985931</c:v>
                </c:pt>
                <c:pt idx="7">
                  <c:v>1632.3220752440764</c:v>
                </c:pt>
                <c:pt idx="8">
                  <c:v>1678.6573389535013</c:v>
                </c:pt>
                <c:pt idx="9">
                  <c:v>4017.5195530726264</c:v>
                </c:pt>
                <c:pt idx="10">
                  <c:v>4017.5195530726264</c:v>
                </c:pt>
                <c:pt idx="11">
                  <c:v>2595.188191881919</c:v>
                </c:pt>
                <c:pt idx="12">
                  <c:v>7436.6197183098611</c:v>
                </c:pt>
              </c:numCache>
            </c:numRef>
          </c:val>
          <c:extLst>
            <c:ext xmlns:c16="http://schemas.microsoft.com/office/drawing/2014/chart" uri="{C3380CC4-5D6E-409C-BE32-E72D297353CC}">
              <c16:uniqueId val="{00000001-7078-49BC-82D8-8BD16666AF57}"/>
            </c:ext>
          </c:extLst>
        </c:ser>
        <c:ser>
          <c:idx val="2"/>
          <c:order val="2"/>
          <c:tx>
            <c:strRef>
              <c:f>ocean!$A$101</c:f>
              <c:strCache>
                <c:ptCount val="1"/>
                <c:pt idx="0">
                  <c:v>Tank</c:v>
                </c:pt>
              </c:strCache>
            </c:strRef>
          </c:tx>
          <c:invertIfNegative val="0"/>
          <c:cat>
            <c:strRef>
              <c:f>ocean!$B$98:$N$98</c:f>
              <c:strCache>
                <c:ptCount val="13"/>
                <c:pt idx="0">
                  <c:v>Conventional HFO</c:v>
                </c:pt>
                <c:pt idx="1">
                  <c:v>HFO IC + Scrubber </c:v>
                </c:pt>
                <c:pt idx="2">
                  <c:v>MGO IC</c:v>
                </c:pt>
                <c:pt idx="3">
                  <c:v>MeOH IC</c:v>
                </c:pt>
                <c:pt idx="4">
                  <c:v>BTL IC</c:v>
                </c:pt>
                <c:pt idx="5">
                  <c:v>LNG IC</c:v>
                </c:pt>
                <c:pt idx="6">
                  <c:v>H2 IC</c:v>
                </c:pt>
                <c:pt idx="7">
                  <c:v>HFO FC</c:v>
                </c:pt>
                <c:pt idx="8">
                  <c:v>MGO FC</c:v>
                </c:pt>
                <c:pt idx="9">
                  <c:v>MeOH FC</c:v>
                </c:pt>
                <c:pt idx="10">
                  <c:v>BTL FC</c:v>
                </c:pt>
                <c:pt idx="11">
                  <c:v>LNG FC</c:v>
                </c:pt>
                <c:pt idx="12">
                  <c:v>H2 FC</c:v>
                </c:pt>
              </c:strCache>
            </c:strRef>
          </c:cat>
          <c:val>
            <c:numRef>
              <c:f>ocean!$B$101:$N$101</c:f>
              <c:numCache>
                <c:formatCode>0</c:formatCode>
                <c:ptCount val="13"/>
                <c:pt idx="0">
                  <c:v>36.564014485467318</c:v>
                </c:pt>
                <c:pt idx="1">
                  <c:v>36.564014485467318</c:v>
                </c:pt>
                <c:pt idx="2">
                  <c:v>37.937655860349132</c:v>
                </c:pt>
                <c:pt idx="3">
                  <c:v>90.394189944134069</c:v>
                </c:pt>
                <c:pt idx="4">
                  <c:v>90.394189944134069</c:v>
                </c:pt>
                <c:pt idx="5">
                  <c:v>116.78346863468633</c:v>
                </c:pt>
                <c:pt idx="6">
                  <c:v>334.64788732394373</c:v>
                </c:pt>
                <c:pt idx="7">
                  <c:v>32.64644150488153</c:v>
                </c:pt>
                <c:pt idx="8">
                  <c:v>33.573146779070029</c:v>
                </c:pt>
                <c:pt idx="9">
                  <c:v>80.350391061452527</c:v>
                </c:pt>
                <c:pt idx="10">
                  <c:v>80.350391061452527</c:v>
                </c:pt>
                <c:pt idx="11">
                  <c:v>103.80752767527676</c:v>
                </c:pt>
                <c:pt idx="12">
                  <c:v>297.46478873239442</c:v>
                </c:pt>
              </c:numCache>
            </c:numRef>
          </c:val>
          <c:extLst>
            <c:ext xmlns:c16="http://schemas.microsoft.com/office/drawing/2014/chart" uri="{C3380CC4-5D6E-409C-BE32-E72D297353CC}">
              <c16:uniqueId val="{00000002-7078-49BC-82D8-8BD16666AF57}"/>
            </c:ext>
          </c:extLst>
        </c:ser>
        <c:dLbls>
          <c:showLegendKey val="0"/>
          <c:showVal val="0"/>
          <c:showCatName val="0"/>
          <c:showSerName val="0"/>
          <c:showPercent val="0"/>
          <c:showBubbleSize val="0"/>
        </c:dLbls>
        <c:gapWidth val="55"/>
        <c:overlap val="100"/>
        <c:axId val="335780720"/>
        <c:axId val="335781112"/>
      </c:barChart>
      <c:catAx>
        <c:axId val="335780720"/>
        <c:scaling>
          <c:orientation val="minMax"/>
        </c:scaling>
        <c:delete val="0"/>
        <c:axPos val="b"/>
        <c:numFmt formatCode="General" sourceLinked="0"/>
        <c:majorTickMark val="none"/>
        <c:minorTickMark val="none"/>
        <c:tickLblPos val="nextTo"/>
        <c:txPr>
          <a:bodyPr rot="-5400000" vert="horz"/>
          <a:lstStyle/>
          <a:p>
            <a:pPr>
              <a:defRPr sz="1000" b="0" i="0" u="none" strike="noStrike" baseline="0">
                <a:solidFill>
                  <a:srgbClr val="000000"/>
                </a:solidFill>
                <a:latin typeface="Calibri"/>
                <a:ea typeface="Calibri"/>
                <a:cs typeface="Calibri"/>
              </a:defRPr>
            </a:pPr>
            <a:endParaRPr lang="sv-SE"/>
          </a:p>
        </c:txPr>
        <c:crossAx val="335781112"/>
        <c:crosses val="autoZero"/>
        <c:auto val="1"/>
        <c:lblAlgn val="ctr"/>
        <c:lblOffset val="100"/>
        <c:noMultiLvlLbl val="0"/>
      </c:catAx>
      <c:valAx>
        <c:axId val="33578111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GB"/>
                  <a:t>Volume (m3)</a:t>
                </a:r>
              </a:p>
            </c:rich>
          </c:tx>
          <c:overlay val="0"/>
        </c:title>
        <c:numFmt formatCode="0"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sv-SE"/>
          </a:p>
        </c:txPr>
        <c:crossAx val="335780720"/>
        <c:crosses val="autoZero"/>
        <c:crossBetween val="between"/>
      </c:valAx>
    </c:plotArea>
    <c:legend>
      <c:legendPos val="r"/>
      <c:overlay val="0"/>
      <c:txPr>
        <a:bodyPr/>
        <a:lstStyle/>
        <a:p>
          <a:pPr>
            <a:defRPr sz="920" b="0" i="0" u="none" strike="noStrike" baseline="0">
              <a:solidFill>
                <a:srgbClr val="000000"/>
              </a:solidFill>
              <a:latin typeface="Calibri"/>
              <a:ea typeface="Calibri"/>
              <a:cs typeface="Calibri"/>
            </a:defRPr>
          </a:pPr>
          <a:endParaRPr lang="sv-S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sv-S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GB"/>
              <a:t>Short sea</a:t>
            </a:r>
          </a:p>
        </c:rich>
      </c:tx>
      <c:overlay val="0"/>
    </c:title>
    <c:autoTitleDeleted val="0"/>
    <c:plotArea>
      <c:layout/>
      <c:barChart>
        <c:barDir val="col"/>
        <c:grouping val="stacked"/>
        <c:varyColors val="0"/>
        <c:ser>
          <c:idx val="0"/>
          <c:order val="0"/>
          <c:tx>
            <c:strRef>
              <c:f>'short sea'!$A$93</c:f>
              <c:strCache>
                <c:ptCount val="1"/>
                <c:pt idx="0">
                  <c:v>Propulsion system</c:v>
                </c:pt>
              </c:strCache>
            </c:strRef>
          </c:tx>
          <c:invertIfNegative val="0"/>
          <c:cat>
            <c:strRef>
              <c:f>'short sea'!$B$92:$N$92</c:f>
              <c:strCache>
                <c:ptCount val="13"/>
                <c:pt idx="0">
                  <c:v>Conventional HFO</c:v>
                </c:pt>
                <c:pt idx="1">
                  <c:v>HFO IC + Scrubber </c:v>
                </c:pt>
                <c:pt idx="2">
                  <c:v>MGO IC</c:v>
                </c:pt>
                <c:pt idx="3">
                  <c:v>MeOH IC</c:v>
                </c:pt>
                <c:pt idx="4">
                  <c:v>BTL IC</c:v>
                </c:pt>
                <c:pt idx="5">
                  <c:v>LNG IC</c:v>
                </c:pt>
                <c:pt idx="6">
                  <c:v>H2 IC</c:v>
                </c:pt>
                <c:pt idx="7">
                  <c:v>HFO FC</c:v>
                </c:pt>
                <c:pt idx="8">
                  <c:v>MGO FC</c:v>
                </c:pt>
                <c:pt idx="9">
                  <c:v>MeOH FC</c:v>
                </c:pt>
                <c:pt idx="10">
                  <c:v>BTL FC</c:v>
                </c:pt>
                <c:pt idx="11">
                  <c:v>LNG FC</c:v>
                </c:pt>
                <c:pt idx="12">
                  <c:v>H2 FC</c:v>
                </c:pt>
              </c:strCache>
            </c:strRef>
          </c:cat>
          <c:val>
            <c:numRef>
              <c:f>'short sea'!$B$93:$N$93</c:f>
              <c:numCache>
                <c:formatCode>0</c:formatCode>
                <c:ptCount val="13"/>
                <c:pt idx="0">
                  <c:v>26666.666666666668</c:v>
                </c:pt>
                <c:pt idx="1">
                  <c:v>26666.666666666668</c:v>
                </c:pt>
                <c:pt idx="2">
                  <c:v>26666.666666666668</c:v>
                </c:pt>
                <c:pt idx="3">
                  <c:v>26666.666666666668</c:v>
                </c:pt>
                <c:pt idx="4">
                  <c:v>26666.666666666668</c:v>
                </c:pt>
                <c:pt idx="5">
                  <c:v>26666.666666666668</c:v>
                </c:pt>
                <c:pt idx="6">
                  <c:v>26666.666666666668</c:v>
                </c:pt>
                <c:pt idx="7">
                  <c:v>160000</c:v>
                </c:pt>
                <c:pt idx="8">
                  <c:v>160000</c:v>
                </c:pt>
                <c:pt idx="9">
                  <c:v>160000</c:v>
                </c:pt>
                <c:pt idx="10">
                  <c:v>160000</c:v>
                </c:pt>
                <c:pt idx="11">
                  <c:v>160000</c:v>
                </c:pt>
                <c:pt idx="12">
                  <c:v>160000</c:v>
                </c:pt>
              </c:numCache>
            </c:numRef>
          </c:val>
          <c:extLst>
            <c:ext xmlns:c16="http://schemas.microsoft.com/office/drawing/2014/chart" uri="{C3380CC4-5D6E-409C-BE32-E72D297353CC}">
              <c16:uniqueId val="{00000000-EBD9-488D-B20A-DD07A6016EDD}"/>
            </c:ext>
          </c:extLst>
        </c:ser>
        <c:ser>
          <c:idx val="1"/>
          <c:order val="1"/>
          <c:tx>
            <c:strRef>
              <c:f>'short sea'!$A$94</c:f>
              <c:strCache>
                <c:ptCount val="1"/>
                <c:pt idx="0">
                  <c:v>Fuel</c:v>
                </c:pt>
              </c:strCache>
            </c:strRef>
          </c:tx>
          <c:invertIfNegative val="0"/>
          <c:cat>
            <c:strRef>
              <c:f>'short sea'!$B$92:$N$92</c:f>
              <c:strCache>
                <c:ptCount val="13"/>
                <c:pt idx="0">
                  <c:v>Conventional HFO</c:v>
                </c:pt>
                <c:pt idx="1">
                  <c:v>HFO IC + Scrubber </c:v>
                </c:pt>
                <c:pt idx="2">
                  <c:v>MGO IC</c:v>
                </c:pt>
                <c:pt idx="3">
                  <c:v>MeOH IC</c:v>
                </c:pt>
                <c:pt idx="4">
                  <c:v>BTL IC</c:v>
                </c:pt>
                <c:pt idx="5">
                  <c:v>LNG IC</c:v>
                </c:pt>
                <c:pt idx="6">
                  <c:v>H2 IC</c:v>
                </c:pt>
                <c:pt idx="7">
                  <c:v>HFO FC</c:v>
                </c:pt>
                <c:pt idx="8">
                  <c:v>MGO FC</c:v>
                </c:pt>
                <c:pt idx="9">
                  <c:v>MeOH FC</c:v>
                </c:pt>
                <c:pt idx="10">
                  <c:v>BTL FC</c:v>
                </c:pt>
                <c:pt idx="11">
                  <c:v>LNG FC</c:v>
                </c:pt>
                <c:pt idx="12">
                  <c:v>H2 FC</c:v>
                </c:pt>
              </c:strCache>
            </c:strRef>
          </c:cat>
          <c:val>
            <c:numRef>
              <c:f>'short sea'!$B$94:$N$94</c:f>
              <c:numCache>
                <c:formatCode>0</c:formatCode>
                <c:ptCount val="13"/>
                <c:pt idx="0">
                  <c:v>88581.311093019831</c:v>
                </c:pt>
                <c:pt idx="1">
                  <c:v>88581.311093019831</c:v>
                </c:pt>
                <c:pt idx="2">
                  <c:v>80921.019950124668</c:v>
                </c:pt>
                <c:pt idx="3">
                  <c:v>174616.92201117313</c:v>
                </c:pt>
                <c:pt idx="4">
                  <c:v>174616.92201117313</c:v>
                </c:pt>
                <c:pt idx="5">
                  <c:v>70086.006199261974</c:v>
                </c:pt>
                <c:pt idx="6">
                  <c:v>29160.000000000004</c:v>
                </c:pt>
                <c:pt idx="7">
                  <c:v>79090.456333053444</c:v>
                </c:pt>
                <c:pt idx="8">
                  <c:v>71611.522079756352</c:v>
                </c:pt>
                <c:pt idx="9">
                  <c:v>164732.94529355961</c:v>
                </c:pt>
                <c:pt idx="10">
                  <c:v>164732.94529355961</c:v>
                </c:pt>
                <c:pt idx="11">
                  <c:v>64894.450184501839</c:v>
                </c:pt>
                <c:pt idx="12">
                  <c:v>28871.287128712873</c:v>
                </c:pt>
              </c:numCache>
            </c:numRef>
          </c:val>
          <c:extLst>
            <c:ext xmlns:c16="http://schemas.microsoft.com/office/drawing/2014/chart" uri="{C3380CC4-5D6E-409C-BE32-E72D297353CC}">
              <c16:uniqueId val="{00000001-EBD9-488D-B20A-DD07A6016EDD}"/>
            </c:ext>
          </c:extLst>
        </c:ser>
        <c:ser>
          <c:idx val="2"/>
          <c:order val="2"/>
          <c:tx>
            <c:strRef>
              <c:f>'short sea'!$A$95</c:f>
              <c:strCache>
                <c:ptCount val="1"/>
                <c:pt idx="0">
                  <c:v>Tank</c:v>
                </c:pt>
              </c:strCache>
            </c:strRef>
          </c:tx>
          <c:invertIfNegative val="0"/>
          <c:cat>
            <c:strRef>
              <c:f>'short sea'!$B$92:$N$92</c:f>
              <c:strCache>
                <c:ptCount val="13"/>
                <c:pt idx="0">
                  <c:v>Conventional HFO</c:v>
                </c:pt>
                <c:pt idx="1">
                  <c:v>HFO IC + Scrubber </c:v>
                </c:pt>
                <c:pt idx="2">
                  <c:v>MGO IC</c:v>
                </c:pt>
                <c:pt idx="3">
                  <c:v>MeOH IC</c:v>
                </c:pt>
                <c:pt idx="4">
                  <c:v>BTL IC</c:v>
                </c:pt>
                <c:pt idx="5">
                  <c:v>LNG IC</c:v>
                </c:pt>
                <c:pt idx="6">
                  <c:v>H2 IC</c:v>
                </c:pt>
                <c:pt idx="7">
                  <c:v>HFO FC</c:v>
                </c:pt>
                <c:pt idx="8">
                  <c:v>MGO FC</c:v>
                </c:pt>
                <c:pt idx="9">
                  <c:v>MeOH FC</c:v>
                </c:pt>
                <c:pt idx="10">
                  <c:v>BTL FC</c:v>
                </c:pt>
                <c:pt idx="11">
                  <c:v>LNG FC</c:v>
                </c:pt>
                <c:pt idx="12">
                  <c:v>H2 FC</c:v>
                </c:pt>
              </c:strCache>
            </c:strRef>
          </c:cat>
          <c:val>
            <c:numRef>
              <c:f>'short sea'!$B$95:$N$95</c:f>
              <c:numCache>
                <c:formatCode>0</c:formatCode>
                <c:ptCount val="13"/>
                <c:pt idx="0">
                  <c:v>14359.68568883807</c:v>
                </c:pt>
                <c:pt idx="1">
                  <c:v>14359.68568883807</c:v>
                </c:pt>
                <c:pt idx="2">
                  <c:v>14899.152119700746</c:v>
                </c:pt>
                <c:pt idx="3">
                  <c:v>35500.263687150829</c:v>
                </c:pt>
                <c:pt idx="4">
                  <c:v>35500.263687150829</c:v>
                </c:pt>
                <c:pt idx="5">
                  <c:v>45864.053136531358</c:v>
                </c:pt>
                <c:pt idx="6">
                  <c:v>131425.35211267608</c:v>
                </c:pt>
                <c:pt idx="7">
                  <c:v>12821.147936462565</c:v>
                </c:pt>
                <c:pt idx="8">
                  <c:v>13185.090371416591</c:v>
                </c:pt>
                <c:pt idx="9">
                  <c:v>33490.814799198903</c:v>
                </c:pt>
                <c:pt idx="10">
                  <c:v>33490.814799198903</c:v>
                </c:pt>
                <c:pt idx="11">
                  <c:v>42466.715867158659</c:v>
                </c:pt>
                <c:pt idx="12">
                  <c:v>130124.11100264959</c:v>
                </c:pt>
              </c:numCache>
            </c:numRef>
          </c:val>
          <c:extLst>
            <c:ext xmlns:c16="http://schemas.microsoft.com/office/drawing/2014/chart" uri="{C3380CC4-5D6E-409C-BE32-E72D297353CC}">
              <c16:uniqueId val="{00000002-EBD9-488D-B20A-DD07A6016EDD}"/>
            </c:ext>
          </c:extLst>
        </c:ser>
        <c:dLbls>
          <c:showLegendKey val="0"/>
          <c:showVal val="0"/>
          <c:showCatName val="0"/>
          <c:showSerName val="0"/>
          <c:showPercent val="0"/>
          <c:showBubbleSize val="0"/>
        </c:dLbls>
        <c:gapWidth val="55"/>
        <c:overlap val="100"/>
        <c:axId val="335780328"/>
        <c:axId val="335779936"/>
      </c:barChart>
      <c:catAx>
        <c:axId val="335780328"/>
        <c:scaling>
          <c:orientation val="minMax"/>
        </c:scaling>
        <c:delete val="0"/>
        <c:axPos val="b"/>
        <c:numFmt formatCode="General" sourceLinked="0"/>
        <c:majorTickMark val="none"/>
        <c:minorTickMark val="none"/>
        <c:tickLblPos val="nextTo"/>
        <c:txPr>
          <a:bodyPr rot="-5400000" vert="horz"/>
          <a:lstStyle/>
          <a:p>
            <a:pPr>
              <a:defRPr sz="1000" b="0" i="0" u="none" strike="noStrike" baseline="0">
                <a:solidFill>
                  <a:srgbClr val="000000"/>
                </a:solidFill>
                <a:latin typeface="Calibri"/>
                <a:ea typeface="Calibri"/>
                <a:cs typeface="Calibri"/>
              </a:defRPr>
            </a:pPr>
            <a:endParaRPr lang="sv-SE"/>
          </a:p>
        </c:txPr>
        <c:crossAx val="335779936"/>
        <c:crosses val="autoZero"/>
        <c:auto val="1"/>
        <c:lblAlgn val="ctr"/>
        <c:lblOffset val="100"/>
        <c:noMultiLvlLbl val="0"/>
      </c:catAx>
      <c:valAx>
        <c:axId val="335779936"/>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GB"/>
                  <a:t>Weight (m3)</a:t>
                </a:r>
              </a:p>
            </c:rich>
          </c:tx>
          <c:overlay val="0"/>
        </c:title>
        <c:numFmt formatCode="0"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sv-SE"/>
          </a:p>
        </c:txPr>
        <c:crossAx val="335780328"/>
        <c:crosses val="autoZero"/>
        <c:crossBetween val="between"/>
      </c:valAx>
    </c:plotArea>
    <c:legend>
      <c:legendPos val="r"/>
      <c:overlay val="0"/>
      <c:txPr>
        <a:bodyPr/>
        <a:lstStyle/>
        <a:p>
          <a:pPr>
            <a:defRPr sz="920" b="0" i="0" u="none" strike="noStrike" baseline="0">
              <a:solidFill>
                <a:srgbClr val="000000"/>
              </a:solidFill>
              <a:latin typeface="Calibri"/>
              <a:ea typeface="Calibri"/>
              <a:cs typeface="Calibri"/>
            </a:defRPr>
          </a:pPr>
          <a:endParaRPr lang="sv-S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sv-S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GB"/>
              <a:t>Short sea</a:t>
            </a:r>
          </a:p>
        </c:rich>
      </c:tx>
      <c:overlay val="0"/>
    </c:title>
    <c:autoTitleDeleted val="0"/>
    <c:plotArea>
      <c:layout/>
      <c:barChart>
        <c:barDir val="col"/>
        <c:grouping val="stacked"/>
        <c:varyColors val="0"/>
        <c:ser>
          <c:idx val="0"/>
          <c:order val="0"/>
          <c:tx>
            <c:strRef>
              <c:f>'short sea'!$A$99</c:f>
              <c:strCache>
                <c:ptCount val="1"/>
                <c:pt idx="0">
                  <c:v>Propulsion system</c:v>
                </c:pt>
              </c:strCache>
            </c:strRef>
          </c:tx>
          <c:invertIfNegative val="0"/>
          <c:cat>
            <c:strRef>
              <c:f>'short sea'!$B$98:$N$98</c:f>
              <c:strCache>
                <c:ptCount val="13"/>
                <c:pt idx="0">
                  <c:v>Conventional HFO</c:v>
                </c:pt>
                <c:pt idx="1">
                  <c:v>HFO IC + Scrubber </c:v>
                </c:pt>
                <c:pt idx="2">
                  <c:v>MGO IC</c:v>
                </c:pt>
                <c:pt idx="3">
                  <c:v>MeOH IC</c:v>
                </c:pt>
                <c:pt idx="4">
                  <c:v>BTL IC</c:v>
                </c:pt>
                <c:pt idx="5">
                  <c:v>LNG IC</c:v>
                </c:pt>
                <c:pt idx="6">
                  <c:v>H2 IC</c:v>
                </c:pt>
                <c:pt idx="7">
                  <c:v>HFO FC</c:v>
                </c:pt>
                <c:pt idx="8">
                  <c:v>MGO FC</c:v>
                </c:pt>
                <c:pt idx="9">
                  <c:v>MeOH FC</c:v>
                </c:pt>
                <c:pt idx="10">
                  <c:v>BTL FC</c:v>
                </c:pt>
                <c:pt idx="11">
                  <c:v>LNG FC</c:v>
                </c:pt>
                <c:pt idx="12">
                  <c:v>H2 FC</c:v>
                </c:pt>
              </c:strCache>
            </c:strRef>
          </c:cat>
          <c:val>
            <c:numRef>
              <c:f>'short sea'!$B$99:$N$99</c:f>
              <c:numCache>
                <c:formatCode>0</c:formatCode>
                <c:ptCount val="13"/>
                <c:pt idx="0">
                  <c:v>30</c:v>
                </c:pt>
                <c:pt idx="1">
                  <c:v>30</c:v>
                </c:pt>
                <c:pt idx="2">
                  <c:v>30</c:v>
                </c:pt>
                <c:pt idx="3">
                  <c:v>30</c:v>
                </c:pt>
                <c:pt idx="4">
                  <c:v>30</c:v>
                </c:pt>
                <c:pt idx="5">
                  <c:v>30</c:v>
                </c:pt>
                <c:pt idx="6">
                  <c:v>30</c:v>
                </c:pt>
                <c:pt idx="7">
                  <c:v>800</c:v>
                </c:pt>
                <c:pt idx="8">
                  <c:v>800</c:v>
                </c:pt>
                <c:pt idx="9">
                  <c:v>800</c:v>
                </c:pt>
                <c:pt idx="10">
                  <c:v>800</c:v>
                </c:pt>
                <c:pt idx="11">
                  <c:v>800</c:v>
                </c:pt>
                <c:pt idx="12">
                  <c:v>800</c:v>
                </c:pt>
              </c:numCache>
            </c:numRef>
          </c:val>
          <c:extLst>
            <c:ext xmlns:c16="http://schemas.microsoft.com/office/drawing/2014/chart" uri="{C3380CC4-5D6E-409C-BE32-E72D297353CC}">
              <c16:uniqueId val="{00000000-1802-43D2-8015-4FBAD735CD14}"/>
            </c:ext>
          </c:extLst>
        </c:ser>
        <c:ser>
          <c:idx val="1"/>
          <c:order val="1"/>
          <c:tx>
            <c:strRef>
              <c:f>'short sea'!$A$100</c:f>
              <c:strCache>
                <c:ptCount val="1"/>
                <c:pt idx="0">
                  <c:v>Fuel</c:v>
                </c:pt>
              </c:strCache>
            </c:strRef>
          </c:tx>
          <c:invertIfNegative val="0"/>
          <c:cat>
            <c:strRef>
              <c:f>'short sea'!$B$98:$N$98</c:f>
              <c:strCache>
                <c:ptCount val="13"/>
                <c:pt idx="0">
                  <c:v>Conventional HFO</c:v>
                </c:pt>
                <c:pt idx="1">
                  <c:v>HFO IC + Scrubber </c:v>
                </c:pt>
                <c:pt idx="2">
                  <c:v>MGO IC</c:v>
                </c:pt>
                <c:pt idx="3">
                  <c:v>MeOH IC</c:v>
                </c:pt>
                <c:pt idx="4">
                  <c:v>BTL IC</c:v>
                </c:pt>
                <c:pt idx="5">
                  <c:v>LNG IC</c:v>
                </c:pt>
                <c:pt idx="6">
                  <c:v>H2 IC</c:v>
                </c:pt>
                <c:pt idx="7">
                  <c:v>HFO FC</c:v>
                </c:pt>
                <c:pt idx="8">
                  <c:v>MGO FC</c:v>
                </c:pt>
                <c:pt idx="9">
                  <c:v>MeOH FC</c:v>
                </c:pt>
                <c:pt idx="10">
                  <c:v>BTL FC</c:v>
                </c:pt>
                <c:pt idx="11">
                  <c:v>LNG FC</c:v>
                </c:pt>
                <c:pt idx="12">
                  <c:v>H2 FC</c:v>
                </c:pt>
              </c:strCache>
            </c:strRef>
          </c:cat>
          <c:val>
            <c:numRef>
              <c:f>'short sea'!$B$100:$N$100</c:f>
              <c:numCache>
                <c:formatCode>0</c:formatCode>
                <c:ptCount val="13"/>
                <c:pt idx="0">
                  <c:v>89.748035555237934</c:v>
                </c:pt>
                <c:pt idx="1">
                  <c:v>89.748035555237934</c:v>
                </c:pt>
                <c:pt idx="2">
                  <c:v>93.119700748129659</c:v>
                </c:pt>
                <c:pt idx="3">
                  <c:v>221.87664804469267</c:v>
                </c:pt>
                <c:pt idx="4">
                  <c:v>221.87664804469267</c:v>
                </c:pt>
                <c:pt idx="5">
                  <c:v>143.32516605166049</c:v>
                </c:pt>
                <c:pt idx="6">
                  <c:v>410.70422535211276</c:v>
                </c:pt>
                <c:pt idx="7">
                  <c:v>80.132174602891027</c:v>
                </c:pt>
                <c:pt idx="8">
                  <c:v>82.406814821353692</c:v>
                </c:pt>
                <c:pt idx="9">
                  <c:v>209.31759249499311</c:v>
                </c:pt>
                <c:pt idx="10">
                  <c:v>209.31759249499311</c:v>
                </c:pt>
                <c:pt idx="11">
                  <c:v>132.70848708487082</c:v>
                </c:pt>
                <c:pt idx="12">
                  <c:v>406.63784688327991</c:v>
                </c:pt>
              </c:numCache>
            </c:numRef>
          </c:val>
          <c:extLst>
            <c:ext xmlns:c16="http://schemas.microsoft.com/office/drawing/2014/chart" uri="{C3380CC4-5D6E-409C-BE32-E72D297353CC}">
              <c16:uniqueId val="{00000001-1802-43D2-8015-4FBAD735CD14}"/>
            </c:ext>
          </c:extLst>
        </c:ser>
        <c:ser>
          <c:idx val="2"/>
          <c:order val="2"/>
          <c:tx>
            <c:strRef>
              <c:f>'short sea'!$A$101</c:f>
              <c:strCache>
                <c:ptCount val="1"/>
                <c:pt idx="0">
                  <c:v>Tank</c:v>
                </c:pt>
              </c:strCache>
            </c:strRef>
          </c:tx>
          <c:invertIfNegative val="0"/>
          <c:cat>
            <c:strRef>
              <c:f>'short sea'!$B$98:$N$98</c:f>
              <c:strCache>
                <c:ptCount val="13"/>
                <c:pt idx="0">
                  <c:v>Conventional HFO</c:v>
                </c:pt>
                <c:pt idx="1">
                  <c:v>HFO IC + Scrubber </c:v>
                </c:pt>
                <c:pt idx="2">
                  <c:v>MGO IC</c:v>
                </c:pt>
                <c:pt idx="3">
                  <c:v>MeOH IC</c:v>
                </c:pt>
                <c:pt idx="4">
                  <c:v>BTL IC</c:v>
                </c:pt>
                <c:pt idx="5">
                  <c:v>LNG IC</c:v>
                </c:pt>
                <c:pt idx="6">
                  <c:v>H2 IC</c:v>
                </c:pt>
                <c:pt idx="7">
                  <c:v>HFO FC</c:v>
                </c:pt>
                <c:pt idx="8">
                  <c:v>MGO FC</c:v>
                </c:pt>
                <c:pt idx="9">
                  <c:v>MeOH FC</c:v>
                </c:pt>
                <c:pt idx="10">
                  <c:v>BTL FC</c:v>
                </c:pt>
                <c:pt idx="11">
                  <c:v>LNG FC</c:v>
                </c:pt>
                <c:pt idx="12">
                  <c:v>H2 FC</c:v>
                </c:pt>
              </c:strCache>
            </c:strRef>
          </c:cat>
          <c:val>
            <c:numRef>
              <c:f>'short sea'!$B$101:$N$101</c:f>
              <c:numCache>
                <c:formatCode>0</c:formatCode>
                <c:ptCount val="13"/>
                <c:pt idx="0">
                  <c:v>1.7949607111047587</c:v>
                </c:pt>
                <c:pt idx="1">
                  <c:v>1.7949607111047587</c:v>
                </c:pt>
                <c:pt idx="2">
                  <c:v>1.8623940149625933</c:v>
                </c:pt>
                <c:pt idx="3">
                  <c:v>4.4375329608938534</c:v>
                </c:pt>
                <c:pt idx="4">
                  <c:v>4.4375329608938534</c:v>
                </c:pt>
                <c:pt idx="5">
                  <c:v>5.7330066420664201</c:v>
                </c:pt>
                <c:pt idx="6">
                  <c:v>16.42816901408451</c:v>
                </c:pt>
                <c:pt idx="7">
                  <c:v>1.6026434920578205</c:v>
                </c:pt>
                <c:pt idx="8">
                  <c:v>1.6481362964270738</c:v>
                </c:pt>
                <c:pt idx="9">
                  <c:v>4.1863518498998626</c:v>
                </c:pt>
                <c:pt idx="10">
                  <c:v>4.1863518498998626</c:v>
                </c:pt>
                <c:pt idx="11">
                  <c:v>5.3083394833948327</c:v>
                </c:pt>
                <c:pt idx="12">
                  <c:v>16.265513875331198</c:v>
                </c:pt>
              </c:numCache>
            </c:numRef>
          </c:val>
          <c:extLst>
            <c:ext xmlns:c16="http://schemas.microsoft.com/office/drawing/2014/chart" uri="{C3380CC4-5D6E-409C-BE32-E72D297353CC}">
              <c16:uniqueId val="{00000002-1802-43D2-8015-4FBAD735CD14}"/>
            </c:ext>
          </c:extLst>
        </c:ser>
        <c:dLbls>
          <c:showLegendKey val="0"/>
          <c:showVal val="0"/>
          <c:showCatName val="0"/>
          <c:showSerName val="0"/>
          <c:showPercent val="0"/>
          <c:showBubbleSize val="0"/>
        </c:dLbls>
        <c:gapWidth val="55"/>
        <c:overlap val="100"/>
        <c:axId val="335781896"/>
        <c:axId val="335782288"/>
      </c:barChart>
      <c:catAx>
        <c:axId val="335781896"/>
        <c:scaling>
          <c:orientation val="minMax"/>
        </c:scaling>
        <c:delete val="0"/>
        <c:axPos val="b"/>
        <c:numFmt formatCode="General" sourceLinked="0"/>
        <c:majorTickMark val="none"/>
        <c:minorTickMark val="none"/>
        <c:tickLblPos val="nextTo"/>
        <c:txPr>
          <a:bodyPr rot="-5400000" vert="horz"/>
          <a:lstStyle/>
          <a:p>
            <a:pPr>
              <a:defRPr sz="1000" b="0" i="0" u="none" strike="noStrike" baseline="0">
                <a:solidFill>
                  <a:srgbClr val="000000"/>
                </a:solidFill>
                <a:latin typeface="Calibri"/>
                <a:ea typeface="Calibri"/>
                <a:cs typeface="Calibri"/>
              </a:defRPr>
            </a:pPr>
            <a:endParaRPr lang="sv-SE"/>
          </a:p>
        </c:txPr>
        <c:crossAx val="335782288"/>
        <c:crosses val="autoZero"/>
        <c:auto val="1"/>
        <c:lblAlgn val="ctr"/>
        <c:lblOffset val="100"/>
        <c:noMultiLvlLbl val="0"/>
      </c:catAx>
      <c:valAx>
        <c:axId val="335782288"/>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GB"/>
                  <a:t>Volume (m3)</a:t>
                </a:r>
              </a:p>
            </c:rich>
          </c:tx>
          <c:overlay val="0"/>
        </c:title>
        <c:numFmt formatCode="0"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sv-SE"/>
          </a:p>
        </c:txPr>
        <c:crossAx val="335781896"/>
        <c:crosses val="autoZero"/>
        <c:crossBetween val="between"/>
      </c:valAx>
    </c:plotArea>
    <c:legend>
      <c:legendPos val="r"/>
      <c:overlay val="0"/>
      <c:txPr>
        <a:bodyPr/>
        <a:lstStyle/>
        <a:p>
          <a:pPr>
            <a:defRPr sz="920" b="0" i="0" u="none" strike="noStrike" baseline="0">
              <a:solidFill>
                <a:srgbClr val="000000"/>
              </a:solidFill>
              <a:latin typeface="Calibri"/>
              <a:ea typeface="Calibri"/>
              <a:cs typeface="Calibri"/>
            </a:defRPr>
          </a:pPr>
          <a:endParaRPr lang="sv-S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sv-SE"/>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tmp"/></Relationships>
</file>

<file path=xl/drawings/_rels/drawing2.xml.rels><?xml version="1.0" encoding="UTF-8" standalone="yes"?>
<Relationships xmlns="http://schemas.openxmlformats.org/package/2006/relationships"><Relationship Id="rId1" Type="http://schemas.openxmlformats.org/officeDocument/2006/relationships/image" Target="../media/image1.tmp"/></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211455</xdr:colOff>
      <xdr:row>66</xdr:row>
      <xdr:rowOff>19049</xdr:rowOff>
    </xdr:from>
    <xdr:to>
      <xdr:col>9</xdr:col>
      <xdr:colOff>400050</xdr:colOff>
      <xdr:row>72</xdr:row>
      <xdr:rowOff>47624</xdr:rowOff>
    </xdr:to>
    <xdr:sp macro="" textlink="">
      <xdr:nvSpPr>
        <xdr:cNvPr id="2" name="Rectangle 105">
          <a:extLst>
            <a:ext uri="{FF2B5EF4-FFF2-40B4-BE49-F238E27FC236}">
              <a16:creationId xmlns:a16="http://schemas.microsoft.com/office/drawing/2014/main" id="{00000000-0008-0000-0300-000002000000}"/>
            </a:ext>
          </a:extLst>
        </xdr:cNvPr>
        <xdr:cNvSpPr>
          <a:spLocks noChangeArrowheads="1"/>
        </xdr:cNvSpPr>
      </xdr:nvSpPr>
      <xdr:spPr bwMode="auto">
        <a:xfrm>
          <a:off x="3659505" y="11668124"/>
          <a:ext cx="3722370" cy="1057275"/>
        </a:xfrm>
        <a:prstGeom prst="rect">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sv-SE" sz="900" b="0" i="0" u="none" strike="noStrike" baseline="0">
              <a:solidFill>
                <a:srgbClr val="000000"/>
              </a:solidFill>
              <a:latin typeface="Geneva"/>
            </a:rPr>
            <a:t>Comments:</a:t>
          </a:r>
        </a:p>
        <a:p>
          <a:pPr algn="l" rtl="0">
            <a:defRPr sz="1000"/>
          </a:pPr>
          <a:r>
            <a:rPr lang="sv-SE" sz="900" b="0" i="0" u="none" strike="noStrike" baseline="0">
              <a:solidFill>
                <a:srgbClr val="000000"/>
              </a:solidFill>
              <a:latin typeface="Geneva"/>
            </a:rPr>
            <a:t>All info is now intended to be HHV-based (conversion is in Sheet Unit Conversion).</a:t>
          </a:r>
        </a:p>
      </xdr:txBody>
    </xdr:sp>
    <xdr:clientData/>
  </xdr:twoCellAnchor>
  <xdr:twoCellAnchor editAs="oneCell">
    <xdr:from>
      <xdr:col>0</xdr:col>
      <xdr:colOff>0</xdr:colOff>
      <xdr:row>74</xdr:row>
      <xdr:rowOff>0</xdr:rowOff>
    </xdr:from>
    <xdr:to>
      <xdr:col>6</xdr:col>
      <xdr:colOff>125730</xdr:colOff>
      <xdr:row>107</xdr:row>
      <xdr:rowOff>62230</xdr:rowOff>
    </xdr:to>
    <xdr:pic>
      <xdr:nvPicPr>
        <xdr:cNvPr id="3" name="Picture 2">
          <a:extLst>
            <a:ext uri="{FF2B5EF4-FFF2-40B4-BE49-F238E27FC236}">
              <a16:creationId xmlns:a16="http://schemas.microsoft.com/office/drawing/2014/main" id="{00000000-0008-0000-0300-000003000000}"/>
            </a:ext>
          </a:extLst>
        </xdr:cNvPr>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8253" t="16294" r="35319" b="4660"/>
        <a:stretch/>
      </xdr:blipFill>
      <xdr:spPr bwMode="auto">
        <a:xfrm>
          <a:off x="0" y="13020675"/>
          <a:ext cx="5593080" cy="5720080"/>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211455</xdr:colOff>
      <xdr:row>66</xdr:row>
      <xdr:rowOff>19049</xdr:rowOff>
    </xdr:from>
    <xdr:to>
      <xdr:col>9</xdr:col>
      <xdr:colOff>400050</xdr:colOff>
      <xdr:row>72</xdr:row>
      <xdr:rowOff>47624</xdr:rowOff>
    </xdr:to>
    <xdr:sp macro="" textlink="">
      <xdr:nvSpPr>
        <xdr:cNvPr id="2" name="Rectangle 105">
          <a:extLst>
            <a:ext uri="{FF2B5EF4-FFF2-40B4-BE49-F238E27FC236}">
              <a16:creationId xmlns:a16="http://schemas.microsoft.com/office/drawing/2014/main" id="{00000000-0008-0000-0400-000002000000}"/>
            </a:ext>
          </a:extLst>
        </xdr:cNvPr>
        <xdr:cNvSpPr>
          <a:spLocks noChangeArrowheads="1"/>
        </xdr:cNvSpPr>
      </xdr:nvSpPr>
      <xdr:spPr bwMode="auto">
        <a:xfrm>
          <a:off x="3655695" y="11418569"/>
          <a:ext cx="3709035" cy="1034415"/>
        </a:xfrm>
        <a:prstGeom prst="rect">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sv-SE" sz="900" b="0" i="0" u="none" strike="noStrike" baseline="0">
              <a:solidFill>
                <a:srgbClr val="000000"/>
              </a:solidFill>
              <a:latin typeface="Geneva"/>
            </a:rPr>
            <a:t>Comments:</a:t>
          </a:r>
        </a:p>
        <a:p>
          <a:pPr algn="l" rtl="0">
            <a:defRPr sz="1000"/>
          </a:pPr>
          <a:r>
            <a:rPr lang="sv-SE" sz="900" b="0" i="0" u="none" strike="noStrike" baseline="0">
              <a:solidFill>
                <a:srgbClr val="000000"/>
              </a:solidFill>
              <a:latin typeface="Geneva"/>
            </a:rPr>
            <a:t>All info is now intended to be HHV-based (conversion is in Sheet Unit Conversion).</a:t>
          </a:r>
        </a:p>
      </xdr:txBody>
    </xdr:sp>
    <xdr:clientData/>
  </xdr:twoCellAnchor>
  <xdr:twoCellAnchor editAs="oneCell">
    <xdr:from>
      <xdr:col>0</xdr:col>
      <xdr:colOff>0</xdr:colOff>
      <xdr:row>74</xdr:row>
      <xdr:rowOff>0</xdr:rowOff>
    </xdr:from>
    <xdr:to>
      <xdr:col>6</xdr:col>
      <xdr:colOff>125730</xdr:colOff>
      <xdr:row>107</xdr:row>
      <xdr:rowOff>62230</xdr:rowOff>
    </xdr:to>
    <xdr:pic>
      <xdr:nvPicPr>
        <xdr:cNvPr id="3" name="Picture 2">
          <a:extLst>
            <a:ext uri="{FF2B5EF4-FFF2-40B4-BE49-F238E27FC236}">
              <a16:creationId xmlns:a16="http://schemas.microsoft.com/office/drawing/2014/main" id="{00000000-0008-0000-0400-000003000000}"/>
            </a:ext>
          </a:extLst>
        </xdr:cNvPr>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8253" t="16294" r="35319" b="4660"/>
        <a:stretch/>
      </xdr:blipFill>
      <xdr:spPr bwMode="auto">
        <a:xfrm>
          <a:off x="0" y="13746480"/>
          <a:ext cx="5581650" cy="5594350"/>
        </a:xfrm>
        <a:prstGeom prst="rect">
          <a:avLst/>
        </a:prstGeom>
        <a:ln>
          <a:noFill/>
        </a:ln>
        <a:extLst>
          <a:ext uri="{53640926-AAD7-44D8-BBD7-CCE9431645EC}">
            <a14:shadowObscured xmlns:a14="http://schemas.microsoft.com/office/drawing/2010/main"/>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15</xdr:col>
      <xdr:colOff>257175</xdr:colOff>
      <xdr:row>2</xdr:row>
      <xdr:rowOff>9525</xdr:rowOff>
    </xdr:from>
    <xdr:to>
      <xdr:col>15</xdr:col>
      <xdr:colOff>2686050</xdr:colOff>
      <xdr:row>4</xdr:row>
      <xdr:rowOff>11430</xdr:rowOff>
    </xdr:to>
    <xdr:sp macro="" textlink="">
      <xdr:nvSpPr>
        <xdr:cNvPr id="2" name="Rectangle 105">
          <a:extLst>
            <a:ext uri="{FF2B5EF4-FFF2-40B4-BE49-F238E27FC236}">
              <a16:creationId xmlns:a16="http://schemas.microsoft.com/office/drawing/2014/main" id="{00000000-0008-0000-0600-000002000000}"/>
            </a:ext>
          </a:extLst>
        </xdr:cNvPr>
        <xdr:cNvSpPr>
          <a:spLocks noChangeArrowheads="1"/>
        </xdr:cNvSpPr>
      </xdr:nvSpPr>
      <xdr:spPr bwMode="auto">
        <a:xfrm>
          <a:off x="12153900" y="495300"/>
          <a:ext cx="2428875" cy="325755"/>
        </a:xfrm>
        <a:prstGeom prst="rect">
          <a:avLst/>
        </a:prstGeom>
        <a:solidFill>
          <a:schemeClr val="accent3"/>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rtl="0">
            <a:defRPr sz="1000"/>
          </a:pPr>
          <a:r>
            <a:rPr lang="sv-SE" sz="1100">
              <a:solidFill>
                <a:schemeClr val="dk1"/>
              </a:solidFill>
              <a:latin typeface="+mn-lt"/>
              <a:ea typeface="+mn-ea"/>
              <a:cs typeface="+mn-cs"/>
            </a:rPr>
            <a:t>All info is intended to be HHV-based. (HHV=Higher heating values)</a:t>
          </a:r>
        </a:p>
      </xdr:txBody>
    </xdr:sp>
    <xdr:clientData/>
  </xdr:twoCellAnchor>
  <xdr:twoCellAnchor>
    <xdr:from>
      <xdr:col>15</xdr:col>
      <xdr:colOff>2943225</xdr:colOff>
      <xdr:row>2</xdr:row>
      <xdr:rowOff>19051</xdr:rowOff>
    </xdr:from>
    <xdr:to>
      <xdr:col>15</xdr:col>
      <xdr:colOff>5715000</xdr:colOff>
      <xdr:row>4</xdr:row>
      <xdr:rowOff>1</xdr:rowOff>
    </xdr:to>
    <xdr:sp macro="" textlink="">
      <xdr:nvSpPr>
        <xdr:cNvPr id="3" name="Rectangle 105">
          <a:extLst>
            <a:ext uri="{FF2B5EF4-FFF2-40B4-BE49-F238E27FC236}">
              <a16:creationId xmlns:a16="http://schemas.microsoft.com/office/drawing/2014/main" id="{00000000-0008-0000-0600-000003000000}"/>
            </a:ext>
          </a:extLst>
        </xdr:cNvPr>
        <xdr:cNvSpPr>
          <a:spLocks noChangeArrowheads="1"/>
        </xdr:cNvSpPr>
      </xdr:nvSpPr>
      <xdr:spPr bwMode="auto">
        <a:xfrm>
          <a:off x="14839950" y="504826"/>
          <a:ext cx="2771775" cy="304800"/>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rtl="0">
            <a:defRPr sz="1000"/>
          </a:pPr>
          <a:r>
            <a:rPr lang="sv-SE" sz="1100">
              <a:solidFill>
                <a:schemeClr val="dk1"/>
              </a:solidFill>
              <a:latin typeface="+mn-lt"/>
              <a:ea typeface="+mn-ea"/>
              <a:cs typeface="+mn-cs"/>
            </a:rPr>
            <a:t>Input data to the GET-model is marked as this</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15</xdr:col>
      <xdr:colOff>257175</xdr:colOff>
      <xdr:row>2</xdr:row>
      <xdr:rowOff>9525</xdr:rowOff>
    </xdr:from>
    <xdr:to>
      <xdr:col>15</xdr:col>
      <xdr:colOff>2686050</xdr:colOff>
      <xdr:row>4</xdr:row>
      <xdr:rowOff>11430</xdr:rowOff>
    </xdr:to>
    <xdr:sp macro="" textlink="">
      <xdr:nvSpPr>
        <xdr:cNvPr id="2" name="Rectangle 105">
          <a:extLst>
            <a:ext uri="{FF2B5EF4-FFF2-40B4-BE49-F238E27FC236}">
              <a16:creationId xmlns:a16="http://schemas.microsoft.com/office/drawing/2014/main" id="{00000000-0008-0000-0900-000002000000}"/>
            </a:ext>
          </a:extLst>
        </xdr:cNvPr>
        <xdr:cNvSpPr>
          <a:spLocks noChangeArrowheads="1"/>
        </xdr:cNvSpPr>
      </xdr:nvSpPr>
      <xdr:spPr bwMode="auto">
        <a:xfrm>
          <a:off x="12153900" y="495300"/>
          <a:ext cx="2428875" cy="325755"/>
        </a:xfrm>
        <a:prstGeom prst="rect">
          <a:avLst/>
        </a:prstGeom>
        <a:solidFill>
          <a:schemeClr val="accent3"/>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rtl="0">
            <a:defRPr sz="1000"/>
          </a:pPr>
          <a:r>
            <a:rPr lang="sv-SE" sz="1100">
              <a:solidFill>
                <a:schemeClr val="dk1"/>
              </a:solidFill>
              <a:latin typeface="+mn-lt"/>
              <a:ea typeface="+mn-ea"/>
              <a:cs typeface="+mn-cs"/>
            </a:rPr>
            <a:t>All info is intended to be HHV-based. (HHV=Higher heating values)</a:t>
          </a:r>
        </a:p>
      </xdr:txBody>
    </xdr:sp>
    <xdr:clientData/>
  </xdr:twoCellAnchor>
  <xdr:twoCellAnchor>
    <xdr:from>
      <xdr:col>15</xdr:col>
      <xdr:colOff>2943225</xdr:colOff>
      <xdr:row>2</xdr:row>
      <xdr:rowOff>19051</xdr:rowOff>
    </xdr:from>
    <xdr:to>
      <xdr:col>15</xdr:col>
      <xdr:colOff>5715000</xdr:colOff>
      <xdr:row>4</xdr:row>
      <xdr:rowOff>1</xdr:rowOff>
    </xdr:to>
    <xdr:sp macro="" textlink="">
      <xdr:nvSpPr>
        <xdr:cNvPr id="3" name="Rectangle 105">
          <a:extLst>
            <a:ext uri="{FF2B5EF4-FFF2-40B4-BE49-F238E27FC236}">
              <a16:creationId xmlns:a16="http://schemas.microsoft.com/office/drawing/2014/main" id="{00000000-0008-0000-0900-000003000000}"/>
            </a:ext>
          </a:extLst>
        </xdr:cNvPr>
        <xdr:cNvSpPr>
          <a:spLocks noChangeArrowheads="1"/>
        </xdr:cNvSpPr>
      </xdr:nvSpPr>
      <xdr:spPr bwMode="auto">
        <a:xfrm>
          <a:off x="14839950" y="504826"/>
          <a:ext cx="2771775" cy="304800"/>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rtl="0">
            <a:defRPr sz="1000"/>
          </a:pPr>
          <a:r>
            <a:rPr lang="sv-SE" sz="1100">
              <a:solidFill>
                <a:schemeClr val="dk1"/>
              </a:solidFill>
              <a:latin typeface="+mn-lt"/>
              <a:ea typeface="+mn-ea"/>
              <a:cs typeface="+mn-cs"/>
            </a:rPr>
            <a:t>Input data to the GET-model is marked as this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15</xdr:col>
      <xdr:colOff>257175</xdr:colOff>
      <xdr:row>2</xdr:row>
      <xdr:rowOff>9525</xdr:rowOff>
    </xdr:from>
    <xdr:to>
      <xdr:col>15</xdr:col>
      <xdr:colOff>2686050</xdr:colOff>
      <xdr:row>4</xdr:row>
      <xdr:rowOff>11430</xdr:rowOff>
    </xdr:to>
    <xdr:sp macro="" textlink="">
      <xdr:nvSpPr>
        <xdr:cNvPr id="2" name="Rectangle 105">
          <a:extLst>
            <a:ext uri="{FF2B5EF4-FFF2-40B4-BE49-F238E27FC236}">
              <a16:creationId xmlns:a16="http://schemas.microsoft.com/office/drawing/2014/main" id="{00000000-0008-0000-0700-000002000000}"/>
            </a:ext>
          </a:extLst>
        </xdr:cNvPr>
        <xdr:cNvSpPr>
          <a:spLocks noChangeArrowheads="1"/>
        </xdr:cNvSpPr>
      </xdr:nvSpPr>
      <xdr:spPr bwMode="auto">
        <a:xfrm>
          <a:off x="13096875" y="512445"/>
          <a:ext cx="2428875" cy="337185"/>
        </a:xfrm>
        <a:prstGeom prst="rect">
          <a:avLst/>
        </a:prstGeom>
        <a:solidFill>
          <a:schemeClr val="accent3"/>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rtl="0">
            <a:defRPr sz="1000"/>
          </a:pPr>
          <a:r>
            <a:rPr lang="sv-SE" sz="1100">
              <a:solidFill>
                <a:schemeClr val="dk1"/>
              </a:solidFill>
              <a:latin typeface="+mn-lt"/>
              <a:ea typeface="+mn-ea"/>
              <a:cs typeface="+mn-cs"/>
            </a:rPr>
            <a:t>All info is intended to be HHV-based. (HHV=Higher heating values)</a:t>
          </a:r>
        </a:p>
      </xdr:txBody>
    </xdr:sp>
    <xdr:clientData/>
  </xdr:twoCellAnchor>
  <xdr:twoCellAnchor>
    <xdr:from>
      <xdr:col>15</xdr:col>
      <xdr:colOff>2943225</xdr:colOff>
      <xdr:row>2</xdr:row>
      <xdr:rowOff>19051</xdr:rowOff>
    </xdr:from>
    <xdr:to>
      <xdr:col>15</xdr:col>
      <xdr:colOff>5715000</xdr:colOff>
      <xdr:row>4</xdr:row>
      <xdr:rowOff>1</xdr:rowOff>
    </xdr:to>
    <xdr:sp macro="" textlink="">
      <xdr:nvSpPr>
        <xdr:cNvPr id="3" name="Rectangle 105">
          <a:extLst>
            <a:ext uri="{FF2B5EF4-FFF2-40B4-BE49-F238E27FC236}">
              <a16:creationId xmlns:a16="http://schemas.microsoft.com/office/drawing/2014/main" id="{00000000-0008-0000-0700-000003000000}"/>
            </a:ext>
          </a:extLst>
        </xdr:cNvPr>
        <xdr:cNvSpPr>
          <a:spLocks noChangeArrowheads="1"/>
        </xdr:cNvSpPr>
      </xdr:nvSpPr>
      <xdr:spPr bwMode="auto">
        <a:xfrm>
          <a:off x="15782925" y="521971"/>
          <a:ext cx="2771775" cy="316230"/>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rtl="0">
            <a:defRPr sz="1000"/>
          </a:pPr>
          <a:r>
            <a:rPr lang="sv-SE" sz="1100">
              <a:solidFill>
                <a:schemeClr val="dk1"/>
              </a:solidFill>
              <a:latin typeface="+mn-lt"/>
              <a:ea typeface="+mn-ea"/>
              <a:cs typeface="+mn-cs"/>
            </a:rPr>
            <a:t>Input data to the GET-model is marked as this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594360</xdr:colOff>
      <xdr:row>1</xdr:row>
      <xdr:rowOff>22860</xdr:rowOff>
    </xdr:from>
    <xdr:to>
      <xdr:col>8</xdr:col>
      <xdr:colOff>289560</xdr:colOff>
      <xdr:row>15</xdr:row>
      <xdr:rowOff>99060</xdr:rowOff>
    </xdr:to>
    <xdr:graphicFrame macro="">
      <xdr:nvGraphicFramePr>
        <xdr:cNvPr id="32799" name="Chart 3">
          <a:extLst>
            <a:ext uri="{FF2B5EF4-FFF2-40B4-BE49-F238E27FC236}">
              <a16:creationId xmlns:a16="http://schemas.microsoft.com/office/drawing/2014/main" id="{00000000-0008-0000-0D00-00001F8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xdr:row>
      <xdr:rowOff>15240</xdr:rowOff>
    </xdr:from>
    <xdr:to>
      <xdr:col>16</xdr:col>
      <xdr:colOff>304800</xdr:colOff>
      <xdr:row>15</xdr:row>
      <xdr:rowOff>91440</xdr:rowOff>
    </xdr:to>
    <xdr:graphicFrame macro="">
      <xdr:nvGraphicFramePr>
        <xdr:cNvPr id="32800" name="Chart 4">
          <a:extLst>
            <a:ext uri="{FF2B5EF4-FFF2-40B4-BE49-F238E27FC236}">
              <a16:creationId xmlns:a16="http://schemas.microsoft.com/office/drawing/2014/main" id="{00000000-0008-0000-0D00-0000208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594360</xdr:colOff>
      <xdr:row>16</xdr:row>
      <xdr:rowOff>38100</xdr:rowOff>
    </xdr:from>
    <xdr:to>
      <xdr:col>8</xdr:col>
      <xdr:colOff>304800</xdr:colOff>
      <xdr:row>31</xdr:row>
      <xdr:rowOff>182880</xdr:rowOff>
    </xdr:to>
    <xdr:graphicFrame macro="">
      <xdr:nvGraphicFramePr>
        <xdr:cNvPr id="32801" name="Chart 3">
          <a:extLst>
            <a:ext uri="{FF2B5EF4-FFF2-40B4-BE49-F238E27FC236}">
              <a16:creationId xmlns:a16="http://schemas.microsoft.com/office/drawing/2014/main" id="{00000000-0008-0000-0D00-0000218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16</xdr:row>
      <xdr:rowOff>22860</xdr:rowOff>
    </xdr:from>
    <xdr:to>
      <xdr:col>16</xdr:col>
      <xdr:colOff>304800</xdr:colOff>
      <xdr:row>32</xdr:row>
      <xdr:rowOff>45720</xdr:rowOff>
    </xdr:to>
    <xdr:graphicFrame macro="">
      <xdr:nvGraphicFramePr>
        <xdr:cNvPr id="32802" name="Chart 4">
          <a:extLst>
            <a:ext uri="{FF2B5EF4-FFF2-40B4-BE49-F238E27FC236}">
              <a16:creationId xmlns:a16="http://schemas.microsoft.com/office/drawing/2014/main" id="{00000000-0008-0000-0D00-0000228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571500</xdr:colOff>
      <xdr:row>33</xdr:row>
      <xdr:rowOff>53340</xdr:rowOff>
    </xdr:from>
    <xdr:to>
      <xdr:col>8</xdr:col>
      <xdr:colOff>266700</xdr:colOff>
      <xdr:row>47</xdr:row>
      <xdr:rowOff>129540</xdr:rowOff>
    </xdr:to>
    <xdr:graphicFrame macro="">
      <xdr:nvGraphicFramePr>
        <xdr:cNvPr id="32803" name="Chart 3">
          <a:extLst>
            <a:ext uri="{FF2B5EF4-FFF2-40B4-BE49-F238E27FC236}">
              <a16:creationId xmlns:a16="http://schemas.microsoft.com/office/drawing/2014/main" id="{00000000-0008-0000-0D00-0000238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144780</xdr:colOff>
      <xdr:row>33</xdr:row>
      <xdr:rowOff>99060</xdr:rowOff>
    </xdr:from>
    <xdr:to>
      <xdr:col>16</xdr:col>
      <xdr:colOff>449580</xdr:colOff>
      <xdr:row>47</xdr:row>
      <xdr:rowOff>175260</xdr:rowOff>
    </xdr:to>
    <xdr:graphicFrame macro="">
      <xdr:nvGraphicFramePr>
        <xdr:cNvPr id="32804" name="Chart 4">
          <a:extLst>
            <a:ext uri="{FF2B5EF4-FFF2-40B4-BE49-F238E27FC236}">
              <a16:creationId xmlns:a16="http://schemas.microsoft.com/office/drawing/2014/main" id="{00000000-0008-0000-0D00-0000248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elmab/Box/Collaboration%20aviation%20fuels%20Brynolf,%20Gr&#246;nstedt,%20et%20al/Review%20article/aircraf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selmab/Box/Collaboration%20aviation%20fuels%20Brynolf,%20Gr&#246;nstedt,%20et%20al/Review%20article/Propulsion%20system%20cos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Users\selmab.NET\BoxSync\Team%20Maria%20G,%20Julia,%20Selma,%20Maria%20T%20(shared%20folder)\Conferences%20and%20articles\Reviewpaper%20efficiency%20and%20cost%20of%20electrofuels\Analysis\Data%20for%20electrofuels_v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
      <sheetName val="sizing"/>
      <sheetName val="trade studies-CH4-LR"/>
      <sheetName val="trade studies-LH2-LR"/>
      <sheetName val="trade studies-CH4_SMR"/>
      <sheetName val="trade studies-LH2-SMR"/>
      <sheetName val="Performance"/>
    </sheetNames>
    <sheetDataSet>
      <sheetData sheetId="0">
        <row r="3">
          <cell r="K3">
            <v>43.2</v>
          </cell>
        </row>
        <row r="4">
          <cell r="K4">
            <v>43.9</v>
          </cell>
        </row>
        <row r="6">
          <cell r="K6">
            <v>49.2</v>
          </cell>
        </row>
        <row r="8">
          <cell r="K8">
            <v>119.96</v>
          </cell>
        </row>
      </sheetData>
      <sheetData sheetId="1"/>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Engine costs"/>
    </sheetNames>
    <sheetDataSet>
      <sheetData sheetId="0">
        <row r="33">
          <cell r="F33">
            <v>36</v>
          </cell>
        </row>
      </sheetData>
      <sheetData sheetId="1">
        <row r="22">
          <cell r="M22">
            <v>24</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litterature review"/>
      <sheetName val="Hydrogen production"/>
      <sheetName val="H2 transposed"/>
      <sheetName val="CO2 generation"/>
      <sheetName val="Fuel synthesis"/>
      <sheetName val="Fuel syntheisis vs scale"/>
      <sheetName val=" E-fuels production"/>
      <sheetName val="Figure efuel cost"/>
      <sheetName val="Renewables in transport 2050"/>
      <sheetName val="Extra cost items"/>
      <sheetName val="Table 5"/>
      <sheetName val="Consumer price index"/>
      <sheetName val="Balancing chemical formulas"/>
      <sheetName val="Unit conversion"/>
      <sheetName val="References"/>
      <sheetName val="Extr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6">
          <cell r="B6">
            <v>1.3242793099140862</v>
          </cell>
        </row>
      </sheetData>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8" Type="http://schemas.openxmlformats.org/officeDocument/2006/relationships/hyperlink" Target="javascript:__doPostBack('GridView1','Sort$July')" TargetMode="External"/><Relationship Id="rId13" Type="http://schemas.openxmlformats.org/officeDocument/2006/relationships/hyperlink" Target="javascript:__doPostBack('GridView1','Sort$December')" TargetMode="External"/><Relationship Id="rId3" Type="http://schemas.openxmlformats.org/officeDocument/2006/relationships/hyperlink" Target="javascript:__doPostBack('GridView1','Sort$February')" TargetMode="External"/><Relationship Id="rId7" Type="http://schemas.openxmlformats.org/officeDocument/2006/relationships/hyperlink" Target="javascript:__doPostBack('GridView1','Sort$June')" TargetMode="External"/><Relationship Id="rId12" Type="http://schemas.openxmlformats.org/officeDocument/2006/relationships/hyperlink" Target="javascript:__doPostBack('GridView1','Sort$November')" TargetMode="External"/><Relationship Id="rId2" Type="http://schemas.openxmlformats.org/officeDocument/2006/relationships/hyperlink" Target="javascript:__doPostBack('GridView1','Sort$January')" TargetMode="External"/><Relationship Id="rId1" Type="http://schemas.openxmlformats.org/officeDocument/2006/relationships/hyperlink" Target="javascript:__doPostBack('GridView1','Sort$DataYear')" TargetMode="External"/><Relationship Id="rId6" Type="http://schemas.openxmlformats.org/officeDocument/2006/relationships/hyperlink" Target="javascript:__doPostBack('GridView1','Sort$May')" TargetMode="External"/><Relationship Id="rId11" Type="http://schemas.openxmlformats.org/officeDocument/2006/relationships/hyperlink" Target="javascript:__doPostBack('GridView1','Sort$October')" TargetMode="External"/><Relationship Id="rId5" Type="http://schemas.openxmlformats.org/officeDocument/2006/relationships/hyperlink" Target="javascript:__doPostBack('GridView1','Sort$April')" TargetMode="External"/><Relationship Id="rId10" Type="http://schemas.openxmlformats.org/officeDocument/2006/relationships/hyperlink" Target="javascript:__doPostBack('GridView1','Sort$September')" TargetMode="External"/><Relationship Id="rId4" Type="http://schemas.openxmlformats.org/officeDocument/2006/relationships/hyperlink" Target="javascript:__doPostBack('GridView1','Sort$March')" TargetMode="External"/><Relationship Id="rId9" Type="http://schemas.openxmlformats.org/officeDocument/2006/relationships/hyperlink" Target="javascript:__doPostBack('GridView1','Sort$August')" TargetMode="External"/><Relationship Id="rId14" Type="http://schemas.openxmlformats.org/officeDocument/2006/relationships/hyperlink" Target="javascript:__doPostBack('GridView1','Sort$Ave.')"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2.xml.rels><?xml version="1.0" encoding="UTF-8" standalone="yes"?>
<Relationships xmlns="http://schemas.openxmlformats.org/package/2006/relationships"><Relationship Id="rId1" Type="http://schemas.openxmlformats.org/officeDocument/2006/relationships/hyperlink" Target="https://www.ft.com/content/6e475f18-3c85-11e7-ac89-b01cc67cfeec"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76"/>
  <sheetViews>
    <sheetView workbookViewId="0">
      <pane xSplit="1" ySplit="3" topLeftCell="B4" activePane="bottomRight" state="frozen"/>
      <selection activeCell="A76" sqref="A76"/>
      <selection pane="topRight" activeCell="A76" sqref="A76"/>
      <selection pane="bottomLeft" activeCell="A76" sqref="A76"/>
      <selection pane="bottomRight" activeCell="F135" sqref="F135"/>
    </sheetView>
  </sheetViews>
  <sheetFormatPr defaultColWidth="8.81640625" defaultRowHeight="14.5" outlineLevelRow="1"/>
  <cols>
    <col min="1" max="1" width="43" customWidth="1"/>
    <col min="2" max="2" width="5.54296875" customWidth="1"/>
    <col min="3" max="3" width="5.1796875" bestFit="1" customWidth="1"/>
    <col min="4" max="4" width="5.453125" bestFit="1" customWidth="1"/>
    <col min="5" max="5" width="5.453125" customWidth="1"/>
    <col min="6" max="6" width="9.54296875" style="35" bestFit="1" customWidth="1"/>
    <col min="7" max="7" width="8.453125" style="35" bestFit="1" customWidth="1"/>
    <col min="8" max="8" width="9.54296875" style="35" bestFit="1" customWidth="1"/>
    <col min="9" max="9" width="10.54296875" style="35" bestFit="1" customWidth="1"/>
    <col min="10" max="10" width="13.453125" style="35" customWidth="1"/>
    <col min="11" max="11" width="7.1796875" style="35" bestFit="1" customWidth="1"/>
    <col min="12" max="12" width="15.453125" style="35" bestFit="1" customWidth="1"/>
    <col min="13" max="13" width="11.7265625" style="35" bestFit="1" customWidth="1"/>
    <col min="14" max="14" width="13.54296875" style="35" bestFit="1" customWidth="1"/>
    <col min="15" max="17" width="11.7265625" style="35" customWidth="1"/>
    <col min="18" max="18" width="14.54296875" customWidth="1"/>
    <col min="19" max="19" width="15.81640625" customWidth="1"/>
    <col min="20" max="20" width="37.453125" style="177" customWidth="1"/>
    <col min="21" max="21" width="134.54296875" bestFit="1" customWidth="1"/>
  </cols>
  <sheetData>
    <row r="1" spans="1:21">
      <c r="A1" s="39" t="s">
        <v>208</v>
      </c>
      <c r="B1" s="443" t="s">
        <v>210</v>
      </c>
      <c r="C1" s="443"/>
      <c r="D1" s="443"/>
      <c r="E1" s="443"/>
      <c r="F1" s="443"/>
      <c r="G1" s="443"/>
      <c r="H1" s="443"/>
      <c r="I1" s="443"/>
      <c r="J1" s="443"/>
      <c r="K1" s="164"/>
      <c r="L1" s="400"/>
      <c r="M1" s="400"/>
      <c r="N1" s="400"/>
      <c r="O1" s="400"/>
      <c r="P1" s="400"/>
      <c r="Q1" s="400"/>
      <c r="R1" s="446" t="s">
        <v>209</v>
      </c>
      <c r="S1" s="446"/>
      <c r="T1" s="446"/>
    </row>
    <row r="2" spans="1:21">
      <c r="A2" s="39"/>
      <c r="B2" s="444" t="s">
        <v>343</v>
      </c>
      <c r="C2" s="444"/>
      <c r="D2" s="444"/>
      <c r="E2" s="444"/>
      <c r="F2" s="445" t="s">
        <v>344</v>
      </c>
      <c r="G2" s="445"/>
      <c r="H2" s="445"/>
      <c r="I2" s="445"/>
      <c r="J2" s="163"/>
      <c r="K2" s="445" t="s">
        <v>346</v>
      </c>
      <c r="L2" s="445"/>
      <c r="M2" s="445"/>
      <c r="N2" s="445"/>
      <c r="O2" s="401" t="s">
        <v>578</v>
      </c>
      <c r="P2" s="401"/>
      <c r="Q2" s="401"/>
      <c r="R2" s="162"/>
      <c r="S2" s="162"/>
    </row>
    <row r="3" spans="1:21">
      <c r="B3" s="39" t="s">
        <v>347</v>
      </c>
      <c r="C3" s="402" t="s">
        <v>348</v>
      </c>
      <c r="D3" s="39" t="s">
        <v>340</v>
      </c>
      <c r="E3" s="39" t="s">
        <v>341</v>
      </c>
      <c r="F3" s="40" t="s">
        <v>236</v>
      </c>
      <c r="G3" s="40" t="s">
        <v>99</v>
      </c>
      <c r="H3" s="40" t="s">
        <v>85</v>
      </c>
      <c r="I3" s="403" t="s">
        <v>338</v>
      </c>
      <c r="J3" s="40" t="s">
        <v>345</v>
      </c>
      <c r="K3" s="40" t="s">
        <v>574</v>
      </c>
      <c r="L3" s="40" t="s">
        <v>575</v>
      </c>
      <c r="M3" s="40" t="s">
        <v>576</v>
      </c>
      <c r="N3" s="40" t="s">
        <v>577</v>
      </c>
      <c r="O3" s="40" t="s">
        <v>579</v>
      </c>
      <c r="P3" s="40" t="s">
        <v>580</v>
      </c>
      <c r="Q3" s="40"/>
      <c r="R3" s="39" t="s">
        <v>73</v>
      </c>
      <c r="S3" s="39" t="s">
        <v>74</v>
      </c>
      <c r="T3" s="165" t="s">
        <v>76</v>
      </c>
      <c r="U3" s="39" t="s">
        <v>75</v>
      </c>
    </row>
    <row r="4" spans="1:21">
      <c r="A4" s="52" t="s">
        <v>342</v>
      </c>
      <c r="B4" s="52"/>
      <c r="C4" s="52"/>
      <c r="D4" s="52"/>
      <c r="E4" s="52"/>
      <c r="F4" s="54"/>
      <c r="G4" s="54"/>
      <c r="H4" s="54"/>
      <c r="I4" s="54"/>
      <c r="J4" s="54"/>
      <c r="K4" s="54"/>
      <c r="L4" s="54"/>
      <c r="M4" s="54"/>
      <c r="N4" s="54"/>
      <c r="O4" s="54"/>
      <c r="P4" s="54"/>
      <c r="Q4" s="54"/>
      <c r="R4" s="53"/>
      <c r="S4" s="53"/>
      <c r="T4" s="178"/>
      <c r="U4" s="53"/>
    </row>
    <row r="5" spans="1:21">
      <c r="A5" t="s">
        <v>106</v>
      </c>
      <c r="F5" s="54">
        <v>2400</v>
      </c>
      <c r="G5" s="54">
        <v>11000</v>
      </c>
      <c r="H5" s="54">
        <v>23000</v>
      </c>
      <c r="I5" s="54">
        <v>20000</v>
      </c>
      <c r="J5" s="54"/>
      <c r="K5" s="54"/>
      <c r="L5" s="54"/>
      <c r="M5" s="54"/>
      <c r="N5" s="54"/>
      <c r="O5" s="54"/>
      <c r="P5" s="54"/>
      <c r="Q5" s="54"/>
      <c r="R5" s="53"/>
      <c r="S5" s="53"/>
      <c r="T5" s="178" t="s">
        <v>110</v>
      </c>
      <c r="U5" s="53" t="s">
        <v>201</v>
      </c>
    </row>
    <row r="6" spans="1:21">
      <c r="A6" t="s">
        <v>107</v>
      </c>
      <c r="F6" s="54">
        <f>4.5*1.5</f>
        <v>6.75</v>
      </c>
      <c r="G6" s="54">
        <f>20*1.5</f>
        <v>30</v>
      </c>
      <c r="H6" s="54">
        <f>10*1.5</f>
        <v>15</v>
      </c>
      <c r="I6" s="161">
        <v>0.25</v>
      </c>
      <c r="J6" s="54"/>
      <c r="K6" s="54"/>
      <c r="L6" s="54"/>
      <c r="M6" s="54"/>
      <c r="N6" s="54"/>
      <c r="O6" s="54"/>
      <c r="P6" s="54"/>
      <c r="Q6" s="54"/>
      <c r="R6" s="53"/>
      <c r="S6" s="53"/>
      <c r="T6" s="178" t="s">
        <v>200</v>
      </c>
      <c r="U6" s="53" t="s">
        <v>198</v>
      </c>
    </row>
    <row r="7" spans="1:21">
      <c r="A7" t="s">
        <v>112</v>
      </c>
      <c r="F7" s="54">
        <f>F6*24</f>
        <v>162</v>
      </c>
      <c r="G7" s="54">
        <f>G6*24</f>
        <v>720</v>
      </c>
      <c r="H7" s="54">
        <f>H6*24</f>
        <v>360</v>
      </c>
      <c r="I7" s="54">
        <v>12</v>
      </c>
      <c r="J7" s="54"/>
      <c r="K7" s="54"/>
      <c r="L7" s="54"/>
      <c r="M7" s="54"/>
      <c r="N7" s="54"/>
      <c r="O7" s="54"/>
      <c r="P7" s="54"/>
      <c r="Q7" s="54"/>
      <c r="R7" s="53"/>
      <c r="S7" s="53"/>
      <c r="T7" s="178"/>
      <c r="U7" s="53" t="s">
        <v>199</v>
      </c>
    </row>
    <row r="8" spans="1:21">
      <c r="A8" t="s">
        <v>108</v>
      </c>
      <c r="F8" s="54">
        <f>ROUNDUP(F7*F5*3.6/F51/10^3,-2)</f>
        <v>3500</v>
      </c>
      <c r="G8" s="54">
        <f>ROUNDUP(G7*G5*3.6/G51/10^3,-2)</f>
        <v>71300</v>
      </c>
      <c r="H8" s="54">
        <f>ROUNDUP(H7*H5*3.6/H51/10^3,-2)</f>
        <v>74600</v>
      </c>
      <c r="I8" s="54">
        <f>ROUNDUP(I7*I5*3.6/I51/10^3,-2)</f>
        <v>2200</v>
      </c>
      <c r="J8" s="54"/>
      <c r="K8" s="54"/>
      <c r="L8" s="54"/>
      <c r="M8" s="54"/>
      <c r="N8" s="54"/>
      <c r="O8" s="54"/>
      <c r="P8" s="54"/>
      <c r="Q8" s="54"/>
      <c r="R8" s="53"/>
      <c r="S8" s="53"/>
      <c r="T8" s="178"/>
      <c r="U8" s="53" t="s">
        <v>111</v>
      </c>
    </row>
    <row r="9" spans="1:21">
      <c r="A9" t="s">
        <v>336</v>
      </c>
      <c r="F9" s="54">
        <f>ROUNDUP(F7*F5*3.6/10^3,-2)</f>
        <v>1400</v>
      </c>
      <c r="G9" s="54">
        <f>ROUNDUP(G7*G5*3.6/10^3,-2)</f>
        <v>28600</v>
      </c>
      <c r="H9" s="54">
        <f>ROUNDUP(H7*H5*3.6/10^3,-2)</f>
        <v>29900</v>
      </c>
      <c r="I9" s="54">
        <f>ROUNDUP(I7*I5*3.6/10^3,-2)</f>
        <v>900</v>
      </c>
      <c r="J9" s="54"/>
      <c r="K9" s="54"/>
      <c r="L9" s="54"/>
      <c r="M9" s="54"/>
      <c r="N9" s="54"/>
      <c r="O9" s="54"/>
      <c r="P9" s="54"/>
      <c r="Q9" s="54"/>
      <c r="R9" s="53"/>
      <c r="S9" s="53"/>
      <c r="T9" s="178"/>
      <c r="U9" s="53"/>
    </row>
    <row r="10" spans="1:21">
      <c r="A10" t="s">
        <v>339</v>
      </c>
      <c r="F10" s="54">
        <f>F9/3.6</f>
        <v>388.88888888888886</v>
      </c>
      <c r="G10" s="54">
        <f>G9/3.6</f>
        <v>7944.4444444444443</v>
      </c>
      <c r="H10" s="54">
        <f>H9/3.6</f>
        <v>8305.5555555555547</v>
      </c>
      <c r="I10" s="54">
        <f>I9/3.6</f>
        <v>250</v>
      </c>
      <c r="J10" s="54"/>
      <c r="K10" s="54"/>
      <c r="L10" s="54"/>
      <c r="M10" s="54"/>
      <c r="N10" s="54"/>
      <c r="O10" s="54"/>
      <c r="P10" s="54"/>
      <c r="Q10" s="54"/>
      <c r="R10" s="53"/>
      <c r="S10" s="53"/>
      <c r="T10" s="178"/>
      <c r="U10" s="53"/>
    </row>
    <row r="11" spans="1:21">
      <c r="A11" t="s">
        <v>197</v>
      </c>
      <c r="F11" s="54">
        <f>F8/'Unit conversion'!$C$7</f>
        <v>87.281795511221944</v>
      </c>
      <c r="G11" s="54">
        <f>G8/'Unit conversion'!$C$7</f>
        <v>1778.0548628428928</v>
      </c>
      <c r="H11" s="54">
        <f>H8/'Unit conversion'!$C$7</f>
        <v>1860.3491271820449</v>
      </c>
      <c r="I11" s="54">
        <f>I8/'Unit conversion'!$C$7</f>
        <v>54.862842892768079</v>
      </c>
      <c r="J11" s="54"/>
      <c r="K11" s="54"/>
      <c r="L11" s="54"/>
      <c r="M11" s="54"/>
      <c r="N11" s="54"/>
      <c r="O11" s="54"/>
      <c r="P11" s="54"/>
      <c r="Q11" s="54"/>
      <c r="R11" s="53"/>
      <c r="S11" s="53"/>
      <c r="T11" s="178"/>
      <c r="U11" s="53" t="s">
        <v>111</v>
      </c>
    </row>
    <row r="12" spans="1:21">
      <c r="A12" t="s">
        <v>109</v>
      </c>
      <c r="F12" s="54">
        <v>30</v>
      </c>
      <c r="G12" s="54">
        <v>30</v>
      </c>
      <c r="H12" s="54">
        <v>30</v>
      </c>
      <c r="I12" s="54">
        <v>30</v>
      </c>
      <c r="J12" s="54"/>
      <c r="K12" s="54"/>
      <c r="L12" s="54"/>
      <c r="M12" s="54"/>
      <c r="N12" s="54"/>
      <c r="O12" s="54"/>
      <c r="P12" s="54"/>
      <c r="Q12" s="54"/>
      <c r="R12" s="53"/>
      <c r="S12" s="53"/>
      <c r="T12" s="178"/>
      <c r="U12" s="53"/>
    </row>
    <row r="13" spans="1:21">
      <c r="A13" s="52" t="s">
        <v>420</v>
      </c>
      <c r="B13" s="52"/>
      <c r="C13" s="52"/>
      <c r="D13" s="52"/>
      <c r="E13" s="52"/>
      <c r="F13" s="54"/>
      <c r="G13" s="54"/>
      <c r="H13" s="54"/>
      <c r="I13" s="54"/>
      <c r="J13" s="54"/>
      <c r="K13" s="54"/>
      <c r="L13" s="54"/>
      <c r="M13" s="54"/>
      <c r="N13" s="54"/>
      <c r="O13" s="54"/>
      <c r="P13" s="54"/>
      <c r="Q13" s="54"/>
      <c r="R13" s="53"/>
      <c r="S13" s="53"/>
      <c r="T13" s="178"/>
      <c r="U13" s="53"/>
    </row>
    <row r="14" spans="1:21">
      <c r="A14" t="s">
        <v>136</v>
      </c>
      <c r="F14" s="60">
        <f>$J$15</f>
        <v>0.1</v>
      </c>
      <c r="G14" s="60">
        <f>$J$15</f>
        <v>0.1</v>
      </c>
      <c r="H14" s="60">
        <f>$J$15</f>
        <v>0.1</v>
      </c>
      <c r="I14" s="60"/>
      <c r="J14" s="60">
        <f>$J$15</f>
        <v>0.1</v>
      </c>
      <c r="K14" s="60"/>
      <c r="L14" s="60"/>
      <c r="M14" s="60"/>
      <c r="N14" s="60"/>
      <c r="O14" s="60"/>
      <c r="P14" s="60"/>
      <c r="Q14" s="60"/>
      <c r="R14" s="53"/>
      <c r="S14" s="53"/>
      <c r="T14" s="178"/>
      <c r="U14" s="53"/>
    </row>
    <row r="15" spans="1:21" s="83" customFormat="1" outlineLevel="1">
      <c r="A15" s="83" t="s">
        <v>136</v>
      </c>
      <c r="F15" s="84"/>
      <c r="G15" s="84"/>
      <c r="H15" s="84"/>
      <c r="I15" s="84"/>
      <c r="J15" s="86">
        <f>R15</f>
        <v>0.1</v>
      </c>
      <c r="K15" s="86"/>
      <c r="L15" s="86"/>
      <c r="M15" s="86"/>
      <c r="N15" s="86"/>
      <c r="O15" s="86"/>
      <c r="P15" s="86"/>
      <c r="Q15" s="86"/>
      <c r="R15" s="83">
        <v>0.1</v>
      </c>
      <c r="S15" s="83" t="s">
        <v>157</v>
      </c>
      <c r="T15" s="179" t="s">
        <v>170</v>
      </c>
      <c r="U15" s="83" t="s">
        <v>90</v>
      </c>
    </row>
    <row r="16" spans="1:21" s="83" customFormat="1" outlineLevel="1">
      <c r="A16" s="83" t="s">
        <v>136</v>
      </c>
      <c r="F16" s="84"/>
      <c r="G16" s="84"/>
      <c r="H16" s="84"/>
      <c r="I16" s="84"/>
      <c r="J16" s="86">
        <v>0.3</v>
      </c>
      <c r="K16" s="86"/>
      <c r="L16" s="86"/>
      <c r="M16" s="86"/>
      <c r="N16" s="86"/>
      <c r="O16" s="86"/>
      <c r="P16" s="86"/>
      <c r="Q16" s="86"/>
      <c r="R16" s="83">
        <v>0.3</v>
      </c>
      <c r="S16" s="83" t="s">
        <v>157</v>
      </c>
      <c r="T16" s="179" t="s">
        <v>141</v>
      </c>
    </row>
    <row r="17" spans="1:21">
      <c r="A17" s="52" t="s">
        <v>97</v>
      </c>
      <c r="B17" s="52"/>
      <c r="C17" s="52"/>
      <c r="D17" s="52"/>
      <c r="E17" s="52"/>
      <c r="F17" s="54"/>
      <c r="G17" s="54"/>
      <c r="H17" s="54"/>
      <c r="I17" s="54"/>
      <c r="J17" s="54"/>
      <c r="K17" s="54"/>
      <c r="L17" s="54"/>
      <c r="M17" s="54"/>
      <c r="N17" s="54"/>
      <c r="O17" s="54"/>
      <c r="P17" s="54"/>
      <c r="Q17" s="54"/>
      <c r="R17" s="53"/>
      <c r="S17" s="53"/>
      <c r="T17" s="178"/>
      <c r="U17" s="53"/>
    </row>
    <row r="18" spans="1:21">
      <c r="A18" t="s">
        <v>273</v>
      </c>
      <c r="F18" s="54"/>
      <c r="G18" s="54"/>
      <c r="H18" s="54"/>
      <c r="I18" s="54"/>
      <c r="J18" s="54">
        <f>R18</f>
        <v>90</v>
      </c>
      <c r="K18" s="54"/>
      <c r="L18" s="54"/>
      <c r="M18" s="54"/>
      <c r="N18" s="54"/>
      <c r="O18" s="54"/>
      <c r="P18" s="54"/>
      <c r="Q18" s="54"/>
      <c r="R18" s="53">
        <v>90</v>
      </c>
      <c r="S18" s="53" t="s">
        <v>271</v>
      </c>
      <c r="T18" s="180" t="s">
        <v>176</v>
      </c>
      <c r="U18" s="53"/>
    </row>
    <row r="19" spans="1:21">
      <c r="A19" t="s">
        <v>274</v>
      </c>
      <c r="F19" s="54"/>
      <c r="G19" s="54"/>
      <c r="H19" s="54"/>
      <c r="I19" s="54"/>
      <c r="J19" s="54">
        <f>R19</f>
        <v>80</v>
      </c>
      <c r="K19" s="54"/>
      <c r="L19" s="54"/>
      <c r="M19" s="54"/>
      <c r="N19" s="54"/>
      <c r="O19" s="54"/>
      <c r="P19" s="54"/>
      <c r="Q19" s="54"/>
      <c r="R19" s="53">
        <v>80</v>
      </c>
      <c r="S19" s="53" t="s">
        <v>272</v>
      </c>
      <c r="T19" s="180" t="s">
        <v>176</v>
      </c>
      <c r="U19" s="53"/>
    </row>
    <row r="20" spans="1:21" s="53" customFormat="1">
      <c r="A20" s="53" t="s">
        <v>566</v>
      </c>
      <c r="B20" s="53">
        <f>B23</f>
        <v>44</v>
      </c>
      <c r="F20" s="54">
        <f>F25</f>
        <v>350</v>
      </c>
      <c r="G20" s="54">
        <f>G25</f>
        <v>350</v>
      </c>
      <c r="H20" s="54">
        <f>H25</f>
        <v>350</v>
      </c>
      <c r="I20" s="54"/>
      <c r="J20" s="54"/>
      <c r="K20" s="54"/>
      <c r="L20" s="54"/>
      <c r="M20" s="54"/>
      <c r="N20" s="54"/>
      <c r="O20" s="54"/>
      <c r="P20" s="54"/>
      <c r="Q20" s="54"/>
      <c r="R20" s="55"/>
    </row>
    <row r="21" spans="1:21" s="53" customFormat="1">
      <c r="A21" s="53" t="s">
        <v>567</v>
      </c>
      <c r="B21" s="53">
        <f>B24</f>
        <v>66</v>
      </c>
      <c r="F21" s="54"/>
      <c r="G21" s="54"/>
      <c r="H21" s="54"/>
      <c r="I21" s="54"/>
      <c r="J21" s="54"/>
      <c r="K21" s="54"/>
      <c r="L21" s="54"/>
      <c r="M21" s="54"/>
      <c r="N21" s="54"/>
      <c r="O21" s="54"/>
      <c r="P21" s="54"/>
      <c r="Q21" s="54"/>
      <c r="R21" s="55"/>
      <c r="T21" s="177"/>
    </row>
    <row r="22" spans="1:21" s="83" customFormat="1" outlineLevel="1">
      <c r="A22" s="83" t="s">
        <v>93</v>
      </c>
      <c r="F22" s="84">
        <v>700</v>
      </c>
      <c r="G22" s="84">
        <v>600</v>
      </c>
      <c r="H22" s="84">
        <v>500</v>
      </c>
      <c r="I22" s="84"/>
      <c r="J22" s="86"/>
      <c r="K22" s="86"/>
      <c r="L22" s="86"/>
      <c r="M22" s="86"/>
      <c r="N22" s="86"/>
      <c r="O22" s="86"/>
      <c r="P22" s="86"/>
      <c r="Q22" s="86"/>
      <c r="R22" s="83" t="s">
        <v>91</v>
      </c>
      <c r="S22" s="83" t="s">
        <v>77</v>
      </c>
      <c r="T22" s="179" t="s">
        <v>92</v>
      </c>
    </row>
    <row r="23" spans="1:21" s="83" customFormat="1" outlineLevel="1">
      <c r="A23" s="138" t="s">
        <v>566</v>
      </c>
      <c r="B23" s="83">
        <v>44</v>
      </c>
      <c r="F23" s="84"/>
      <c r="G23" s="84"/>
      <c r="H23" s="84"/>
      <c r="I23" s="84"/>
      <c r="J23" s="86"/>
      <c r="K23" s="86"/>
      <c r="L23" s="86"/>
      <c r="M23" s="86"/>
      <c r="N23" s="86"/>
      <c r="O23" s="86"/>
      <c r="P23" s="86"/>
      <c r="Q23" s="86"/>
      <c r="T23" s="177" t="s">
        <v>568</v>
      </c>
    </row>
    <row r="24" spans="1:21" s="83" customFormat="1" outlineLevel="1">
      <c r="A24" s="138" t="s">
        <v>567</v>
      </c>
      <c r="B24" s="83">
        <f>B23*1.5</f>
        <v>66</v>
      </c>
      <c r="F24" s="84"/>
      <c r="G24" s="84"/>
      <c r="H24" s="84"/>
      <c r="I24" s="84"/>
      <c r="J24" s="86"/>
      <c r="K24" s="86"/>
      <c r="L24" s="86"/>
      <c r="M24" s="86"/>
      <c r="N24" s="86"/>
      <c r="O24" s="86"/>
      <c r="P24" s="86"/>
      <c r="Q24" s="86"/>
      <c r="T24" s="179" t="s">
        <v>569</v>
      </c>
    </row>
    <row r="25" spans="1:21" s="83" customFormat="1" outlineLevel="1">
      <c r="A25" s="83" t="s">
        <v>93</v>
      </c>
      <c r="F25" s="84">
        <v>350</v>
      </c>
      <c r="G25" s="84">
        <v>350</v>
      </c>
      <c r="H25" s="84">
        <v>350</v>
      </c>
      <c r="I25" s="84"/>
      <c r="J25" s="86"/>
      <c r="K25" s="86"/>
      <c r="L25" s="86"/>
      <c r="M25" s="86"/>
      <c r="N25" s="86"/>
      <c r="O25" s="86"/>
      <c r="P25" s="86"/>
      <c r="Q25" s="86"/>
      <c r="R25" s="83">
        <v>400</v>
      </c>
      <c r="S25" s="83" t="s">
        <v>349</v>
      </c>
      <c r="T25" s="179" t="s">
        <v>350</v>
      </c>
      <c r="U25" s="83" t="s">
        <v>522</v>
      </c>
    </row>
    <row r="26" spans="1:21" s="83" customFormat="1" outlineLevel="1">
      <c r="A26" s="83" t="s">
        <v>93</v>
      </c>
      <c r="F26" s="84">
        <f>$R$26/'Cost conversion'!$B$60</f>
        <v>355.83550913838121</v>
      </c>
      <c r="G26" s="84">
        <f>$R$26/'Cost conversion'!$B$60</f>
        <v>355.83550913838121</v>
      </c>
      <c r="H26" s="84">
        <f>$R$26/'Cost conversion'!$B$60</f>
        <v>355.83550913838121</v>
      </c>
      <c r="I26" s="84"/>
      <c r="J26" s="86"/>
      <c r="K26" s="86"/>
      <c r="L26" s="86"/>
      <c r="M26" s="86"/>
      <c r="N26" s="86"/>
      <c r="O26" s="86"/>
      <c r="P26" s="86"/>
      <c r="Q26" s="86"/>
      <c r="R26" s="83">
        <v>400</v>
      </c>
      <c r="S26" s="83" t="s">
        <v>349</v>
      </c>
      <c r="T26" s="179" t="s">
        <v>350</v>
      </c>
      <c r="U26" s="83" t="s">
        <v>351</v>
      </c>
    </row>
    <row r="27" spans="1:21" s="83" customFormat="1" outlineLevel="1">
      <c r="A27" s="83" t="s">
        <v>93</v>
      </c>
      <c r="F27" s="84">
        <f>SUM(J28:J29)</f>
        <v>560</v>
      </c>
      <c r="G27" s="84"/>
      <c r="H27" s="84"/>
      <c r="I27" s="84"/>
      <c r="J27" s="86"/>
      <c r="K27" s="86"/>
      <c r="L27" s="86"/>
      <c r="M27" s="86"/>
      <c r="N27" s="86"/>
      <c r="O27" s="86"/>
      <c r="P27" s="86"/>
      <c r="Q27" s="86"/>
      <c r="T27" s="179" t="s">
        <v>141</v>
      </c>
    </row>
    <row r="28" spans="1:21" s="83" customFormat="1" outlineLevel="1">
      <c r="A28" s="83" t="s">
        <v>139</v>
      </c>
      <c r="F28" s="84"/>
      <c r="G28" s="84"/>
      <c r="H28" s="84"/>
      <c r="I28" s="84"/>
      <c r="J28" s="114">
        <f>R28*'Unit conversion'!$B$14</f>
        <v>240</v>
      </c>
      <c r="K28" s="114"/>
      <c r="L28" s="114"/>
      <c r="M28" s="114"/>
      <c r="N28" s="114"/>
      <c r="O28" s="114"/>
      <c r="P28" s="114"/>
      <c r="Q28" s="114"/>
      <c r="R28" s="83">
        <v>180</v>
      </c>
      <c r="S28" s="83" t="s">
        <v>138</v>
      </c>
      <c r="T28" s="179" t="s">
        <v>141</v>
      </c>
      <c r="U28" s="83" t="s">
        <v>150</v>
      </c>
    </row>
    <row r="29" spans="1:21" s="83" customFormat="1" outlineLevel="1">
      <c r="A29" s="83" t="s">
        <v>140</v>
      </c>
      <c r="F29" s="84"/>
      <c r="G29" s="84"/>
      <c r="H29" s="84"/>
      <c r="I29" s="84"/>
      <c r="J29" s="114">
        <f>R29*'Unit conversion'!$B$14</f>
        <v>320</v>
      </c>
      <c r="K29" s="114"/>
      <c r="L29" s="114"/>
      <c r="M29" s="114"/>
      <c r="N29" s="114"/>
      <c r="O29" s="114"/>
      <c r="P29" s="114"/>
      <c r="Q29" s="114"/>
      <c r="R29" s="83">
        <v>240</v>
      </c>
      <c r="S29" s="83" t="s">
        <v>137</v>
      </c>
      <c r="T29" s="179" t="s">
        <v>141</v>
      </c>
      <c r="U29" s="83" t="s">
        <v>149</v>
      </c>
    </row>
    <row r="30" spans="1:21" s="83" customFormat="1" outlineLevel="1">
      <c r="A30" s="83" t="s">
        <v>172</v>
      </c>
      <c r="F30" s="84"/>
      <c r="G30" s="84"/>
      <c r="H30" s="84"/>
      <c r="I30" s="84"/>
      <c r="J30" s="86"/>
      <c r="K30" s="86"/>
      <c r="L30" s="86"/>
      <c r="M30" s="86"/>
      <c r="N30" s="86"/>
      <c r="O30" s="86"/>
      <c r="P30" s="86"/>
      <c r="Q30" s="86"/>
      <c r="R30" s="83" t="s">
        <v>173</v>
      </c>
      <c r="S30" s="83" t="s">
        <v>116</v>
      </c>
      <c r="T30" s="179" t="s">
        <v>176</v>
      </c>
    </row>
    <row r="31" spans="1:21" s="53" customFormat="1">
      <c r="A31" s="53" t="s">
        <v>117</v>
      </c>
      <c r="F31" s="54">
        <f>F32</f>
        <v>370</v>
      </c>
      <c r="G31" s="54">
        <f>G32</f>
        <v>370</v>
      </c>
      <c r="H31" s="54">
        <f>H32</f>
        <v>370</v>
      </c>
      <c r="I31" s="54"/>
      <c r="J31" s="54"/>
      <c r="K31" s="54"/>
      <c r="L31" s="54"/>
      <c r="M31" s="54"/>
      <c r="N31" s="54"/>
      <c r="O31" s="54"/>
      <c r="P31" s="54"/>
      <c r="Q31" s="54"/>
      <c r="R31" s="55"/>
      <c r="T31" s="177"/>
    </row>
    <row r="32" spans="1:21" s="83" customFormat="1" outlineLevel="1">
      <c r="A32" s="83" t="s">
        <v>117</v>
      </c>
      <c r="F32" s="84">
        <f>F20+F33</f>
        <v>370</v>
      </c>
      <c r="G32" s="84">
        <f>G20+G33</f>
        <v>370</v>
      </c>
      <c r="H32" s="84">
        <f>H20+H33</f>
        <v>370</v>
      </c>
      <c r="I32" s="84"/>
      <c r="J32" s="86"/>
      <c r="K32" s="86"/>
      <c r="L32" s="86"/>
      <c r="M32" s="86"/>
      <c r="N32" s="86"/>
      <c r="O32" s="86"/>
      <c r="P32" s="86"/>
      <c r="Q32" s="86"/>
      <c r="T32" s="179"/>
    </row>
    <row r="33" spans="1:21" s="83" customFormat="1" outlineLevel="1">
      <c r="A33" s="83" t="s">
        <v>115</v>
      </c>
      <c r="F33" s="84">
        <f>J33</f>
        <v>20</v>
      </c>
      <c r="G33" s="84">
        <f>J33</f>
        <v>20</v>
      </c>
      <c r="H33" s="84">
        <f>J33</f>
        <v>20</v>
      </c>
      <c r="I33" s="84"/>
      <c r="J33" s="114">
        <v>20</v>
      </c>
      <c r="K33" s="114"/>
      <c r="L33" s="114"/>
      <c r="M33" s="114"/>
      <c r="N33" s="114"/>
      <c r="O33" s="114"/>
      <c r="P33" s="114"/>
      <c r="Q33" s="114"/>
      <c r="S33" s="83" t="s">
        <v>116</v>
      </c>
      <c r="T33" s="179" t="s">
        <v>92</v>
      </c>
    </row>
    <row r="34" spans="1:21" s="53" customFormat="1">
      <c r="A34" s="53" t="s">
        <v>100</v>
      </c>
      <c r="F34" s="54">
        <f>F20+F42</f>
        <v>500</v>
      </c>
      <c r="G34" s="54">
        <f>G20+G42</f>
        <v>500</v>
      </c>
      <c r="H34" s="54">
        <f>H20+H42</f>
        <v>500</v>
      </c>
      <c r="I34" s="54"/>
      <c r="J34" s="54"/>
      <c r="K34" s="54"/>
      <c r="L34" s="54"/>
      <c r="M34" s="54"/>
      <c r="N34" s="54"/>
      <c r="O34" s="54"/>
      <c r="P34" s="54"/>
      <c r="Q34" s="54"/>
      <c r="R34" s="55"/>
      <c r="T34" s="178"/>
    </row>
    <row r="35" spans="1:21" s="83" customFormat="1" outlineLevel="1">
      <c r="A35" s="83" t="s">
        <v>100</v>
      </c>
      <c r="F35" s="84">
        <f>F22*1.45</f>
        <v>1015</v>
      </c>
      <c r="G35" s="84">
        <f>G22*1.45</f>
        <v>870</v>
      </c>
      <c r="H35" s="84">
        <f>H22*1.45</f>
        <v>725</v>
      </c>
      <c r="I35" s="84"/>
      <c r="J35" s="84"/>
      <c r="K35" s="84"/>
      <c r="L35" s="84"/>
      <c r="M35" s="84"/>
      <c r="N35" s="84"/>
      <c r="O35" s="84"/>
      <c r="P35" s="84"/>
      <c r="Q35" s="84"/>
      <c r="R35" s="85" t="s">
        <v>118</v>
      </c>
      <c r="T35" s="179" t="s">
        <v>119</v>
      </c>
      <c r="U35" s="83" t="s">
        <v>120</v>
      </c>
    </row>
    <row r="36" spans="1:21" s="83" customFormat="1" outlineLevel="1">
      <c r="A36" s="83" t="s">
        <v>180</v>
      </c>
      <c r="F36" s="84">
        <f>J36</f>
        <v>906.66666666666652</v>
      </c>
      <c r="G36" s="84">
        <f>$F36*$G$22/$F$22</f>
        <v>777.142857142857</v>
      </c>
      <c r="H36" s="84">
        <f>$F36*$H$22/$F$22</f>
        <v>647.61904761904748</v>
      </c>
      <c r="I36" s="84"/>
      <c r="J36" s="84">
        <f>J38+J41</f>
        <v>906.66666666666652</v>
      </c>
      <c r="K36" s="84"/>
      <c r="L36" s="84"/>
      <c r="M36" s="84"/>
      <c r="N36" s="84"/>
      <c r="O36" s="84"/>
      <c r="P36" s="84"/>
      <c r="Q36" s="84"/>
      <c r="R36" s="85"/>
      <c r="T36" s="179" t="s">
        <v>141</v>
      </c>
      <c r="U36" s="83" t="s">
        <v>182</v>
      </c>
    </row>
    <row r="37" spans="1:21" s="83" customFormat="1" outlineLevel="1">
      <c r="A37" s="83" t="s">
        <v>181</v>
      </c>
      <c r="F37" s="84">
        <f>J37</f>
        <v>999.99999999999989</v>
      </c>
      <c r="G37" s="84">
        <f>$F37*$G$22/$F$22</f>
        <v>857.142857142857</v>
      </c>
      <c r="H37" s="84">
        <f>$F37*$H$22/$F$22</f>
        <v>714.28571428571422</v>
      </c>
      <c r="I37" s="84"/>
      <c r="J37" s="84">
        <f>J39+J41</f>
        <v>999.99999999999989</v>
      </c>
      <c r="K37" s="84"/>
      <c r="L37" s="84"/>
      <c r="M37" s="84"/>
      <c r="N37" s="84"/>
      <c r="O37" s="84"/>
      <c r="P37" s="84"/>
      <c r="Q37" s="84"/>
      <c r="R37" s="85"/>
      <c r="T37" s="179" t="s">
        <v>141</v>
      </c>
      <c r="U37" s="83" t="s">
        <v>182</v>
      </c>
    </row>
    <row r="38" spans="1:21" s="83" customFormat="1" outlineLevel="1">
      <c r="A38" s="83" t="s">
        <v>145</v>
      </c>
      <c r="F38" s="84"/>
      <c r="G38" s="84"/>
      <c r="H38" s="84"/>
      <c r="I38" s="84"/>
      <c r="J38" s="84">
        <f>R38*'Unit conversion'!$B$14</f>
        <v>373.33333333333331</v>
      </c>
      <c r="K38" s="84"/>
      <c r="L38" s="84"/>
      <c r="M38" s="84"/>
      <c r="N38" s="84"/>
      <c r="O38" s="84"/>
      <c r="P38" s="84"/>
      <c r="Q38" s="84"/>
      <c r="R38" s="85">
        <v>280</v>
      </c>
      <c r="S38" s="83" t="s">
        <v>138</v>
      </c>
      <c r="T38" s="179" t="s">
        <v>141</v>
      </c>
      <c r="U38" s="83" t="s">
        <v>149</v>
      </c>
    </row>
    <row r="39" spans="1:21" s="83" customFormat="1" outlineLevel="1">
      <c r="A39" s="83" t="s">
        <v>147</v>
      </c>
      <c r="F39" s="84"/>
      <c r="G39" s="84"/>
      <c r="H39" s="84"/>
      <c r="I39" s="84"/>
      <c r="J39" s="84">
        <f>R39*'Unit conversion'!$B$14</f>
        <v>466.66666666666663</v>
      </c>
      <c r="K39" s="84"/>
      <c r="L39" s="84"/>
      <c r="M39" s="84"/>
      <c r="N39" s="84"/>
      <c r="O39" s="84"/>
      <c r="P39" s="84"/>
      <c r="Q39" s="84"/>
      <c r="R39" s="85">
        <v>350</v>
      </c>
      <c r="S39" s="83" t="s">
        <v>138</v>
      </c>
      <c r="T39" s="179" t="s">
        <v>141</v>
      </c>
      <c r="U39" s="83" t="s">
        <v>149</v>
      </c>
    </row>
    <row r="40" spans="1:21" s="83" customFormat="1" outlineLevel="1">
      <c r="A40" s="83" t="s">
        <v>148</v>
      </c>
      <c r="F40" s="84"/>
      <c r="G40" s="84"/>
      <c r="H40" s="84"/>
      <c r="I40" s="84"/>
      <c r="J40" s="84">
        <f>R40*'Unit conversion'!$B$14</f>
        <v>466.66666666666663</v>
      </c>
      <c r="K40" s="84"/>
      <c r="L40" s="84"/>
      <c r="M40" s="84"/>
      <c r="N40" s="84"/>
      <c r="O40" s="84"/>
      <c r="P40" s="84"/>
      <c r="Q40" s="84"/>
      <c r="R40" s="85">
        <v>350</v>
      </c>
      <c r="S40" s="83" t="s">
        <v>138</v>
      </c>
      <c r="T40" s="179" t="s">
        <v>141</v>
      </c>
      <c r="U40" s="83" t="s">
        <v>149</v>
      </c>
    </row>
    <row r="41" spans="1:21" s="83" customFormat="1" outlineLevel="1">
      <c r="A41" s="83" t="s">
        <v>146</v>
      </c>
      <c r="F41" s="84"/>
      <c r="G41" s="84"/>
      <c r="H41" s="84"/>
      <c r="I41" s="84"/>
      <c r="J41" s="84">
        <f>R41*'Unit conversion'!$B$14</f>
        <v>533.33333333333326</v>
      </c>
      <c r="K41" s="84"/>
      <c r="L41" s="84"/>
      <c r="M41" s="84"/>
      <c r="N41" s="84"/>
      <c r="O41" s="84"/>
      <c r="P41" s="84"/>
      <c r="Q41" s="84"/>
      <c r="R41" s="85">
        <v>400</v>
      </c>
      <c r="S41" s="83" t="s">
        <v>137</v>
      </c>
      <c r="T41" s="179" t="s">
        <v>141</v>
      </c>
      <c r="U41" s="83" t="s">
        <v>149</v>
      </c>
    </row>
    <row r="42" spans="1:21" s="83" customFormat="1" outlineLevel="1">
      <c r="A42" s="83" t="s">
        <v>523</v>
      </c>
      <c r="F42" s="84">
        <v>150</v>
      </c>
      <c r="G42" s="84">
        <v>150</v>
      </c>
      <c r="H42" s="84">
        <v>150</v>
      </c>
      <c r="I42" s="84"/>
      <c r="J42" s="84"/>
      <c r="K42" s="84"/>
      <c r="L42" s="84"/>
      <c r="M42" s="84"/>
      <c r="N42" s="84"/>
      <c r="O42" s="84"/>
      <c r="P42" s="84"/>
      <c r="Q42" s="84"/>
      <c r="R42" s="85"/>
      <c r="T42" s="179" t="s">
        <v>524</v>
      </c>
    </row>
    <row r="43" spans="1:21">
      <c r="A43" t="s">
        <v>572</v>
      </c>
      <c r="B43">
        <f>B45</f>
        <v>49</v>
      </c>
      <c r="F43" s="54">
        <f>F48</f>
        <v>800</v>
      </c>
      <c r="G43" s="54">
        <f>G48</f>
        <v>600</v>
      </c>
      <c r="H43" s="54">
        <f>H48</f>
        <v>600</v>
      </c>
      <c r="I43" s="54"/>
      <c r="J43" s="54"/>
      <c r="K43" s="54"/>
      <c r="L43" s="54"/>
      <c r="M43" s="54"/>
      <c r="N43" s="54"/>
      <c r="O43" s="54"/>
      <c r="P43" s="54"/>
      <c r="Q43" s="54"/>
      <c r="R43" s="55"/>
      <c r="S43" s="53"/>
      <c r="T43" s="178"/>
      <c r="U43" s="53"/>
    </row>
    <row r="44" spans="1:21">
      <c r="A44" t="s">
        <v>573</v>
      </c>
      <c r="B44">
        <f>B43*1.5</f>
        <v>73.5</v>
      </c>
      <c r="F44" s="54"/>
      <c r="G44" s="54"/>
      <c r="H44" s="54"/>
      <c r="I44" s="54"/>
      <c r="J44" s="54"/>
      <c r="K44" s="54"/>
      <c r="L44" s="54"/>
      <c r="M44" s="54"/>
      <c r="N44" s="54"/>
      <c r="O44" s="54"/>
      <c r="P44" s="54"/>
      <c r="Q44" s="54"/>
      <c r="R44" s="55"/>
      <c r="S44" s="53"/>
      <c r="T44" s="179" t="s">
        <v>569</v>
      </c>
      <c r="U44" s="53"/>
    </row>
    <row r="45" spans="1:21">
      <c r="A45" s="83" t="s">
        <v>570</v>
      </c>
      <c r="B45">
        <f>B20+R45</f>
        <v>49</v>
      </c>
      <c r="F45" s="54"/>
      <c r="G45" s="54"/>
      <c r="H45" s="54"/>
      <c r="I45" s="54"/>
      <c r="J45" s="54"/>
      <c r="K45" s="54"/>
      <c r="L45" s="54"/>
      <c r="M45" s="54"/>
      <c r="N45" s="54"/>
      <c r="O45" s="54"/>
      <c r="P45" s="54"/>
      <c r="Q45" s="54"/>
      <c r="R45" s="55">
        <v>5</v>
      </c>
      <c r="S45" s="53"/>
      <c r="T45" s="179" t="s">
        <v>571</v>
      </c>
      <c r="U45" s="53"/>
    </row>
    <row r="46" spans="1:21" s="83" customFormat="1" outlineLevel="1">
      <c r="A46" s="83" t="s">
        <v>101</v>
      </c>
      <c r="F46" s="84">
        <f>F35</f>
        <v>1015</v>
      </c>
      <c r="G46" s="84">
        <f>G35</f>
        <v>870</v>
      </c>
      <c r="H46" s="84">
        <f>H35</f>
        <v>725</v>
      </c>
      <c r="I46" s="84"/>
      <c r="J46" s="84"/>
      <c r="K46" s="84"/>
      <c r="L46" s="84"/>
      <c r="M46" s="84"/>
      <c r="N46" s="84"/>
      <c r="O46" s="84"/>
      <c r="P46" s="84"/>
      <c r="Q46" s="84"/>
      <c r="R46" s="85" t="s">
        <v>121</v>
      </c>
      <c r="T46" s="179" t="s">
        <v>92</v>
      </c>
    </row>
    <row r="47" spans="1:21" s="83" customFormat="1" outlineLevel="1">
      <c r="A47" s="83" t="s">
        <v>101</v>
      </c>
      <c r="F47" s="84">
        <f>ROUNDUP( $R47/'Cost conversion'!$B$60,-2)</f>
        <v>600</v>
      </c>
      <c r="G47" s="84">
        <f>ROUNDUP( $R47/'Cost conversion'!$B$60,-2)</f>
        <v>600</v>
      </c>
      <c r="H47" s="84">
        <f>ROUNDUP( $R47/'Cost conversion'!$B$60,-2)</f>
        <v>600</v>
      </c>
      <c r="I47" s="84"/>
      <c r="J47" s="84"/>
      <c r="K47" s="84"/>
      <c r="L47" s="84"/>
      <c r="M47" s="84"/>
      <c r="N47" s="84"/>
      <c r="O47" s="84"/>
      <c r="P47" s="84"/>
      <c r="Q47" s="84"/>
      <c r="R47" s="83">
        <v>650</v>
      </c>
      <c r="S47" s="83" t="s">
        <v>349</v>
      </c>
      <c r="T47" s="179" t="s">
        <v>350</v>
      </c>
    </row>
    <row r="48" spans="1:21" s="83" customFormat="1" outlineLevel="1">
      <c r="A48" s="83" t="s">
        <v>101</v>
      </c>
      <c r="F48" s="84">
        <f>G48/J140</f>
        <v>800</v>
      </c>
      <c r="G48" s="84">
        <v>600</v>
      </c>
      <c r="H48" s="84">
        <f>ROUNDUP( R48/'Cost conversion'!$B$60,-2)</f>
        <v>600</v>
      </c>
      <c r="I48" s="84"/>
      <c r="J48" s="84"/>
      <c r="K48" s="84"/>
      <c r="L48" s="84"/>
      <c r="M48" s="84"/>
      <c r="N48" s="84"/>
      <c r="O48" s="84"/>
      <c r="P48" s="84"/>
      <c r="Q48" s="84"/>
      <c r="R48" s="83">
        <v>650</v>
      </c>
      <c r="S48" s="83" t="s">
        <v>349</v>
      </c>
      <c r="T48" s="179" t="s">
        <v>350</v>
      </c>
      <c r="U48" s="83" t="s">
        <v>526</v>
      </c>
    </row>
    <row r="49" spans="1:21" s="83" customFormat="1" outlineLevel="1">
      <c r="A49" s="83" t="s">
        <v>525</v>
      </c>
      <c r="F49" s="84">
        <v>200</v>
      </c>
      <c r="G49" s="84">
        <v>200</v>
      </c>
      <c r="H49" s="84">
        <v>200</v>
      </c>
      <c r="I49" s="84"/>
      <c r="J49" s="84"/>
      <c r="K49" s="84"/>
      <c r="L49" s="84"/>
      <c r="M49" s="84"/>
      <c r="N49" s="84"/>
      <c r="O49" s="84"/>
      <c r="P49" s="84"/>
      <c r="Q49" s="84"/>
      <c r="R49" s="85"/>
      <c r="T49" s="179" t="s">
        <v>524</v>
      </c>
    </row>
    <row r="50" spans="1:21">
      <c r="A50" t="s">
        <v>203</v>
      </c>
      <c r="F50" s="60">
        <f>F51</f>
        <v>0.4</v>
      </c>
      <c r="G50" s="60">
        <f>G51</f>
        <v>0.4</v>
      </c>
      <c r="H50" s="60">
        <f>H51</f>
        <v>0.4</v>
      </c>
      <c r="I50" s="60">
        <f>I51</f>
        <v>0.4</v>
      </c>
      <c r="J50" s="60">
        <f>J51</f>
        <v>0.4</v>
      </c>
      <c r="K50" s="60"/>
      <c r="L50" s="60"/>
      <c r="M50" s="60"/>
      <c r="N50" s="60"/>
      <c r="O50" s="60"/>
      <c r="P50" s="60"/>
      <c r="Q50" s="60"/>
      <c r="R50" s="53"/>
      <c r="S50" s="53"/>
      <c r="T50" s="178"/>
      <c r="U50" s="53"/>
    </row>
    <row r="51" spans="1:21" s="83" customFormat="1" outlineLevel="1">
      <c r="A51" s="83" t="s">
        <v>96</v>
      </c>
      <c r="F51" s="86">
        <f>J51</f>
        <v>0.4</v>
      </c>
      <c r="G51" s="86">
        <f>J51</f>
        <v>0.4</v>
      </c>
      <c r="H51" s="86">
        <f>J51</f>
        <v>0.4</v>
      </c>
      <c r="I51" s="86">
        <v>0.4</v>
      </c>
      <c r="J51" s="86">
        <v>0.4</v>
      </c>
      <c r="K51" s="86"/>
      <c r="L51" s="86"/>
      <c r="M51" s="86"/>
      <c r="N51" s="86"/>
      <c r="O51" s="86"/>
      <c r="P51" s="86"/>
      <c r="Q51" s="86"/>
      <c r="R51" s="85"/>
      <c r="T51" s="179" t="s">
        <v>95</v>
      </c>
      <c r="U51" s="83" t="s">
        <v>94</v>
      </c>
    </row>
    <row r="52" spans="1:21" s="83" customFormat="1" outlineLevel="1">
      <c r="A52" s="83" t="s">
        <v>202</v>
      </c>
      <c r="F52" s="84">
        <f>ROUND(3600/(F51*'Unit conversion'!$C$3),0)</f>
        <v>195</v>
      </c>
      <c r="G52" s="84">
        <f>ROUND(3600/(G51*'Unit conversion'!$C$3),0)</f>
        <v>195</v>
      </c>
      <c r="H52" s="84">
        <f>ROUND(3600/(H51*'Unit conversion'!$C$3),0)</f>
        <v>195</v>
      </c>
      <c r="I52" s="84"/>
      <c r="J52" s="84">
        <f>ROUND(3600/(J51*'Unit conversion'!$C$3),0)</f>
        <v>195</v>
      </c>
      <c r="K52" s="84"/>
      <c r="L52" s="84"/>
      <c r="M52" s="84"/>
      <c r="N52" s="84"/>
      <c r="O52" s="84"/>
      <c r="P52" s="84"/>
      <c r="Q52" s="84"/>
      <c r="R52" s="85"/>
      <c r="T52" s="179"/>
    </row>
    <row r="53" spans="1:21" s="83" customFormat="1" outlineLevel="1">
      <c r="A53" s="83" t="s">
        <v>96</v>
      </c>
      <c r="F53" s="86">
        <f>'Engine and fuel cell efficiency'!D29</f>
        <v>0.42735042735042739</v>
      </c>
      <c r="G53" s="86">
        <f>'Engine and fuel cell efficiency'!C29</f>
        <v>0.4504504504504504</v>
      </c>
      <c r="H53" s="86">
        <f>'Engine and fuel cell efficiency'!B29</f>
        <v>0.47619047619047616</v>
      </c>
      <c r="I53" s="86"/>
      <c r="J53" s="86"/>
      <c r="K53" s="86"/>
      <c r="L53" s="86"/>
      <c r="M53" s="86"/>
      <c r="N53" s="86"/>
      <c r="O53" s="86"/>
      <c r="P53" s="86"/>
      <c r="Q53" s="86"/>
      <c r="R53" s="85"/>
      <c r="T53" s="179" t="s">
        <v>282</v>
      </c>
    </row>
    <row r="54" spans="1:21" s="83" customFormat="1" outlineLevel="1">
      <c r="A54" s="83" t="s">
        <v>202</v>
      </c>
      <c r="F54" s="84">
        <f>3600/(F53*'Unit conversion'!$C$4)</f>
        <v>194.99999999999997</v>
      </c>
      <c r="G54" s="84">
        <f>3600/(G53*'Unit conversion'!$C$4)</f>
        <v>185</v>
      </c>
      <c r="H54" s="84">
        <f>3600/(H53*'Unit conversion'!$C$4)</f>
        <v>175</v>
      </c>
      <c r="I54" s="84"/>
      <c r="J54" s="84"/>
      <c r="K54" s="84"/>
      <c r="L54" s="84"/>
      <c r="M54" s="84"/>
      <c r="N54" s="84"/>
      <c r="O54" s="84"/>
      <c r="P54" s="84"/>
      <c r="Q54" s="84"/>
      <c r="R54" s="85" t="s">
        <v>283</v>
      </c>
      <c r="S54" s="83" t="s">
        <v>284</v>
      </c>
      <c r="T54" s="179" t="s">
        <v>282</v>
      </c>
      <c r="U54" s="83" t="s">
        <v>285</v>
      </c>
    </row>
    <row r="55" spans="1:21">
      <c r="A55" s="52" t="s">
        <v>98</v>
      </c>
      <c r="B55" s="52"/>
      <c r="C55" s="52"/>
      <c r="D55" s="52"/>
      <c r="E55" s="52"/>
      <c r="F55" s="54"/>
      <c r="G55" s="54"/>
      <c r="H55" s="54"/>
      <c r="I55" s="54"/>
      <c r="J55" s="54"/>
      <c r="K55" s="54"/>
      <c r="L55" s="54"/>
      <c r="M55" s="54"/>
      <c r="N55" s="54"/>
      <c r="O55" s="54"/>
      <c r="P55" s="54"/>
      <c r="Q55" s="54"/>
      <c r="R55" s="53" t="s">
        <v>71</v>
      </c>
      <c r="T55" s="178"/>
      <c r="U55" s="53"/>
    </row>
    <row r="56" spans="1:21">
      <c r="A56" t="s">
        <v>44</v>
      </c>
      <c r="F56" s="54"/>
      <c r="G56" s="54"/>
      <c r="H56" s="54"/>
      <c r="I56" s="54"/>
      <c r="J56" s="54"/>
      <c r="K56" s="54"/>
      <c r="L56" s="54"/>
      <c r="M56" s="54"/>
      <c r="N56" s="54"/>
      <c r="O56" s="54"/>
      <c r="P56" s="54"/>
      <c r="Q56" s="54"/>
      <c r="R56" s="53"/>
      <c r="S56" s="53"/>
      <c r="T56" s="178"/>
      <c r="U56" s="53"/>
    </row>
    <row r="57" spans="1:21">
      <c r="A57" t="s">
        <v>45</v>
      </c>
      <c r="F57" s="54"/>
      <c r="G57" s="54"/>
      <c r="H57" s="54"/>
      <c r="I57" s="54"/>
      <c r="J57" s="54"/>
      <c r="K57" s="54"/>
      <c r="L57" s="54"/>
      <c r="M57" s="54"/>
      <c r="N57" s="54"/>
      <c r="O57" s="54"/>
      <c r="P57" s="54"/>
      <c r="Q57" s="54"/>
      <c r="R57" s="53"/>
      <c r="S57" s="53"/>
      <c r="T57" s="178"/>
      <c r="U57" s="53"/>
    </row>
    <row r="58" spans="1:21">
      <c r="A58" t="s">
        <v>48</v>
      </c>
      <c r="F58" s="54"/>
      <c r="G58" s="54"/>
      <c r="H58" s="54"/>
      <c r="I58" s="54"/>
      <c r="J58" s="54"/>
      <c r="K58" s="54"/>
      <c r="L58" s="54"/>
      <c r="M58" s="54"/>
      <c r="N58" s="54"/>
      <c r="O58" s="54"/>
      <c r="P58" s="54"/>
      <c r="Q58" s="54"/>
      <c r="R58" s="53"/>
      <c r="S58" s="53"/>
      <c r="T58" s="178"/>
      <c r="U58" s="53"/>
    </row>
    <row r="59" spans="1:21">
      <c r="A59" t="s">
        <v>549</v>
      </c>
      <c r="F59" s="54"/>
      <c r="G59" s="54"/>
      <c r="H59" s="54"/>
      <c r="I59" s="54"/>
      <c r="J59" s="54"/>
      <c r="K59" s="54"/>
      <c r="L59" s="54"/>
      <c r="M59" s="54"/>
      <c r="N59" s="54"/>
      <c r="O59" s="54"/>
      <c r="P59" s="54"/>
      <c r="Q59" s="54"/>
      <c r="R59" s="53">
        <v>0.9</v>
      </c>
      <c r="S59" s="53"/>
      <c r="T59" s="178" t="s">
        <v>550</v>
      </c>
      <c r="U59" s="53"/>
    </row>
    <row r="60" spans="1:21">
      <c r="F60" s="54"/>
      <c r="G60" s="54"/>
      <c r="H60" s="54"/>
      <c r="I60" s="54"/>
      <c r="J60" s="54"/>
      <c r="K60" s="54"/>
      <c r="L60" s="54"/>
      <c r="M60" s="54"/>
      <c r="N60" s="54"/>
      <c r="O60" s="54"/>
      <c r="P60" s="54"/>
      <c r="Q60" s="54"/>
      <c r="R60" s="53"/>
      <c r="S60" s="53"/>
      <c r="T60" s="178"/>
      <c r="U60" s="53"/>
    </row>
    <row r="61" spans="1:21">
      <c r="A61" t="s">
        <v>273</v>
      </c>
      <c r="F61" s="54"/>
      <c r="G61" s="54"/>
      <c r="H61" s="54"/>
      <c r="I61" s="54"/>
      <c r="J61" s="54">
        <f>R61</f>
        <v>15</v>
      </c>
      <c r="K61" s="54"/>
      <c r="L61" s="54"/>
      <c r="M61" s="54"/>
      <c r="N61" s="54"/>
      <c r="O61" s="54"/>
      <c r="P61" s="54"/>
      <c r="Q61" s="54"/>
      <c r="R61" s="53">
        <v>15</v>
      </c>
      <c r="S61" s="53" t="s">
        <v>271</v>
      </c>
      <c r="T61" s="180" t="s">
        <v>176</v>
      </c>
      <c r="U61" s="53"/>
    </row>
    <row r="62" spans="1:21">
      <c r="A62" t="s">
        <v>274</v>
      </c>
      <c r="F62" s="54"/>
      <c r="G62" s="54"/>
      <c r="H62" s="54"/>
      <c r="I62" s="54"/>
      <c r="J62" s="54">
        <f>R62</f>
        <v>3</v>
      </c>
      <c r="K62" s="54"/>
      <c r="L62" s="54"/>
      <c r="M62" s="54"/>
      <c r="N62" s="54"/>
      <c r="O62" s="54"/>
      <c r="P62" s="54"/>
      <c r="Q62" s="54"/>
      <c r="R62" s="53">
        <v>3</v>
      </c>
      <c r="S62" s="53" t="s">
        <v>272</v>
      </c>
      <c r="T62" s="180" t="s">
        <v>176</v>
      </c>
      <c r="U62" s="53"/>
    </row>
    <row r="63" spans="1:21">
      <c r="A63" t="s">
        <v>123</v>
      </c>
      <c r="F63" s="54">
        <f>F72</f>
        <v>889.58877284595303</v>
      </c>
      <c r="G63" s="54">
        <f>G72</f>
        <v>889.58877284595303</v>
      </c>
      <c r="H63" s="54">
        <f>G63</f>
        <v>889.58877284595303</v>
      </c>
      <c r="I63" s="54"/>
      <c r="J63" s="54"/>
      <c r="K63" s="54"/>
      <c r="L63" s="54"/>
      <c r="M63" s="54"/>
      <c r="N63" s="54"/>
      <c r="O63" s="54"/>
      <c r="P63" s="54"/>
      <c r="Q63" s="54"/>
      <c r="R63" s="53"/>
      <c r="S63" s="53"/>
      <c r="T63" s="178"/>
      <c r="U63" s="53"/>
    </row>
    <row r="64" spans="1:21" s="83" customFormat="1" outlineLevel="1">
      <c r="A64" s="83" t="s">
        <v>123</v>
      </c>
      <c r="F64" s="84">
        <v>2000</v>
      </c>
      <c r="G64" s="84">
        <v>2000</v>
      </c>
      <c r="H64" s="84">
        <v>2000</v>
      </c>
      <c r="I64" s="84"/>
      <c r="J64" s="84"/>
      <c r="K64" s="84"/>
      <c r="L64" s="84"/>
      <c r="M64" s="84"/>
      <c r="N64" s="84"/>
      <c r="O64" s="84"/>
      <c r="P64" s="84"/>
      <c r="Q64" s="84"/>
      <c r="R64" s="85" t="s">
        <v>174</v>
      </c>
      <c r="S64" s="83" t="s">
        <v>116</v>
      </c>
      <c r="T64" s="179" t="s">
        <v>122</v>
      </c>
      <c r="U64" s="83" t="s">
        <v>175</v>
      </c>
    </row>
    <row r="65" spans="1:21" s="83" customFormat="1" outlineLevel="1">
      <c r="A65" s="83" t="s">
        <v>123</v>
      </c>
      <c r="F65" s="84">
        <f>R65</f>
        <v>1500</v>
      </c>
      <c r="G65" s="84">
        <f>R65</f>
        <v>1500</v>
      </c>
      <c r="H65" s="84">
        <f>R65</f>
        <v>1500</v>
      </c>
      <c r="I65" s="84"/>
      <c r="J65" s="84"/>
      <c r="K65" s="84"/>
      <c r="L65" s="84"/>
      <c r="M65" s="84"/>
      <c r="N65" s="84"/>
      <c r="O65" s="84"/>
      <c r="P65" s="84"/>
      <c r="Q65" s="84"/>
      <c r="R65" s="85">
        <v>1500</v>
      </c>
      <c r="S65" s="83" t="s">
        <v>116</v>
      </c>
      <c r="T65" s="179" t="s">
        <v>176</v>
      </c>
      <c r="U65" s="83" t="s">
        <v>171</v>
      </c>
    </row>
    <row r="66" spans="1:21" s="83" customFormat="1" outlineLevel="1">
      <c r="A66" s="83" t="s">
        <v>123</v>
      </c>
      <c r="F66" s="84">
        <f>R66</f>
        <v>3000</v>
      </c>
      <c r="G66" s="84">
        <f>R66</f>
        <v>3000</v>
      </c>
      <c r="H66" s="84">
        <f>R66</f>
        <v>3000</v>
      </c>
      <c r="I66" s="84"/>
      <c r="J66" s="84"/>
      <c r="K66" s="84"/>
      <c r="L66" s="84"/>
      <c r="M66" s="84"/>
      <c r="N66" s="84"/>
      <c r="O66" s="84"/>
      <c r="P66" s="84"/>
      <c r="Q66" s="84"/>
      <c r="R66" s="85">
        <v>3000</v>
      </c>
      <c r="S66" s="83" t="s">
        <v>116</v>
      </c>
      <c r="T66" s="179" t="s">
        <v>176</v>
      </c>
      <c r="U66" s="83" t="s">
        <v>268</v>
      </c>
    </row>
    <row r="67" spans="1:21" s="83" customFormat="1" outlineLevel="1">
      <c r="A67" s="83" t="s">
        <v>239</v>
      </c>
      <c r="F67" s="84">
        <f>$J$67</f>
        <v>6700</v>
      </c>
      <c r="G67" s="84">
        <f>$J$67</f>
        <v>6700</v>
      </c>
      <c r="H67" s="84">
        <f>$J$67</f>
        <v>6700</v>
      </c>
      <c r="I67" s="84"/>
      <c r="J67" s="84">
        <f>ROUND(R67*'Unit conversion'!$B$14,-2)</f>
        <v>6700</v>
      </c>
      <c r="K67" s="84"/>
      <c r="L67" s="84"/>
      <c r="M67" s="84"/>
      <c r="N67" s="84"/>
      <c r="O67" s="84"/>
      <c r="P67" s="84"/>
      <c r="Q67" s="84"/>
      <c r="R67" s="85">
        <v>5000</v>
      </c>
      <c r="S67" s="83" t="s">
        <v>77</v>
      </c>
      <c r="T67" s="179" t="s">
        <v>231</v>
      </c>
      <c r="U67" s="83" t="s">
        <v>242</v>
      </c>
    </row>
    <row r="68" spans="1:21" s="83" customFormat="1" outlineLevel="1">
      <c r="A68" s="83" t="s">
        <v>240</v>
      </c>
      <c r="F68" s="84">
        <f>$J$68</f>
        <v>2000</v>
      </c>
      <c r="G68" s="84">
        <f>$J$68</f>
        <v>2000</v>
      </c>
      <c r="H68" s="84">
        <f>$J$68</f>
        <v>2000</v>
      </c>
      <c r="I68" s="84"/>
      <c r="J68" s="84">
        <f>ROUND(R68*'Unit conversion'!$B$14,-2)</f>
        <v>2000</v>
      </c>
      <c r="K68" s="84"/>
      <c r="L68" s="84"/>
      <c r="M68" s="84"/>
      <c r="N68" s="84"/>
      <c r="O68" s="84"/>
      <c r="P68" s="84"/>
      <c r="Q68" s="84"/>
      <c r="R68" s="85">
        <v>1500</v>
      </c>
      <c r="S68" s="83" t="s">
        <v>77</v>
      </c>
      <c r="T68" s="179" t="s">
        <v>231</v>
      </c>
    </row>
    <row r="69" spans="1:21" s="83" customFormat="1" outlineLevel="1">
      <c r="A69" s="83" t="s">
        <v>316</v>
      </c>
      <c r="F69" s="84">
        <f t="shared" ref="F69:H70" si="0">$J$69</f>
        <v>4000</v>
      </c>
      <c r="G69" s="84">
        <f t="shared" si="0"/>
        <v>4000</v>
      </c>
      <c r="H69" s="84">
        <f t="shared" si="0"/>
        <v>4000</v>
      </c>
      <c r="I69" s="84"/>
      <c r="J69" s="84">
        <v>4000</v>
      </c>
      <c r="K69" s="84"/>
      <c r="L69" s="84"/>
      <c r="M69" s="84"/>
      <c r="N69" s="84"/>
      <c r="O69" s="84"/>
      <c r="P69" s="84"/>
      <c r="Q69" s="84"/>
      <c r="R69" s="85"/>
      <c r="T69" s="179"/>
    </row>
    <row r="70" spans="1:21" s="83" customFormat="1" outlineLevel="1">
      <c r="A70" s="83" t="s">
        <v>316</v>
      </c>
      <c r="F70" s="84">
        <f t="shared" si="0"/>
        <v>4000</v>
      </c>
      <c r="G70" s="84">
        <f t="shared" si="0"/>
        <v>4000</v>
      </c>
      <c r="H70" s="84">
        <f t="shared" si="0"/>
        <v>4000</v>
      </c>
      <c r="I70" s="84"/>
      <c r="J70" s="84">
        <v>4000</v>
      </c>
      <c r="K70" s="84"/>
      <c r="L70" s="84"/>
      <c r="M70" s="84"/>
      <c r="N70" s="84"/>
      <c r="O70" s="84"/>
      <c r="P70" s="84"/>
      <c r="Q70" s="84"/>
      <c r="R70" s="85"/>
      <c r="T70" s="179"/>
    </row>
    <row r="71" spans="1:21" s="83" customFormat="1" outlineLevel="1">
      <c r="A71" s="83" t="s">
        <v>123</v>
      </c>
      <c r="F71" s="84">
        <f>$J$71</f>
        <v>4500</v>
      </c>
      <c r="G71" s="84">
        <f>$J$71</f>
        <v>4500</v>
      </c>
      <c r="H71" s="84">
        <f>$J$71</f>
        <v>4500</v>
      </c>
      <c r="I71" s="84"/>
      <c r="J71" s="84">
        <v>4500</v>
      </c>
      <c r="K71" s="84"/>
      <c r="L71" s="84"/>
      <c r="M71" s="84"/>
      <c r="N71" s="84"/>
      <c r="O71" s="84"/>
      <c r="P71" s="84"/>
      <c r="Q71" s="84"/>
      <c r="R71" s="85"/>
      <c r="T71" s="179"/>
    </row>
    <row r="72" spans="1:21" s="83" customFormat="1" outlineLevel="1">
      <c r="A72" s="83" t="s">
        <v>412</v>
      </c>
      <c r="F72" s="84">
        <f>$R72/'Cost conversion'!$B$60</f>
        <v>889.58877284595303</v>
      </c>
      <c r="G72" s="84">
        <f>$R72/'Cost conversion'!$B$60</f>
        <v>889.58877284595303</v>
      </c>
      <c r="H72" s="84">
        <f>$R72/'Cost conversion'!$B$60</f>
        <v>889.58877284595303</v>
      </c>
      <c r="I72" s="84"/>
      <c r="J72" s="84"/>
      <c r="K72" s="84"/>
      <c r="L72" s="84"/>
      <c r="M72" s="84"/>
      <c r="N72" s="84"/>
      <c r="O72" s="84"/>
      <c r="P72" s="84"/>
      <c r="Q72" s="84"/>
      <c r="R72" s="85">
        <v>1000</v>
      </c>
      <c r="S72" s="83" t="s">
        <v>410</v>
      </c>
      <c r="T72" s="179" t="s">
        <v>350</v>
      </c>
      <c r="U72" s="83" t="s">
        <v>351</v>
      </c>
    </row>
    <row r="73" spans="1:21" s="83" customFormat="1" outlineLevel="1">
      <c r="A73" s="83" t="s">
        <v>488</v>
      </c>
      <c r="F73" s="84"/>
      <c r="G73" s="84"/>
      <c r="H73" s="84"/>
      <c r="I73" s="84"/>
      <c r="J73" s="84"/>
      <c r="K73" s="84"/>
      <c r="L73" s="84"/>
      <c r="M73" s="84"/>
      <c r="N73" s="84"/>
      <c r="O73" s="84"/>
      <c r="P73" s="84"/>
      <c r="Q73" s="84"/>
      <c r="R73" s="85">
        <v>43</v>
      </c>
      <c r="S73" s="83" t="s">
        <v>416</v>
      </c>
      <c r="T73" s="83" t="s">
        <v>417</v>
      </c>
      <c r="U73" s="83" t="s">
        <v>418</v>
      </c>
    </row>
    <row r="74" spans="1:21" s="83" customFormat="1" outlineLevel="1">
      <c r="A74" s="83" t="s">
        <v>488</v>
      </c>
      <c r="F74" s="84"/>
      <c r="G74" s="84"/>
      <c r="H74" s="84"/>
      <c r="I74" s="84"/>
      <c r="J74" s="84"/>
      <c r="K74" s="84"/>
      <c r="L74" s="84"/>
      <c r="M74" s="84"/>
      <c r="N74" s="84"/>
      <c r="O74" s="84"/>
      <c r="P74" s="84"/>
      <c r="Q74" s="84"/>
      <c r="R74" s="85">
        <v>36</v>
      </c>
      <c r="S74" s="83" t="s">
        <v>416</v>
      </c>
      <c r="T74" s="83" t="s">
        <v>417</v>
      </c>
      <c r="U74" s="83" t="s">
        <v>419</v>
      </c>
    </row>
    <row r="75" spans="1:21" s="83" customFormat="1" outlineLevel="1">
      <c r="A75" s="83" t="s">
        <v>493</v>
      </c>
      <c r="F75" s="84"/>
      <c r="G75" s="84"/>
      <c r="H75" s="84"/>
      <c r="I75" s="84"/>
      <c r="J75" s="84"/>
      <c r="K75" s="84"/>
      <c r="L75" s="84"/>
      <c r="M75" s="84"/>
      <c r="N75" s="84"/>
      <c r="O75" s="84"/>
      <c r="P75" s="84"/>
      <c r="Q75" s="84"/>
      <c r="R75" s="85">
        <v>215</v>
      </c>
      <c r="S75" s="83" t="s">
        <v>489</v>
      </c>
      <c r="T75" s="83" t="s">
        <v>491</v>
      </c>
    </row>
    <row r="76" spans="1:21" s="83" customFormat="1" outlineLevel="1">
      <c r="A76" s="83" t="s">
        <v>492</v>
      </c>
      <c r="F76" s="84"/>
      <c r="G76" s="84"/>
      <c r="H76" s="84"/>
      <c r="I76" s="84"/>
      <c r="J76" s="84"/>
      <c r="K76" s="84"/>
      <c r="L76" s="84"/>
      <c r="M76" s="84"/>
      <c r="N76" s="84"/>
      <c r="O76" s="84"/>
      <c r="P76" s="84"/>
      <c r="Q76" s="84"/>
      <c r="R76" s="85">
        <v>50</v>
      </c>
      <c r="S76" s="83" t="s">
        <v>489</v>
      </c>
      <c r="T76" s="83" t="s">
        <v>491</v>
      </c>
    </row>
    <row r="77" spans="1:21" s="83" customFormat="1" outlineLevel="1">
      <c r="A77" s="83" t="s">
        <v>518</v>
      </c>
      <c r="F77" s="84"/>
      <c r="G77" s="84"/>
      <c r="H77" s="84"/>
      <c r="I77" s="84"/>
      <c r="J77" s="84"/>
      <c r="K77" s="84"/>
      <c r="L77" s="84"/>
      <c r="M77" s="84"/>
      <c r="N77" s="84"/>
      <c r="O77" s="84"/>
      <c r="P77" s="84"/>
      <c r="Q77" s="84"/>
      <c r="R77" s="85">
        <v>439</v>
      </c>
      <c r="S77" s="83" t="s">
        <v>489</v>
      </c>
      <c r="T77" s="83" t="s">
        <v>491</v>
      </c>
    </row>
    <row r="78" spans="1:21" s="83" customFormat="1" outlineLevel="1">
      <c r="A78" s="83" t="s">
        <v>519</v>
      </c>
      <c r="F78" s="84"/>
      <c r="G78" s="84"/>
      <c r="H78" s="84"/>
      <c r="I78" s="84"/>
      <c r="J78" s="84"/>
      <c r="K78" s="84"/>
      <c r="L78" s="84"/>
      <c r="M78" s="84"/>
      <c r="N78" s="84"/>
      <c r="O78" s="84"/>
      <c r="P78" s="84"/>
      <c r="Q78" s="84"/>
      <c r="R78" s="85">
        <v>272</v>
      </c>
      <c r="S78" s="83" t="s">
        <v>489</v>
      </c>
      <c r="T78" s="83" t="s">
        <v>491</v>
      </c>
    </row>
    <row r="79" spans="1:21" s="83" customFormat="1" outlineLevel="1">
      <c r="A79" s="83" t="s">
        <v>533</v>
      </c>
      <c r="F79" s="84"/>
      <c r="G79" s="84">
        <f>J79</f>
        <v>2050.681082313597</v>
      </c>
      <c r="H79" s="84"/>
      <c r="I79" s="84"/>
      <c r="J79" s="84">
        <f>R79*'Cost conversion'!B62*'Cost conversion'!B57</f>
        <v>2050.681082313597</v>
      </c>
      <c r="K79" s="84"/>
      <c r="L79" s="84"/>
      <c r="M79" s="84"/>
      <c r="N79" s="84"/>
      <c r="O79" s="84"/>
      <c r="P79" s="84"/>
      <c r="Q79" s="84"/>
      <c r="R79" s="85">
        <v>1692</v>
      </c>
      <c r="S79" s="83" t="s">
        <v>534</v>
      </c>
      <c r="T79" s="83" t="s">
        <v>535</v>
      </c>
    </row>
    <row r="80" spans="1:21">
      <c r="A80" t="s">
        <v>204</v>
      </c>
      <c r="F80" s="60">
        <v>0.45</v>
      </c>
      <c r="G80" s="60">
        <f>F80</f>
        <v>0.45</v>
      </c>
      <c r="H80" s="60">
        <f>G80</f>
        <v>0.45</v>
      </c>
      <c r="I80" s="60"/>
      <c r="J80" s="60">
        <f>H80</f>
        <v>0.45</v>
      </c>
      <c r="K80" s="60"/>
      <c r="L80" s="60"/>
      <c r="M80" s="60"/>
      <c r="N80" s="60"/>
      <c r="O80" s="60"/>
      <c r="P80" s="60"/>
      <c r="Q80" s="60"/>
      <c r="R80" s="53"/>
      <c r="S80" s="53"/>
      <c r="T80" s="178"/>
      <c r="U80" s="53"/>
    </row>
    <row r="81" spans="1:27" s="83" customFormat="1" outlineLevel="1">
      <c r="A81" s="83" t="s">
        <v>103</v>
      </c>
      <c r="F81" s="84"/>
      <c r="G81" s="84"/>
      <c r="H81" s="84"/>
      <c r="I81" s="84"/>
      <c r="J81" s="86">
        <v>0.5</v>
      </c>
      <c r="K81" s="86"/>
      <c r="L81" s="86"/>
      <c r="M81" s="86"/>
      <c r="N81" s="86"/>
      <c r="O81" s="86"/>
      <c r="P81" s="86"/>
      <c r="Q81" s="86"/>
      <c r="R81" s="85" t="s">
        <v>249</v>
      </c>
      <c r="T81" s="179" t="s">
        <v>176</v>
      </c>
      <c r="U81" s="83" t="s">
        <v>250</v>
      </c>
    </row>
    <row r="82" spans="1:27" s="83" customFormat="1" outlineLevel="1">
      <c r="A82" s="83" t="s">
        <v>104</v>
      </c>
      <c r="F82" s="84"/>
      <c r="G82" s="84"/>
      <c r="H82" s="84"/>
      <c r="I82" s="84"/>
      <c r="J82" s="86">
        <v>0.45</v>
      </c>
      <c r="K82" s="86"/>
      <c r="L82" s="86"/>
      <c r="M82" s="86"/>
      <c r="N82" s="86"/>
      <c r="O82" s="86"/>
      <c r="P82" s="86"/>
      <c r="Q82" s="86"/>
      <c r="R82" s="85" t="s">
        <v>249</v>
      </c>
      <c r="T82" s="179" t="s">
        <v>176</v>
      </c>
      <c r="U82" s="83" t="s">
        <v>250</v>
      </c>
    </row>
    <row r="83" spans="1:27" s="83" customFormat="1" outlineLevel="1">
      <c r="F83" s="84"/>
      <c r="G83" s="84"/>
      <c r="H83" s="84"/>
      <c r="I83" s="84"/>
      <c r="J83" s="86">
        <v>0.48</v>
      </c>
      <c r="K83" s="86"/>
      <c r="L83" s="86"/>
      <c r="M83" s="86"/>
      <c r="N83" s="86"/>
      <c r="O83" s="86"/>
      <c r="P83" s="86"/>
      <c r="Q83" s="86"/>
      <c r="R83" s="85"/>
      <c r="T83" s="179"/>
    </row>
    <row r="84" spans="1:27" s="83" customFormat="1" outlineLevel="1">
      <c r="A84" s="83" t="s">
        <v>301</v>
      </c>
      <c r="F84" s="84"/>
      <c r="G84" s="84"/>
      <c r="H84" s="84"/>
      <c r="I84" s="84"/>
      <c r="J84" s="86">
        <v>0.46</v>
      </c>
      <c r="K84" s="86"/>
      <c r="L84" s="86"/>
      <c r="M84" s="86"/>
      <c r="N84" s="86"/>
      <c r="O84" s="86"/>
      <c r="P84" s="86"/>
      <c r="Q84" s="86"/>
      <c r="R84" s="85"/>
      <c r="T84" s="179"/>
    </row>
    <row r="85" spans="1:27" s="83" customFormat="1" outlineLevel="1">
      <c r="A85" s="83" t="s">
        <v>245</v>
      </c>
      <c r="F85" s="84"/>
      <c r="G85" s="84"/>
      <c r="H85" s="84"/>
      <c r="I85" s="84"/>
      <c r="J85" s="86">
        <v>0.6</v>
      </c>
      <c r="K85" s="86"/>
      <c r="L85" s="86"/>
      <c r="M85" s="86"/>
      <c r="N85" s="86"/>
      <c r="O85" s="86"/>
      <c r="P85" s="86"/>
      <c r="Q85" s="86"/>
      <c r="R85" s="85"/>
      <c r="T85" s="179"/>
    </row>
    <row r="86" spans="1:27" s="83" customFormat="1" outlineLevel="1">
      <c r="A86" s="83" t="s">
        <v>105</v>
      </c>
      <c r="F86" s="84"/>
      <c r="G86" s="84"/>
      <c r="H86" s="84" t="s">
        <v>71</v>
      </c>
      <c r="I86" s="84"/>
      <c r="J86" s="86">
        <v>0.55000000000000004</v>
      </c>
      <c r="K86" s="86"/>
      <c r="L86" s="86"/>
      <c r="M86" s="86"/>
      <c r="N86" s="86"/>
      <c r="O86" s="86"/>
      <c r="P86" s="86"/>
      <c r="Q86" s="86"/>
      <c r="R86" s="85"/>
      <c r="T86" s="179"/>
    </row>
    <row r="87" spans="1:27" s="83" customFormat="1" outlineLevel="1">
      <c r="A87" s="52" t="s">
        <v>334</v>
      </c>
      <c r="B87" s="52"/>
      <c r="C87" s="52"/>
      <c r="D87" s="52"/>
      <c r="E87" s="52"/>
      <c r="F87" s="84"/>
      <c r="G87" s="84"/>
      <c r="H87" s="84"/>
      <c r="I87" s="84"/>
      <c r="J87" s="86"/>
      <c r="K87" s="86"/>
      <c r="L87" s="86"/>
      <c r="M87" s="86"/>
      <c r="N87" s="86"/>
      <c r="O87" s="86"/>
      <c r="P87" s="86"/>
      <c r="Q87" s="86"/>
      <c r="R87" s="85"/>
      <c r="T87" s="179"/>
    </row>
    <row r="88" spans="1:27">
      <c r="A88" t="s">
        <v>559</v>
      </c>
      <c r="B88" s="377">
        <f>B94</f>
        <v>6.4050391644908613</v>
      </c>
      <c r="F88" s="54">
        <f>F89</f>
        <v>62.271214099216706</v>
      </c>
      <c r="G88" s="54">
        <f>G89</f>
        <v>62.271214099216706</v>
      </c>
      <c r="H88" s="54">
        <f>H89</f>
        <v>62.271214099216706</v>
      </c>
      <c r="I88" s="54"/>
      <c r="J88" s="54"/>
      <c r="K88" s="54"/>
      <c r="L88" s="54"/>
      <c r="M88" s="54"/>
      <c r="N88" s="54"/>
      <c r="O88" s="54"/>
      <c r="P88" s="54"/>
      <c r="Q88" s="54"/>
      <c r="R88" s="53"/>
      <c r="S88" s="53"/>
      <c r="T88" s="178"/>
      <c r="U88" s="53"/>
    </row>
    <row r="89" spans="1:27">
      <c r="A89" s="83" t="s">
        <v>406</v>
      </c>
      <c r="B89" s="179"/>
      <c r="C89" s="83"/>
      <c r="D89" s="83"/>
      <c r="E89" s="83"/>
      <c r="F89" s="84">
        <f>$R89/'Cost conversion'!$B$60</f>
        <v>62.271214099216706</v>
      </c>
      <c r="G89" s="84">
        <f>$R89/'Cost conversion'!$B$60</f>
        <v>62.271214099216706</v>
      </c>
      <c r="H89" s="84">
        <f>$R89/'Cost conversion'!$B$60</f>
        <v>62.271214099216706</v>
      </c>
      <c r="I89" s="83"/>
      <c r="J89" s="83"/>
      <c r="K89" s="179"/>
      <c r="L89" s="179"/>
      <c r="M89" s="179"/>
      <c r="N89" s="179"/>
      <c r="O89" s="179"/>
      <c r="P89" s="179"/>
      <c r="Q89" s="179"/>
      <c r="R89" s="83">
        <v>70</v>
      </c>
      <c r="S89" s="83" t="s">
        <v>415</v>
      </c>
      <c r="T89" s="179" t="s">
        <v>350</v>
      </c>
      <c r="U89" s="83" t="s">
        <v>351</v>
      </c>
      <c r="V89" s="83"/>
      <c r="W89" s="83"/>
      <c r="X89" s="83"/>
      <c r="Y89" s="83"/>
      <c r="Z89" s="83"/>
      <c r="AA89" s="83"/>
    </row>
    <row r="90" spans="1:27">
      <c r="A90" s="138" t="s">
        <v>406</v>
      </c>
      <c r="B90" s="138"/>
      <c r="C90" s="138"/>
      <c r="D90" s="138"/>
      <c r="E90" s="138"/>
      <c r="F90" s="372">
        <f>F20</f>
        <v>350</v>
      </c>
      <c r="G90" s="372">
        <f>G20</f>
        <v>350</v>
      </c>
      <c r="H90" s="372">
        <f>H20</f>
        <v>350</v>
      </c>
      <c r="I90" s="372"/>
      <c r="J90" s="372"/>
      <c r="K90" s="372"/>
      <c r="L90" s="372"/>
      <c r="M90" s="372"/>
      <c r="N90" s="372"/>
      <c r="O90" s="372"/>
      <c r="P90" s="372"/>
      <c r="Q90" s="372"/>
      <c r="R90" s="138"/>
      <c r="S90" s="138" t="s">
        <v>331</v>
      </c>
      <c r="T90" s="178"/>
      <c r="U90" s="53"/>
    </row>
    <row r="91" spans="1:27">
      <c r="A91" s="138" t="s">
        <v>552</v>
      </c>
      <c r="B91" s="376">
        <f>R91/'Cost conversion'!$B$60</f>
        <v>4.744473455178416</v>
      </c>
      <c r="C91" s="138"/>
      <c r="D91" s="138"/>
      <c r="E91" s="138"/>
      <c r="F91" s="372"/>
      <c r="G91" s="372"/>
      <c r="H91" s="372"/>
      <c r="I91" s="372"/>
      <c r="J91" s="372"/>
      <c r="K91" s="372"/>
      <c r="L91" s="372"/>
      <c r="M91" s="372"/>
      <c r="N91" s="372"/>
      <c r="O91" s="372"/>
      <c r="P91" s="372"/>
      <c r="Q91" s="372"/>
      <c r="R91" s="376">
        <f>800/150</f>
        <v>5.333333333333333</v>
      </c>
      <c r="S91" s="138" t="s">
        <v>554</v>
      </c>
      <c r="T91" s="179" t="s">
        <v>558</v>
      </c>
      <c r="U91" s="53"/>
    </row>
    <row r="92" spans="1:27">
      <c r="A92" s="138" t="s">
        <v>553</v>
      </c>
      <c r="B92" s="376">
        <f>R92/'Cost conversion'!$B$60</f>
        <v>2.372236727589208</v>
      </c>
      <c r="C92" s="138"/>
      <c r="D92" s="138"/>
      <c r="E92" s="138"/>
      <c r="F92" s="372"/>
      <c r="G92" s="372"/>
      <c r="H92" s="372"/>
      <c r="I92" s="372"/>
      <c r="J92" s="372"/>
      <c r="K92" s="372"/>
      <c r="L92" s="372"/>
      <c r="M92" s="372"/>
      <c r="N92" s="372"/>
      <c r="O92" s="372"/>
      <c r="P92" s="372"/>
      <c r="Q92" s="372"/>
      <c r="R92" s="376">
        <f>400/150</f>
        <v>2.6666666666666665</v>
      </c>
      <c r="S92" s="138" t="s">
        <v>554</v>
      </c>
      <c r="T92" s="179" t="s">
        <v>558</v>
      </c>
      <c r="U92" s="53"/>
    </row>
    <row r="93" spans="1:27">
      <c r="A93" s="138" t="s">
        <v>556</v>
      </c>
      <c r="B93" s="376">
        <f>R93/'Cost conversion'!$B$60</f>
        <v>7.1167101827676236</v>
      </c>
      <c r="C93" s="138"/>
      <c r="D93" s="138"/>
      <c r="E93" s="138"/>
      <c r="F93" s="372"/>
      <c r="G93" s="372"/>
      <c r="H93" s="372"/>
      <c r="I93" s="372"/>
      <c r="J93" s="372"/>
      <c r="K93" s="372"/>
      <c r="L93" s="372"/>
      <c r="M93" s="372"/>
      <c r="N93" s="372"/>
      <c r="O93" s="372"/>
      <c r="P93" s="372"/>
      <c r="Q93" s="372"/>
      <c r="R93" s="376">
        <f>R91+R92</f>
        <v>8</v>
      </c>
      <c r="S93" s="138" t="s">
        <v>554</v>
      </c>
      <c r="T93" s="179" t="s">
        <v>558</v>
      </c>
      <c r="U93" s="53"/>
    </row>
    <row r="94" spans="1:27">
      <c r="A94" s="138" t="s">
        <v>555</v>
      </c>
      <c r="B94" s="376">
        <f>R94/'Cost conversion'!$B$60</f>
        <v>6.4050391644908613</v>
      </c>
      <c r="C94" s="138"/>
      <c r="D94" s="138"/>
      <c r="E94" s="138"/>
      <c r="F94" s="372"/>
      <c r="G94" s="372"/>
      <c r="H94" s="372"/>
      <c r="I94" s="372"/>
      <c r="J94" s="372"/>
      <c r="K94" s="372"/>
      <c r="L94" s="372"/>
      <c r="M94" s="372"/>
      <c r="N94" s="372"/>
      <c r="O94" s="372"/>
      <c r="P94" s="372"/>
      <c r="Q94" s="372"/>
      <c r="R94" s="138">
        <f>1080/150</f>
        <v>7.2</v>
      </c>
      <c r="S94" s="138" t="s">
        <v>554</v>
      </c>
      <c r="T94" s="179" t="s">
        <v>558</v>
      </c>
      <c r="U94" s="53"/>
    </row>
    <row r="95" spans="1:27">
      <c r="A95" s="138" t="s">
        <v>557</v>
      </c>
      <c r="B95" s="372">
        <f>R95/'Cost conversion'!B60</f>
        <v>31.135607049608353</v>
      </c>
      <c r="C95" s="138"/>
      <c r="D95" s="138"/>
      <c r="E95" s="138"/>
      <c r="F95" s="372"/>
      <c r="G95" s="372"/>
      <c r="H95" s="372"/>
      <c r="I95" s="372"/>
      <c r="J95" s="372"/>
      <c r="K95" s="372"/>
      <c r="L95" s="372"/>
      <c r="M95" s="372"/>
      <c r="N95" s="372"/>
      <c r="O95" s="372"/>
      <c r="P95" s="372"/>
      <c r="Q95" s="372"/>
      <c r="R95" s="138">
        <v>35</v>
      </c>
      <c r="S95" s="138" t="s">
        <v>554</v>
      </c>
      <c r="T95" s="179" t="s">
        <v>550</v>
      </c>
      <c r="U95" s="53"/>
    </row>
    <row r="96" spans="1:27">
      <c r="A96" s="138"/>
      <c r="B96" s="376"/>
      <c r="C96" s="138"/>
      <c r="D96" s="138"/>
      <c r="E96" s="138"/>
      <c r="F96" s="372"/>
      <c r="G96" s="372"/>
      <c r="H96" s="372"/>
      <c r="I96" s="372"/>
      <c r="J96" s="372"/>
      <c r="K96" s="372"/>
      <c r="L96" s="372"/>
      <c r="M96" s="372"/>
      <c r="N96" s="372"/>
      <c r="O96" s="372"/>
      <c r="P96" s="372"/>
      <c r="Q96" s="372"/>
      <c r="R96" s="138"/>
      <c r="S96" s="138"/>
      <c r="T96" s="179"/>
      <c r="U96" s="53"/>
    </row>
    <row r="97" spans="1:21" ht="12.65" customHeight="1">
      <c r="A97" t="s">
        <v>549</v>
      </c>
      <c r="F97" s="54"/>
      <c r="G97" s="54"/>
      <c r="H97" s="54"/>
      <c r="I97" s="54"/>
      <c r="J97" s="54"/>
      <c r="K97" s="54"/>
      <c r="L97" s="54"/>
      <c r="M97" s="54"/>
      <c r="N97" s="54"/>
      <c r="O97" s="54"/>
      <c r="P97" s="54"/>
      <c r="Q97" s="54"/>
      <c r="R97" s="138">
        <v>0.9</v>
      </c>
      <c r="S97" s="53"/>
      <c r="T97" s="179" t="s">
        <v>550</v>
      </c>
      <c r="U97" s="53"/>
    </row>
    <row r="98" spans="1:21">
      <c r="F98" s="54"/>
      <c r="G98" s="54"/>
      <c r="H98" s="54"/>
      <c r="I98" s="54"/>
      <c r="J98" s="54"/>
      <c r="K98" s="54"/>
      <c r="L98" s="54"/>
      <c r="M98" s="54"/>
      <c r="N98" s="54"/>
      <c r="O98" s="54"/>
      <c r="P98" s="54"/>
      <c r="Q98" s="54"/>
      <c r="R98" s="138"/>
      <c r="S98" s="53"/>
      <c r="T98" s="179"/>
      <c r="U98" s="53"/>
    </row>
    <row r="99" spans="1:21">
      <c r="A99" t="s">
        <v>549</v>
      </c>
      <c r="F99" s="54"/>
      <c r="G99" s="54"/>
      <c r="H99" s="54"/>
      <c r="I99" s="54"/>
      <c r="J99" s="54"/>
      <c r="K99" s="54"/>
      <c r="L99" s="54"/>
      <c r="M99" s="54"/>
      <c r="N99" s="54"/>
      <c r="O99" s="54"/>
      <c r="P99" s="54"/>
      <c r="Q99" s="54"/>
      <c r="R99" s="138"/>
      <c r="S99" s="53"/>
      <c r="T99" s="179"/>
      <c r="U99" s="53"/>
    </row>
    <row r="100" spans="1:21">
      <c r="A100" t="s">
        <v>551</v>
      </c>
      <c r="F100" s="54"/>
      <c r="G100" s="54"/>
      <c r="H100" s="54"/>
      <c r="I100" s="54"/>
      <c r="J100" s="54"/>
      <c r="K100" s="54"/>
      <c r="L100" s="54"/>
      <c r="M100" s="54"/>
      <c r="N100" s="54"/>
      <c r="O100" s="54"/>
      <c r="P100" s="54"/>
      <c r="Q100" s="54"/>
      <c r="R100" s="138">
        <v>0.85</v>
      </c>
      <c r="S100" s="53"/>
      <c r="T100" s="179" t="s">
        <v>550</v>
      </c>
      <c r="U100" s="53"/>
    </row>
    <row r="101" spans="1:21">
      <c r="F101" s="54"/>
      <c r="G101" s="54"/>
      <c r="H101" s="54"/>
      <c r="I101" s="54"/>
      <c r="J101" s="54"/>
      <c r="K101" s="54"/>
      <c r="L101" s="54"/>
      <c r="M101" s="54"/>
      <c r="N101" s="54"/>
      <c r="O101" s="54"/>
      <c r="P101" s="54"/>
      <c r="Q101" s="54"/>
      <c r="R101" s="53"/>
      <c r="S101" s="53"/>
      <c r="T101" s="178"/>
      <c r="U101" s="53"/>
    </row>
    <row r="102" spans="1:21" s="83" customFormat="1" outlineLevel="1">
      <c r="A102" t="s">
        <v>530</v>
      </c>
      <c r="B102"/>
      <c r="C102"/>
      <c r="D102"/>
      <c r="E102"/>
      <c r="F102" s="84">
        <f>ROUND(F106/0.0036,H58 -2)</f>
        <v>24700</v>
      </c>
      <c r="G102" s="84">
        <f>ROUND(G106/0.0036,I58 -2)</f>
        <v>24700</v>
      </c>
      <c r="H102" s="84">
        <f>ROUND(H106/0.0036,J58 -2)</f>
        <v>24700</v>
      </c>
      <c r="I102" s="84"/>
      <c r="J102" s="84"/>
      <c r="K102" s="84"/>
      <c r="L102" s="84"/>
      <c r="M102" s="84"/>
      <c r="N102" s="84"/>
      <c r="O102" s="84"/>
      <c r="P102" s="84"/>
      <c r="Q102" s="84"/>
      <c r="R102" s="85"/>
      <c r="T102" s="179"/>
    </row>
    <row r="103" spans="1:21" s="83" customFormat="1" outlineLevel="1">
      <c r="A103" s="83" t="s">
        <v>480</v>
      </c>
      <c r="B103"/>
      <c r="C103"/>
      <c r="D103"/>
      <c r="E103"/>
      <c r="F103" s="84"/>
      <c r="G103" s="84"/>
      <c r="H103" s="84"/>
      <c r="I103" s="84"/>
      <c r="J103" s="84"/>
      <c r="K103" s="84"/>
      <c r="L103" s="84"/>
      <c r="M103" s="84"/>
      <c r="N103" s="84"/>
      <c r="O103" s="84"/>
      <c r="P103" s="84"/>
      <c r="Q103" s="84"/>
      <c r="R103" s="85" t="s">
        <v>485</v>
      </c>
      <c r="S103" s="83" t="s">
        <v>482</v>
      </c>
      <c r="T103" s="83" t="s">
        <v>479</v>
      </c>
    </row>
    <row r="104" spans="1:21" s="83" customFormat="1" outlineLevel="1">
      <c r="A104" s="83" t="s">
        <v>484</v>
      </c>
      <c r="B104"/>
      <c r="C104"/>
      <c r="D104"/>
      <c r="E104"/>
      <c r="F104" s="84"/>
      <c r="G104" s="84"/>
      <c r="H104" s="84"/>
      <c r="I104" s="84"/>
      <c r="J104" s="84"/>
      <c r="K104" s="84"/>
      <c r="L104" s="84"/>
      <c r="M104" s="84"/>
      <c r="N104" s="84"/>
      <c r="O104" s="84"/>
      <c r="P104" s="84"/>
      <c r="Q104" s="84"/>
      <c r="R104" s="85" t="s">
        <v>483</v>
      </c>
      <c r="S104" s="83" t="s">
        <v>482</v>
      </c>
      <c r="T104" s="83" t="s">
        <v>479</v>
      </c>
    </row>
    <row r="105" spans="1:21" s="83" customFormat="1" outlineLevel="1">
      <c r="A105" s="83" t="s">
        <v>481</v>
      </c>
      <c r="B105">
        <v>300</v>
      </c>
      <c r="C105"/>
      <c r="D105"/>
      <c r="E105"/>
      <c r="F105" s="84"/>
      <c r="G105" s="84"/>
      <c r="H105" s="84"/>
      <c r="I105" s="84"/>
      <c r="J105" s="84"/>
      <c r="K105" s="84"/>
      <c r="L105" s="84"/>
      <c r="M105" s="84"/>
      <c r="N105" s="84"/>
      <c r="O105" s="84"/>
      <c r="P105" s="84"/>
      <c r="Q105" s="84"/>
      <c r="R105" s="85" t="s">
        <v>183</v>
      </c>
      <c r="S105" s="83" t="s">
        <v>482</v>
      </c>
      <c r="T105" s="83" t="s">
        <v>479</v>
      </c>
    </row>
    <row r="106" spans="1:21" s="83" customFormat="1" outlineLevel="1">
      <c r="A106" s="83" t="s">
        <v>411</v>
      </c>
      <c r="B106"/>
      <c r="C106"/>
      <c r="D106"/>
      <c r="E106"/>
      <c r="F106" s="84">
        <f>100/'Cost conversion'!$B$60</f>
        <v>88.958877284595303</v>
      </c>
      <c r="G106" s="84">
        <f>100/'Cost conversion'!$B$60</f>
        <v>88.958877284595303</v>
      </c>
      <c r="H106" s="84">
        <f>100/'Cost conversion'!$B$60</f>
        <v>88.958877284595303</v>
      </c>
      <c r="I106" s="84"/>
      <c r="J106" s="84"/>
      <c r="K106" s="84"/>
      <c r="L106" s="84"/>
      <c r="M106" s="84"/>
      <c r="N106" s="84"/>
      <c r="O106" s="84"/>
      <c r="P106" s="84"/>
      <c r="Q106" s="84"/>
      <c r="R106" s="85">
        <v>100</v>
      </c>
      <c r="S106" s="83" t="s">
        <v>414</v>
      </c>
      <c r="T106" s="179" t="s">
        <v>350</v>
      </c>
      <c r="U106" s="83" t="s">
        <v>351</v>
      </c>
    </row>
    <row r="107" spans="1:21" s="83" customFormat="1" outlineLevel="1">
      <c r="A107" s="83" t="s">
        <v>407</v>
      </c>
      <c r="F107" s="84">
        <v>600</v>
      </c>
      <c r="G107" s="84">
        <v>600</v>
      </c>
      <c r="H107" s="84">
        <v>600</v>
      </c>
      <c r="I107" s="84"/>
      <c r="J107" s="84"/>
      <c r="K107" s="84"/>
      <c r="L107" s="84"/>
      <c r="M107" s="84"/>
      <c r="N107" s="84"/>
      <c r="O107" s="84"/>
      <c r="P107" s="84"/>
      <c r="Q107" s="84"/>
      <c r="R107" s="85"/>
      <c r="T107" s="179" t="s">
        <v>330</v>
      </c>
    </row>
    <row r="108" spans="1:21" s="83" customFormat="1" outlineLevel="1">
      <c r="A108" s="83" t="s">
        <v>408</v>
      </c>
      <c r="F108" s="84">
        <v>300</v>
      </c>
      <c r="G108" s="84">
        <v>300</v>
      </c>
      <c r="H108" s="84">
        <v>300</v>
      </c>
      <c r="I108" s="84"/>
      <c r="J108" s="84"/>
      <c r="K108" s="84"/>
      <c r="L108" s="84"/>
      <c r="M108" s="84"/>
      <c r="N108" s="84"/>
      <c r="O108" s="84"/>
      <c r="P108" s="84"/>
      <c r="Q108" s="84"/>
      <c r="R108" s="85"/>
      <c r="T108" s="179" t="s">
        <v>330</v>
      </c>
    </row>
    <row r="109" spans="1:21" s="83" customFormat="1" outlineLevel="1">
      <c r="A109" s="83" t="s">
        <v>409</v>
      </c>
      <c r="F109" s="84">
        <v>100</v>
      </c>
      <c r="G109" s="84">
        <v>100</v>
      </c>
      <c r="H109" s="84">
        <v>100</v>
      </c>
      <c r="I109" s="84"/>
      <c r="J109" s="84"/>
      <c r="K109" s="84"/>
      <c r="L109" s="84"/>
      <c r="M109" s="84"/>
      <c r="N109" s="84"/>
      <c r="O109" s="84"/>
      <c r="P109" s="84"/>
      <c r="Q109" s="84"/>
      <c r="R109" s="85"/>
      <c r="T109" s="179" t="s">
        <v>330</v>
      </c>
    </row>
    <row r="110" spans="1:21" s="397" customFormat="1" outlineLevel="1">
      <c r="A110" s="397" t="s">
        <v>560</v>
      </c>
      <c r="B110" s="397">
        <f>R110/'Cost conversion'!B60</f>
        <v>35.583550913838117</v>
      </c>
      <c r="F110" s="398"/>
      <c r="G110" s="398"/>
      <c r="H110" s="398"/>
      <c r="I110" s="398"/>
      <c r="J110" s="398"/>
      <c r="K110" s="398"/>
      <c r="L110" s="398"/>
      <c r="M110" s="398"/>
      <c r="N110" s="398"/>
      <c r="O110" s="398"/>
      <c r="P110" s="398"/>
      <c r="Q110" s="398"/>
      <c r="R110" s="399">
        <v>40</v>
      </c>
      <c r="S110" s="397" t="s">
        <v>564</v>
      </c>
      <c r="T110" s="180" t="s">
        <v>550</v>
      </c>
    </row>
    <row r="111" spans="1:21" s="397" customFormat="1" outlineLevel="1">
      <c r="A111" s="397" t="s">
        <v>561</v>
      </c>
      <c r="B111" s="397">
        <f>R111</f>
        <v>20</v>
      </c>
      <c r="F111" s="398"/>
      <c r="G111" s="398"/>
      <c r="H111" s="398"/>
      <c r="I111" s="398"/>
      <c r="J111" s="398"/>
      <c r="K111" s="398"/>
      <c r="L111" s="398"/>
      <c r="M111" s="398"/>
      <c r="N111" s="398"/>
      <c r="O111" s="398"/>
      <c r="P111" s="398"/>
      <c r="Q111" s="398"/>
      <c r="R111" s="399">
        <v>20</v>
      </c>
      <c r="S111" s="397" t="s">
        <v>563</v>
      </c>
      <c r="T111" s="180" t="s">
        <v>562</v>
      </c>
    </row>
    <row r="112" spans="1:21">
      <c r="A112" s="52" t="s">
        <v>89</v>
      </c>
      <c r="B112" s="52"/>
      <c r="C112" s="52"/>
      <c r="D112" s="52"/>
      <c r="E112" s="52"/>
      <c r="F112" s="54"/>
      <c r="G112" s="54"/>
      <c r="H112" s="54"/>
      <c r="I112" s="54"/>
      <c r="J112" s="54"/>
      <c r="K112" s="54"/>
      <c r="L112" s="54"/>
      <c r="M112" s="54"/>
      <c r="N112" s="54"/>
      <c r="O112" s="54"/>
      <c r="P112" s="54"/>
      <c r="Q112" s="54"/>
      <c r="R112" s="53"/>
      <c r="S112" s="53"/>
      <c r="T112" s="178"/>
      <c r="U112" s="53"/>
    </row>
    <row r="113" spans="1:21">
      <c r="A113" t="s">
        <v>71</v>
      </c>
      <c r="F113" s="54">
        <f>F114</f>
        <v>20</v>
      </c>
      <c r="G113" s="54">
        <f>G114</f>
        <v>15</v>
      </c>
      <c r="H113" s="54">
        <f>H114</f>
        <v>15</v>
      </c>
      <c r="I113" s="54"/>
      <c r="J113" s="54"/>
      <c r="K113" s="54"/>
      <c r="L113" s="54"/>
      <c r="M113" s="54"/>
      <c r="N113" s="54"/>
      <c r="O113" s="54"/>
      <c r="P113" s="54"/>
      <c r="Q113" s="54"/>
      <c r="R113" s="53" t="s">
        <v>71</v>
      </c>
      <c r="S113" s="53"/>
      <c r="T113" s="178"/>
      <c r="U113" s="53"/>
    </row>
    <row r="114" spans="1:21" s="83" customFormat="1" outlineLevel="1">
      <c r="A114" s="83" t="s">
        <v>205</v>
      </c>
      <c r="F114" s="84">
        <f>ROUND(F115/'Unit conversion'!$C$7,-1)</f>
        <v>20</v>
      </c>
      <c r="G114" s="84">
        <v>15</v>
      </c>
      <c r="H114" s="84">
        <v>15</v>
      </c>
      <c r="I114" s="84"/>
      <c r="J114" s="84"/>
      <c r="K114" s="84"/>
      <c r="L114" s="84"/>
      <c r="M114" s="84"/>
      <c r="N114" s="84"/>
      <c r="O114" s="84"/>
      <c r="P114" s="84"/>
      <c r="Q114" s="84"/>
      <c r="R114" s="85"/>
      <c r="T114" s="179"/>
      <c r="U114" s="83" t="s">
        <v>326</v>
      </c>
    </row>
    <row r="115" spans="1:21" s="83" customFormat="1" outlineLevel="1">
      <c r="A115" s="83" t="s">
        <v>322</v>
      </c>
      <c r="F115" s="84">
        <f>J115</f>
        <v>748.02671523982985</v>
      </c>
      <c r="G115" s="84">
        <f>$J$115*$J$120</f>
        <v>561.02003642987233</v>
      </c>
      <c r="H115" s="84">
        <f>$J$115*$J$120</f>
        <v>561.02003642987233</v>
      </c>
      <c r="I115" s="84"/>
      <c r="J115" s="84">
        <f>R127*R115*'Unit conversion'!B14</f>
        <v>748.02671523982985</v>
      </c>
      <c r="K115" s="84"/>
      <c r="L115" s="84"/>
      <c r="M115" s="84"/>
      <c r="N115" s="84"/>
      <c r="O115" s="84"/>
      <c r="P115" s="84"/>
      <c r="Q115" s="84"/>
      <c r="R115" s="85">
        <v>0.1</v>
      </c>
      <c r="S115" s="83" t="s">
        <v>156</v>
      </c>
      <c r="T115" s="179" t="s">
        <v>119</v>
      </c>
    </row>
    <row r="116" spans="1:21">
      <c r="A116" t="s">
        <v>206</v>
      </c>
      <c r="F116" s="54">
        <f>F118</f>
        <v>40</v>
      </c>
      <c r="G116" s="54">
        <f>G118</f>
        <v>30</v>
      </c>
      <c r="H116" s="54">
        <f>H118</f>
        <v>30</v>
      </c>
      <c r="I116" s="54"/>
      <c r="J116" s="54"/>
      <c r="K116" s="54"/>
      <c r="L116" s="54"/>
      <c r="M116" s="54"/>
      <c r="N116" s="54"/>
      <c r="O116" s="54"/>
      <c r="P116" s="54"/>
      <c r="Q116" s="54"/>
      <c r="R116" s="53"/>
      <c r="S116" s="53"/>
      <c r="T116" s="178"/>
      <c r="U116" s="53"/>
    </row>
    <row r="117" spans="1:21" s="83" customFormat="1" outlineLevel="1">
      <c r="A117" s="83" t="s">
        <v>323</v>
      </c>
      <c r="F117" s="84">
        <f>F115</f>
        <v>748.02671523982985</v>
      </c>
      <c r="G117" s="84">
        <f>G115</f>
        <v>561.02003642987233</v>
      </c>
      <c r="H117" s="84">
        <f>H115</f>
        <v>561.02003642987233</v>
      </c>
      <c r="I117" s="84"/>
      <c r="J117" s="84"/>
      <c r="K117" s="84"/>
      <c r="L117" s="84"/>
      <c r="M117" s="84"/>
      <c r="N117" s="84"/>
      <c r="O117" s="84"/>
      <c r="P117" s="84"/>
      <c r="Q117" s="84"/>
      <c r="R117" s="85"/>
      <c r="T117" s="179"/>
    </row>
    <row r="118" spans="1:21" s="83" customFormat="1" outlineLevel="1">
      <c r="A118" s="83" t="s">
        <v>206</v>
      </c>
      <c r="F118" s="84">
        <f>ROUND(F117/'Unit conversion'!$E$7,-1)</f>
        <v>40</v>
      </c>
      <c r="G118" s="84">
        <f>ROUND(G117/'Unit conversion'!$E$7,-1)</f>
        <v>30</v>
      </c>
      <c r="H118" s="84">
        <f>ROUND(H117/'Unit conversion'!$E$7,-1)</f>
        <v>30</v>
      </c>
      <c r="I118" s="84"/>
      <c r="J118" s="84"/>
      <c r="K118" s="84"/>
      <c r="L118" s="84"/>
      <c r="M118" s="84"/>
      <c r="N118" s="84"/>
      <c r="O118" s="84"/>
      <c r="P118" s="84"/>
      <c r="Q118" s="84"/>
      <c r="R118" s="85"/>
      <c r="T118" s="179"/>
    </row>
    <row r="119" spans="1:21" s="83" customFormat="1" outlineLevel="1">
      <c r="A119" s="83" t="s">
        <v>168</v>
      </c>
      <c r="F119" s="84"/>
      <c r="G119" s="84"/>
      <c r="H119" s="84"/>
      <c r="I119" s="84"/>
      <c r="J119" s="84"/>
      <c r="K119" s="84"/>
      <c r="L119" s="84"/>
      <c r="M119" s="84"/>
      <c r="N119" s="84"/>
      <c r="O119" s="84"/>
      <c r="P119" s="84"/>
      <c r="Q119" s="84"/>
      <c r="R119" s="85">
        <v>20</v>
      </c>
      <c r="S119" s="83" t="s">
        <v>116</v>
      </c>
      <c r="T119" s="179" t="s">
        <v>92</v>
      </c>
      <c r="U119" s="83" t="s">
        <v>324</v>
      </c>
    </row>
    <row r="120" spans="1:21" s="83" customFormat="1" outlineLevel="1">
      <c r="A120" s="83" t="s">
        <v>325</v>
      </c>
      <c r="F120" s="84"/>
      <c r="G120" s="84"/>
      <c r="H120" s="84"/>
      <c r="I120" s="84"/>
      <c r="J120" s="158">
        <v>0.75</v>
      </c>
      <c r="K120" s="158"/>
      <c r="L120" s="158"/>
      <c r="M120" s="158"/>
      <c r="N120" s="158"/>
      <c r="O120" s="158"/>
      <c r="P120" s="158"/>
      <c r="Q120" s="158"/>
      <c r="R120" s="85"/>
      <c r="T120" s="179"/>
    </row>
    <row r="121" spans="1:21">
      <c r="A121" t="s">
        <v>207</v>
      </c>
      <c r="F121" s="54">
        <v>110</v>
      </c>
      <c r="G121" s="54">
        <v>70</v>
      </c>
      <c r="H121" s="54">
        <v>70</v>
      </c>
      <c r="I121" s="54"/>
      <c r="J121" s="54"/>
      <c r="K121" s="54"/>
      <c r="L121" s="54"/>
      <c r="M121" s="54"/>
      <c r="N121" s="54"/>
      <c r="O121" s="54"/>
      <c r="P121" s="54"/>
      <c r="Q121" s="54"/>
      <c r="R121" s="53"/>
      <c r="S121" s="53"/>
      <c r="T121" s="178"/>
      <c r="U121" s="53"/>
    </row>
    <row r="122" spans="1:21">
      <c r="A122" s="83" t="s">
        <v>728</v>
      </c>
      <c r="F122" s="54">
        <f>F121*'Unit conversion'!$G$7</f>
        <v>2981</v>
      </c>
      <c r="G122" s="54">
        <f>G121*'Unit conversion'!$G$7</f>
        <v>1897</v>
      </c>
      <c r="H122" s="54">
        <f>H121*'Unit conversion'!$G$7</f>
        <v>1897</v>
      </c>
      <c r="I122" s="54"/>
      <c r="J122" s="54"/>
      <c r="K122" s="54"/>
      <c r="L122" s="54"/>
      <c r="M122" s="54"/>
      <c r="N122" s="54"/>
      <c r="O122" s="54"/>
      <c r="P122" s="54"/>
      <c r="Q122" s="54"/>
      <c r="R122" s="53"/>
      <c r="S122" s="53"/>
      <c r="T122" s="178"/>
      <c r="U122" s="53"/>
    </row>
    <row r="123" spans="1:21">
      <c r="A123" s="83" t="s">
        <v>159</v>
      </c>
      <c r="B123" s="83"/>
      <c r="C123" s="83"/>
      <c r="D123" s="83"/>
      <c r="E123" s="83"/>
      <c r="F123" s="54">
        <f>F124*F5/F8</f>
        <v>226.28571428571428</v>
      </c>
      <c r="G123" s="54">
        <f>G124*G5/G8</f>
        <v>38.569424964936886</v>
      </c>
      <c r="H123" s="54">
        <f>H124*H5/H8</f>
        <v>77.077747989276133</v>
      </c>
      <c r="I123" s="54"/>
      <c r="J123" s="54"/>
      <c r="K123" s="54"/>
      <c r="L123" s="54"/>
      <c r="M123" s="54"/>
      <c r="N123" s="54"/>
      <c r="O123" s="54"/>
      <c r="P123" s="54"/>
      <c r="Q123" s="54"/>
      <c r="R123" s="53"/>
      <c r="S123" s="53"/>
      <c r="T123" s="179"/>
      <c r="U123" s="83" t="s">
        <v>329</v>
      </c>
    </row>
    <row r="124" spans="1:21" s="83" customFormat="1" outlineLevel="1">
      <c r="A124" s="83" t="s">
        <v>243</v>
      </c>
      <c r="F124" s="84">
        <f>ROUNDUP($J$124,-1)</f>
        <v>330</v>
      </c>
      <c r="G124" s="84">
        <f>ROUNDUP($J$124*$R$131,-1)</f>
        <v>250</v>
      </c>
      <c r="H124" s="84">
        <f>ROUNDUP($J$124*$R$131,-1)</f>
        <v>250</v>
      </c>
      <c r="I124" s="84"/>
      <c r="J124" s="84">
        <f>SUM(J125)</f>
        <v>326.66666666666663</v>
      </c>
      <c r="K124" s="84"/>
      <c r="L124" s="84"/>
      <c r="M124" s="84"/>
      <c r="N124" s="84"/>
      <c r="O124" s="84"/>
      <c r="P124" s="84"/>
      <c r="Q124" s="84"/>
      <c r="R124" s="85"/>
      <c r="T124" s="179" t="s">
        <v>141</v>
      </c>
    </row>
    <row r="125" spans="1:21" s="83" customFormat="1" outlineLevel="1">
      <c r="A125" s="83" t="s">
        <v>143</v>
      </c>
      <c r="F125" s="84"/>
      <c r="G125" s="84"/>
      <c r="H125" s="84"/>
      <c r="I125" s="84"/>
      <c r="J125" s="84">
        <f>R125*'Unit conversion'!$B$14</f>
        <v>326.66666666666663</v>
      </c>
      <c r="K125" s="84"/>
      <c r="L125" s="84"/>
      <c r="M125" s="84"/>
      <c r="N125" s="84"/>
      <c r="O125" s="84"/>
      <c r="P125" s="84"/>
      <c r="Q125" s="84"/>
      <c r="R125" s="85">
        <v>245</v>
      </c>
      <c r="S125" s="83" t="s">
        <v>77</v>
      </c>
      <c r="T125" s="179" t="s">
        <v>141</v>
      </c>
    </row>
    <row r="126" spans="1:21" s="83" customFormat="1" outlineLevel="1">
      <c r="A126" s="83" t="s">
        <v>144</v>
      </c>
      <c r="F126" s="84"/>
      <c r="G126" s="84"/>
      <c r="H126" s="84"/>
      <c r="I126" s="84"/>
      <c r="J126" s="84">
        <f>R126*'Unit conversion'!$B$14</f>
        <v>133.33333333333331</v>
      </c>
      <c r="K126" s="84"/>
      <c r="L126" s="84"/>
      <c r="M126" s="84"/>
      <c r="N126" s="84"/>
      <c r="O126" s="84"/>
      <c r="P126" s="84"/>
      <c r="Q126" s="84"/>
      <c r="R126" s="85">
        <v>100</v>
      </c>
      <c r="S126" s="83" t="s">
        <v>142</v>
      </c>
      <c r="T126" s="179" t="s">
        <v>141</v>
      </c>
      <c r="U126" s="83" t="s">
        <v>328</v>
      </c>
    </row>
    <row r="127" spans="1:21" s="83" customFormat="1" outlineLevel="1">
      <c r="A127" s="83" t="s">
        <v>159</v>
      </c>
      <c r="F127" s="84">
        <f>ROUNDUP($J$127,-1)</f>
        <v>280</v>
      </c>
      <c r="G127" s="83">
        <f>ROUNDUP($J$127*$R$131,-1)</f>
        <v>210</v>
      </c>
      <c r="H127" s="83">
        <f>ROUNDUP($J$127*$R$131,-1)</f>
        <v>210</v>
      </c>
      <c r="J127" s="84">
        <f>R127/'Unit conversion'!$G$7*'Unit conversion'!$B$14</f>
        <v>276.02461816967889</v>
      </c>
      <c r="K127" s="84"/>
      <c r="L127" s="84"/>
      <c r="M127" s="84"/>
      <c r="N127" s="84"/>
      <c r="O127" s="84"/>
      <c r="P127" s="84"/>
      <c r="Q127" s="84"/>
      <c r="R127" s="84">
        <f>3080000/(610*R128)</f>
        <v>5610.2003642987247</v>
      </c>
      <c r="S127" s="83" t="s">
        <v>160</v>
      </c>
      <c r="T127" s="179" t="s">
        <v>119</v>
      </c>
      <c r="U127" s="83" t="s">
        <v>163</v>
      </c>
    </row>
    <row r="128" spans="1:21" s="83" customFormat="1" outlineLevel="1">
      <c r="A128" s="83" t="s">
        <v>158</v>
      </c>
      <c r="R128" s="83">
        <v>0.9</v>
      </c>
      <c r="T128" s="179" t="s">
        <v>119</v>
      </c>
    </row>
    <row r="129" spans="1:21" s="83" customFormat="1" outlineLevel="1">
      <c r="A129" s="83" t="s">
        <v>319</v>
      </c>
      <c r="F129" s="83">
        <f>ROUNDUP($J129/$R$131,-1)</f>
        <v>70</v>
      </c>
      <c r="G129" s="83">
        <f>ROUNDUP($J129,-1)</f>
        <v>50</v>
      </c>
      <c r="H129" s="83">
        <f>ROUNDUP($J129,-1)</f>
        <v>50</v>
      </c>
      <c r="J129" s="84">
        <f>R129/'Unit conversion'!$G$7*'Unit conversion'!$B$14</f>
        <v>49.200492004920051</v>
      </c>
      <c r="K129" s="84"/>
      <c r="L129" s="84"/>
      <c r="M129" s="84"/>
      <c r="N129" s="84"/>
      <c r="O129" s="84"/>
      <c r="P129" s="84"/>
      <c r="Q129" s="84"/>
      <c r="R129" s="83">
        <v>1000</v>
      </c>
      <c r="S129" s="83" t="s">
        <v>160</v>
      </c>
      <c r="T129" s="179" t="s">
        <v>165</v>
      </c>
      <c r="U129" s="83" t="s">
        <v>167</v>
      </c>
    </row>
    <row r="130" spans="1:21" s="83" customFormat="1" outlineLevel="1">
      <c r="A130" s="83" t="s">
        <v>164</v>
      </c>
      <c r="F130" s="83">
        <f>ROUNDUP($J130/$R$131,-1)</f>
        <v>330</v>
      </c>
      <c r="G130" s="83">
        <f>ROUNDUP($J130,-1)</f>
        <v>250</v>
      </c>
      <c r="H130" s="83">
        <f>ROUNDUP($J130,-1)</f>
        <v>250</v>
      </c>
      <c r="J130" s="84">
        <f>R130/'Unit conversion'!$G$7*'Unit conversion'!$B$14</f>
        <v>246.00246002460023</v>
      </c>
      <c r="K130" s="84"/>
      <c r="L130" s="84"/>
      <c r="M130" s="84"/>
      <c r="N130" s="84"/>
      <c r="O130" s="84"/>
      <c r="P130" s="84"/>
      <c r="Q130" s="84"/>
      <c r="R130" s="83">
        <v>5000</v>
      </c>
      <c r="S130" s="83" t="s">
        <v>160</v>
      </c>
      <c r="T130" s="179" t="s">
        <v>165</v>
      </c>
      <c r="U130" s="83" t="s">
        <v>166</v>
      </c>
    </row>
    <row r="131" spans="1:21" s="83" customFormat="1" outlineLevel="1">
      <c r="A131" s="83" t="s">
        <v>161</v>
      </c>
      <c r="R131" s="83">
        <v>0.75</v>
      </c>
      <c r="T131" s="179"/>
      <c r="U131" s="83" t="s">
        <v>162</v>
      </c>
    </row>
    <row r="132" spans="1:21" s="83" customFormat="1" outlineLevel="1">
      <c r="A132" s="83" t="s">
        <v>237</v>
      </c>
      <c r="F132" s="84">
        <f>ROUND(J133,-1)</f>
        <v>110</v>
      </c>
      <c r="G132" s="84">
        <f>ROUND($J$134, -1)</f>
        <v>70</v>
      </c>
      <c r="H132" s="84">
        <f>ROUND($J$134, -1)</f>
        <v>70</v>
      </c>
      <c r="I132" s="84"/>
      <c r="R132" s="83" t="s">
        <v>317</v>
      </c>
      <c r="T132" s="179"/>
      <c r="U132" s="83" t="s">
        <v>238</v>
      </c>
    </row>
    <row r="133" spans="1:21" s="83" customFormat="1" outlineLevel="1">
      <c r="A133" s="83" t="s">
        <v>234</v>
      </c>
      <c r="F133" s="84"/>
      <c r="G133" s="84"/>
      <c r="H133" s="84"/>
      <c r="I133" s="84"/>
      <c r="J133" s="112">
        <f>R133/'Unit conversion'!$G$7</f>
        <v>110.70110701107011</v>
      </c>
      <c r="K133" s="112"/>
      <c r="L133" s="112"/>
      <c r="M133" s="112"/>
      <c r="N133" s="112"/>
      <c r="O133" s="112"/>
      <c r="P133" s="112"/>
      <c r="Q133" s="112"/>
      <c r="R133" s="83">
        <v>3000</v>
      </c>
      <c r="S133" s="83" t="s">
        <v>230</v>
      </c>
      <c r="T133" s="179" t="s">
        <v>231</v>
      </c>
      <c r="U133" s="83" t="s">
        <v>241</v>
      </c>
    </row>
    <row r="134" spans="1:21" s="83" customFormat="1" outlineLevel="1">
      <c r="A134" s="83" t="s">
        <v>235</v>
      </c>
      <c r="J134" s="113">
        <f>R134/'Unit conversion'!$G$7</f>
        <v>73.800738007380076</v>
      </c>
      <c r="K134" s="113"/>
      <c r="L134" s="113"/>
      <c r="M134" s="113"/>
      <c r="N134" s="113"/>
      <c r="O134" s="113"/>
      <c r="P134" s="113"/>
      <c r="Q134" s="113"/>
      <c r="R134" s="83">
        <v>2000</v>
      </c>
      <c r="S134" s="83" t="s">
        <v>230</v>
      </c>
      <c r="T134" s="179" t="s">
        <v>231</v>
      </c>
    </row>
    <row r="135" spans="1:21">
      <c r="A135" t="s">
        <v>527</v>
      </c>
      <c r="F135" s="54">
        <v>300</v>
      </c>
      <c r="G135" s="54">
        <v>225</v>
      </c>
      <c r="H135" s="54">
        <v>225</v>
      </c>
      <c r="I135" s="54"/>
      <c r="J135" s="54"/>
      <c r="K135" s="54"/>
      <c r="L135" s="54"/>
      <c r="M135" s="54"/>
      <c r="N135" s="54"/>
      <c r="O135" s="54"/>
      <c r="P135" s="54"/>
      <c r="Q135" s="54"/>
      <c r="R135" s="53"/>
      <c r="S135" s="53"/>
      <c r="T135" s="178"/>
      <c r="U135" s="53"/>
    </row>
    <row r="136" spans="1:21" s="83" customFormat="1" outlineLevel="1">
      <c r="A136" s="83" t="s">
        <v>527</v>
      </c>
      <c r="F136" s="83">
        <f>R136</f>
        <v>600</v>
      </c>
      <c r="G136" s="83">
        <f>$R$136*$R$140</f>
        <v>450</v>
      </c>
      <c r="H136" s="83">
        <f>$R$136*$R$140</f>
        <v>450</v>
      </c>
      <c r="R136" s="83">
        <v>600</v>
      </c>
      <c r="S136" s="83" t="s">
        <v>116</v>
      </c>
      <c r="T136" s="179"/>
      <c r="U136" s="83" t="s">
        <v>169</v>
      </c>
    </row>
    <row r="137" spans="1:21" s="83" customFormat="1" outlineLevel="1">
      <c r="A137" s="83" t="s">
        <v>527</v>
      </c>
      <c r="F137" s="84">
        <f>J137</f>
        <v>147.60147601476015</v>
      </c>
      <c r="G137" s="84">
        <f>F137*$J$140</f>
        <v>110.70110701107012</v>
      </c>
      <c r="H137" s="84">
        <f>F137*$J$140</f>
        <v>110.70110701107012</v>
      </c>
      <c r="I137" s="84"/>
      <c r="J137" s="84">
        <f>R137/'Unit conversion'!G7</f>
        <v>147.60147601476015</v>
      </c>
      <c r="K137" s="84"/>
      <c r="L137" s="84"/>
      <c r="M137" s="84"/>
      <c r="N137" s="84"/>
      <c r="O137" s="84"/>
      <c r="P137" s="84"/>
      <c r="Q137" s="84"/>
      <c r="R137" s="83">
        <v>4000</v>
      </c>
      <c r="S137" s="83" t="s">
        <v>230</v>
      </c>
      <c r="T137" s="179" t="s">
        <v>244</v>
      </c>
    </row>
    <row r="138" spans="1:21" s="83" customFormat="1" outlineLevel="1">
      <c r="A138" s="83" t="s">
        <v>318</v>
      </c>
      <c r="F138" s="84">
        <f>J138</f>
        <v>221.40221402214021</v>
      </c>
      <c r="G138" s="84">
        <f>F138*$J$140</f>
        <v>166.05166051660515</v>
      </c>
      <c r="H138" s="84">
        <f>F138*$J$140</f>
        <v>166.05166051660515</v>
      </c>
      <c r="I138" s="84"/>
      <c r="J138" s="84">
        <f>R138/'Unit conversion'!G7</f>
        <v>221.40221402214021</v>
      </c>
      <c r="K138" s="84"/>
      <c r="L138" s="84"/>
      <c r="M138" s="84"/>
      <c r="N138" s="84"/>
      <c r="O138" s="84"/>
      <c r="P138" s="84"/>
      <c r="Q138" s="84"/>
      <c r="R138" s="83">
        <v>6000</v>
      </c>
      <c r="S138" s="83" t="s">
        <v>230</v>
      </c>
      <c r="T138" s="179" t="s">
        <v>244</v>
      </c>
    </row>
    <row r="139" spans="1:21" s="83" customFormat="1" outlineLevel="1">
      <c r="A139" s="83" t="s">
        <v>413</v>
      </c>
      <c r="F139" s="84">
        <f>$R139/'Cost conversion'!$B$60/'Unit conversion'!$B$18</f>
        <v>2162.1949340005804</v>
      </c>
      <c r="G139" s="84">
        <f>$R139/'Cost conversion'!$B$60/'Unit conversion'!$B$18</f>
        <v>2162.1949340005804</v>
      </c>
      <c r="H139" s="84">
        <f>$R139/'Cost conversion'!$B$60/'Unit conversion'!$B$18</f>
        <v>2162.1949340005804</v>
      </c>
      <c r="R139" s="83">
        <v>8.75</v>
      </c>
      <c r="S139" s="83" t="s">
        <v>414</v>
      </c>
      <c r="T139" s="179" t="s">
        <v>350</v>
      </c>
      <c r="U139" s="83" t="s">
        <v>351</v>
      </c>
    </row>
    <row r="140" spans="1:21" s="83" customFormat="1" outlineLevel="1">
      <c r="A140" s="83" t="s">
        <v>161</v>
      </c>
      <c r="J140" s="83">
        <v>0.75</v>
      </c>
      <c r="R140" s="83">
        <v>0.75</v>
      </c>
      <c r="T140" s="179"/>
      <c r="U140" s="83" t="s">
        <v>162</v>
      </c>
    </row>
    <row r="141" spans="1:21" s="83" customFormat="1" outlineLevel="1">
      <c r="A141" s="83" t="s">
        <v>545</v>
      </c>
      <c r="G141" s="84">
        <f>J141</f>
        <v>128.26856651587218</v>
      </c>
      <c r="J141" s="84">
        <f>R141/'Unit conversion'!$B$18*'Cost conversion'!B62*'Cost conversion'!B57</f>
        <v>128.26856651587218</v>
      </c>
      <c r="R141" s="83">
        <v>0.38100000000000001</v>
      </c>
      <c r="S141" s="83" t="s">
        <v>546</v>
      </c>
      <c r="T141" s="179" t="s">
        <v>535</v>
      </c>
    </row>
    <row r="142" spans="1:21" s="83" customFormat="1">
      <c r="G142" s="83" t="s">
        <v>71</v>
      </c>
      <c r="T142" s="179"/>
    </row>
    <row r="143" spans="1:21" s="83" customFormat="1">
      <c r="T143" s="179"/>
    </row>
    <row r="144" spans="1:21" s="83" customFormat="1">
      <c r="T144" s="179"/>
    </row>
    <row r="145" spans="1:21" s="83" customFormat="1">
      <c r="A145" s="87" t="s">
        <v>211</v>
      </c>
      <c r="B145" s="87"/>
      <c r="C145" s="87"/>
      <c r="D145" s="87"/>
      <c r="E145" s="87"/>
      <c r="T145" s="179"/>
    </row>
    <row r="146" spans="1:21">
      <c r="A146" s="52" t="s">
        <v>87</v>
      </c>
      <c r="B146" s="52"/>
      <c r="C146" s="52"/>
      <c r="D146" s="52"/>
      <c r="E146" s="52"/>
      <c r="F146" s="54"/>
      <c r="G146" s="54"/>
      <c r="H146" s="54"/>
      <c r="I146" s="54"/>
      <c r="J146" s="54"/>
      <c r="K146" s="54"/>
      <c r="L146" s="54"/>
      <c r="M146" s="54"/>
      <c r="N146" s="54"/>
      <c r="O146" s="54"/>
      <c r="P146" s="54"/>
      <c r="Q146" s="54"/>
      <c r="R146" s="53"/>
      <c r="S146" s="53"/>
      <c r="T146" s="178"/>
      <c r="U146" s="53"/>
    </row>
    <row r="147" spans="1:21">
      <c r="A147" t="s">
        <v>72</v>
      </c>
      <c r="F147" s="54">
        <f>$J$148</f>
        <v>400</v>
      </c>
      <c r="G147" s="54">
        <f>$J$148</f>
        <v>400</v>
      </c>
      <c r="H147" s="54">
        <f>$J$148</f>
        <v>400</v>
      </c>
      <c r="I147" s="54"/>
      <c r="J147" s="54"/>
      <c r="K147" s="54"/>
      <c r="L147" s="54"/>
      <c r="M147" s="54"/>
      <c r="N147" s="54"/>
      <c r="O147" s="54"/>
      <c r="P147" s="54"/>
      <c r="Q147" s="54"/>
      <c r="R147" s="53"/>
      <c r="S147" s="53"/>
      <c r="T147" s="178"/>
      <c r="U147" s="53"/>
    </row>
    <row r="148" spans="1:21" s="83" customFormat="1" hidden="1" outlineLevel="1">
      <c r="A148" s="83" t="s">
        <v>72</v>
      </c>
      <c r="J148" s="83">
        <f>R148*'Unit conversion'!$B$14</f>
        <v>400</v>
      </c>
      <c r="R148" s="83">
        <v>300</v>
      </c>
      <c r="S148" s="83" t="s">
        <v>77</v>
      </c>
      <c r="T148" s="179" t="s">
        <v>78</v>
      </c>
      <c r="U148" s="83" t="s">
        <v>79</v>
      </c>
    </row>
    <row r="149" spans="1:21" collapsed="1">
      <c r="A149" t="s">
        <v>80</v>
      </c>
      <c r="F149" s="54">
        <f>$J$150</f>
        <v>133.33333333333331</v>
      </c>
      <c r="G149" s="54">
        <f>$J$150</f>
        <v>133.33333333333331</v>
      </c>
      <c r="H149" s="54">
        <f>$J$150</f>
        <v>133.33333333333331</v>
      </c>
      <c r="I149" s="54"/>
      <c r="J149" s="54"/>
      <c r="K149" s="54"/>
      <c r="L149" s="54"/>
      <c r="M149" s="54"/>
      <c r="N149" s="54"/>
      <c r="O149" s="54"/>
      <c r="P149" s="54"/>
      <c r="Q149" s="54"/>
      <c r="R149" s="53"/>
      <c r="S149" s="53"/>
      <c r="T149" s="178"/>
      <c r="U149" s="53"/>
    </row>
    <row r="150" spans="1:21" s="83" customFormat="1" hidden="1" outlineLevel="1">
      <c r="A150" s="83" t="s">
        <v>80</v>
      </c>
      <c r="J150" s="83">
        <f>R150*'Unit conversion'!$B$14</f>
        <v>133.33333333333331</v>
      </c>
      <c r="R150" s="83">
        <v>100</v>
      </c>
      <c r="S150" s="83" t="s">
        <v>77</v>
      </c>
      <c r="T150" s="179" t="s">
        <v>78</v>
      </c>
      <c r="U150" s="83" t="s">
        <v>81</v>
      </c>
    </row>
    <row r="151" spans="1:21" collapsed="1">
      <c r="A151" s="52" t="s">
        <v>124</v>
      </c>
      <c r="B151" s="52"/>
      <c r="C151" s="52"/>
      <c r="D151" s="52"/>
      <c r="E151" s="52"/>
      <c r="F151" s="54"/>
      <c r="G151" s="54"/>
      <c r="H151" s="54"/>
      <c r="I151" s="54"/>
      <c r="J151" s="54"/>
      <c r="K151" s="54"/>
      <c r="L151" s="54"/>
      <c r="M151" s="54"/>
      <c r="N151" s="54"/>
      <c r="O151" s="54"/>
      <c r="P151" s="54"/>
      <c r="Q151" s="54"/>
      <c r="R151" s="53"/>
      <c r="S151" s="53"/>
      <c r="T151" s="178"/>
      <c r="U151" s="53"/>
    </row>
    <row r="152" spans="1:21">
      <c r="A152" t="s">
        <v>153</v>
      </c>
      <c r="F152" s="54"/>
      <c r="G152" s="54"/>
      <c r="H152" s="54"/>
      <c r="I152" s="54"/>
      <c r="J152" s="115">
        <f>ROUND(R152*'Unit conversion'!B14/'Unit conversion'!B4,3)</f>
        <v>0.33800000000000002</v>
      </c>
      <c r="K152" s="115"/>
      <c r="L152" s="115"/>
      <c r="M152" s="115"/>
      <c r="N152" s="115"/>
      <c r="O152" s="115"/>
      <c r="P152" s="115"/>
      <c r="Q152" s="115"/>
      <c r="R152" s="53">
        <v>10</v>
      </c>
      <c r="S152" s="53" t="s">
        <v>125</v>
      </c>
      <c r="T152" s="178" t="s">
        <v>151</v>
      </c>
      <c r="U152" s="53"/>
    </row>
    <row r="153" spans="1:21">
      <c r="A153" t="s">
        <v>266</v>
      </c>
      <c r="F153" s="54"/>
      <c r="G153" s="54"/>
      <c r="H153" s="54"/>
      <c r="I153" s="54"/>
      <c r="J153" s="54">
        <f>J162</f>
        <v>1600</v>
      </c>
      <c r="K153" s="54"/>
      <c r="L153" s="54"/>
      <c r="M153" s="54"/>
      <c r="N153" s="54"/>
      <c r="O153" s="54"/>
      <c r="P153" s="54"/>
      <c r="Q153" s="54"/>
      <c r="R153" s="53"/>
      <c r="S153" s="53"/>
      <c r="T153" s="178"/>
      <c r="U153" s="53"/>
    </row>
    <row r="154" spans="1:21">
      <c r="A154" t="s">
        <v>267</v>
      </c>
      <c r="F154" s="54"/>
      <c r="G154" s="54"/>
      <c r="H154" s="54"/>
      <c r="I154" s="54"/>
      <c r="J154" s="54">
        <f>J155</f>
        <v>1500</v>
      </c>
      <c r="K154" s="54"/>
      <c r="L154" s="54"/>
      <c r="M154" s="54"/>
      <c r="N154" s="54"/>
      <c r="O154" s="54"/>
      <c r="P154" s="54"/>
      <c r="Q154" s="54"/>
      <c r="R154" s="53"/>
      <c r="S154" s="53"/>
      <c r="T154" s="178"/>
      <c r="U154" s="53" t="s">
        <v>154</v>
      </c>
    </row>
    <row r="155" spans="1:21">
      <c r="A155" t="s">
        <v>265</v>
      </c>
      <c r="F155" s="54"/>
      <c r="G155" s="54"/>
      <c r="H155" s="54"/>
      <c r="I155" s="54"/>
      <c r="J155" s="54">
        <f>ROUND(J157+J159,-2)</f>
        <v>1500</v>
      </c>
      <c r="K155" s="54"/>
      <c r="L155" s="54"/>
      <c r="M155" s="54"/>
      <c r="N155" s="54"/>
      <c r="O155" s="54"/>
      <c r="P155" s="54"/>
      <c r="Q155" s="54"/>
      <c r="R155" s="57">
        <f>J155/'Unit conversion'!$B$14*'Unit conversion'!$G$3</f>
        <v>62437.5</v>
      </c>
      <c r="S155" s="53"/>
      <c r="T155" s="178"/>
      <c r="U155" s="53" t="s">
        <v>155</v>
      </c>
    </row>
    <row r="156" spans="1:21" s="57" customFormat="1">
      <c r="A156" s="57" t="s">
        <v>254</v>
      </c>
      <c r="F156" s="59"/>
      <c r="G156" s="59"/>
      <c r="H156" s="59"/>
      <c r="I156" s="59"/>
      <c r="J156" s="59">
        <f>R156*'Unit conversion'!$B$14</f>
        <v>92000000</v>
      </c>
      <c r="K156" s="59"/>
      <c r="L156" s="59"/>
      <c r="M156" s="59"/>
      <c r="N156" s="59"/>
      <c r="O156" s="59"/>
      <c r="P156" s="59"/>
      <c r="Q156" s="59"/>
      <c r="R156" s="57">
        <f>69*10^6</f>
        <v>69000000</v>
      </c>
      <c r="S156" s="57" t="s">
        <v>133</v>
      </c>
      <c r="T156" s="181" t="s">
        <v>151</v>
      </c>
      <c r="U156" s="57" t="s">
        <v>134</v>
      </c>
    </row>
    <row r="157" spans="1:21" s="57" customFormat="1">
      <c r="A157" s="57" t="s">
        <v>253</v>
      </c>
      <c r="F157" s="59"/>
      <c r="G157" s="59"/>
      <c r="H157" s="59"/>
      <c r="I157" s="59"/>
      <c r="J157" s="59">
        <f>J156/J161</f>
        <v>580.49459783913562</v>
      </c>
      <c r="K157" s="59"/>
      <c r="L157" s="59"/>
      <c r="M157" s="59"/>
      <c r="N157" s="59"/>
      <c r="O157" s="59"/>
      <c r="P157" s="59"/>
      <c r="Q157" s="59"/>
      <c r="T157" s="181"/>
    </row>
    <row r="158" spans="1:21" s="57" customFormat="1">
      <c r="A158" s="57" t="s">
        <v>131</v>
      </c>
      <c r="F158" s="59"/>
      <c r="G158" s="59"/>
      <c r="H158" s="59"/>
      <c r="I158" s="59"/>
      <c r="J158" s="61">
        <f>R158*'Unit conversion'!$B$14/J160</f>
        <v>2.6677337601707345</v>
      </c>
      <c r="K158" s="61"/>
      <c r="L158" s="61"/>
      <c r="M158" s="61"/>
      <c r="N158" s="61"/>
      <c r="O158" s="61"/>
      <c r="P158" s="61"/>
      <c r="Q158" s="61"/>
      <c r="R158" s="57">
        <f>10*10^6</f>
        <v>10000000</v>
      </c>
      <c r="S158" s="57" t="s">
        <v>135</v>
      </c>
      <c r="T158" s="181" t="s">
        <v>151</v>
      </c>
    </row>
    <row r="159" spans="1:21" s="57" customFormat="1">
      <c r="A159" s="57" t="s">
        <v>264</v>
      </c>
      <c r="F159" s="59"/>
      <c r="G159" s="59"/>
      <c r="H159" s="59"/>
      <c r="I159" s="59"/>
      <c r="J159" s="61">
        <f>J158*10*31*0.7/(1+'Unit conversion'!$B$15)^5*1/((1-(1-1/50)^10/(1+'Unit conversion'!$B$15)^10))</f>
        <v>910.09765228181141</v>
      </c>
      <c r="K159" s="61"/>
      <c r="L159" s="61"/>
      <c r="M159" s="61"/>
      <c r="N159" s="61"/>
      <c r="O159" s="61"/>
      <c r="P159" s="61"/>
      <c r="Q159" s="61"/>
      <c r="T159" s="181"/>
    </row>
    <row r="160" spans="1:21" s="57" customFormat="1">
      <c r="A160" s="57" t="s">
        <v>128</v>
      </c>
      <c r="F160" s="59"/>
      <c r="G160" s="59"/>
      <c r="H160" s="59"/>
      <c r="I160" s="59"/>
      <c r="J160" s="59">
        <f>R160*'Unit conversion'!$G$8</f>
        <v>4998000</v>
      </c>
      <c r="K160" s="59"/>
      <c r="L160" s="59"/>
      <c r="M160" s="59"/>
      <c r="N160" s="59"/>
      <c r="O160" s="59"/>
      <c r="P160" s="59"/>
      <c r="Q160" s="59"/>
      <c r="R160" s="57">
        <v>204000</v>
      </c>
      <c r="S160" s="57" t="s">
        <v>127</v>
      </c>
      <c r="T160" s="181" t="s">
        <v>151</v>
      </c>
    </row>
    <row r="161" spans="1:21" s="57" customFormat="1">
      <c r="A161" s="57" t="s">
        <v>252</v>
      </c>
      <c r="F161" s="59"/>
      <c r="G161" s="59"/>
      <c r="H161" s="59"/>
      <c r="I161" s="59"/>
      <c r="J161" s="59">
        <f>J160*10^6/(365*24*3600)</f>
        <v>158485.54033485541</v>
      </c>
      <c r="K161" s="59"/>
      <c r="L161" s="59"/>
      <c r="M161" s="59"/>
      <c r="N161" s="59"/>
      <c r="O161" s="59"/>
      <c r="P161" s="59"/>
      <c r="Q161" s="59"/>
      <c r="T161" s="181"/>
    </row>
    <row r="162" spans="1:21" s="57" customFormat="1">
      <c r="A162" t="s">
        <v>263</v>
      </c>
      <c r="B162"/>
      <c r="C162"/>
      <c r="D162"/>
      <c r="E162"/>
      <c r="F162" s="59"/>
      <c r="G162" s="59"/>
      <c r="H162" s="59"/>
      <c r="I162" s="59"/>
      <c r="J162" s="54">
        <f>ROUND(J164+J166,-2)</f>
        <v>1600</v>
      </c>
      <c r="K162" s="54"/>
      <c r="L162" s="54"/>
      <c r="M162" s="54"/>
      <c r="N162" s="54"/>
      <c r="O162" s="54"/>
      <c r="P162" s="54"/>
      <c r="Q162" s="54"/>
      <c r="R162" s="57">
        <f>J162/'Unit conversion'!$B$14*'Unit conversion'!$G$3</f>
        <v>66600</v>
      </c>
      <c r="T162" s="181"/>
    </row>
    <row r="163" spans="1:21" s="57" customFormat="1">
      <c r="A163" s="57" t="s">
        <v>255</v>
      </c>
      <c r="F163" s="59"/>
      <c r="G163" s="59"/>
      <c r="H163" s="59"/>
      <c r="I163" s="59"/>
      <c r="J163" s="59">
        <f>R163*'Unit conversion'!$B$14</f>
        <v>182666666.66666666</v>
      </c>
      <c r="K163" s="59"/>
      <c r="L163" s="59"/>
      <c r="M163" s="59"/>
      <c r="N163" s="59"/>
      <c r="O163" s="59"/>
      <c r="P163" s="59"/>
      <c r="Q163" s="59"/>
      <c r="R163" s="57">
        <f>137*10^6</f>
        <v>137000000</v>
      </c>
      <c r="S163" s="57" t="s">
        <v>133</v>
      </c>
      <c r="T163" s="181" t="s">
        <v>151</v>
      </c>
      <c r="U163" s="57" t="s">
        <v>134</v>
      </c>
    </row>
    <row r="164" spans="1:21" s="57" customFormat="1">
      <c r="A164" s="57" t="s">
        <v>256</v>
      </c>
      <c r="F164" s="59"/>
      <c r="G164" s="59"/>
      <c r="H164" s="59"/>
      <c r="I164" s="59"/>
      <c r="J164" s="59">
        <f>J163/J168</f>
        <v>685.49723329565052</v>
      </c>
      <c r="K164" s="59"/>
      <c r="L164" s="59"/>
      <c r="M164" s="59"/>
      <c r="N164" s="59"/>
      <c r="O164" s="59"/>
      <c r="P164" s="59"/>
      <c r="Q164" s="59"/>
      <c r="T164" s="181"/>
    </row>
    <row r="165" spans="1:21" s="57" customFormat="1">
      <c r="A165" s="57" t="s">
        <v>130</v>
      </c>
      <c r="F165" s="59"/>
      <c r="G165" s="59"/>
      <c r="H165" s="59"/>
      <c r="I165" s="59"/>
      <c r="J165" s="61">
        <f>R165*'Unit conversion'!$B$14/J167</f>
        <v>2.6972888280676699</v>
      </c>
      <c r="K165" s="61"/>
      <c r="L165" s="61"/>
      <c r="M165" s="61"/>
      <c r="N165" s="61"/>
      <c r="O165" s="61"/>
      <c r="P165" s="61"/>
      <c r="Q165" s="61"/>
      <c r="R165" s="57">
        <f>17*10^6</f>
        <v>17000000</v>
      </c>
      <c r="S165" s="57" t="s">
        <v>135</v>
      </c>
      <c r="T165" s="181" t="s">
        <v>151</v>
      </c>
    </row>
    <row r="166" spans="1:21" s="57" customFormat="1">
      <c r="A166" s="57" t="s">
        <v>262</v>
      </c>
      <c r="F166" s="59"/>
      <c r="G166" s="59"/>
      <c r="H166" s="59"/>
      <c r="I166" s="59"/>
      <c r="J166" s="61">
        <f>J165*10*31*0.7/(1+'Unit conversion'!$B$15)^5*1/((1-(1-1/50)^10/(1+'Unit conversion'!$B$15)^10))</f>
        <v>920.1803667968868</v>
      </c>
      <c r="K166" s="61"/>
      <c r="L166" s="61"/>
      <c r="M166" s="61"/>
      <c r="N166" s="61"/>
      <c r="O166" s="61"/>
      <c r="P166" s="61"/>
      <c r="Q166" s="61"/>
      <c r="T166" s="181"/>
    </row>
    <row r="167" spans="1:21" s="57" customFormat="1">
      <c r="A167" s="57" t="s">
        <v>129</v>
      </c>
      <c r="F167" s="59"/>
      <c r="G167" s="59"/>
      <c r="H167" s="59"/>
      <c r="I167" s="59"/>
      <c r="J167" s="59">
        <f>R167*'Unit conversion'!$G$8</f>
        <v>8403500</v>
      </c>
      <c r="K167" s="59"/>
      <c r="L167" s="59"/>
      <c r="M167" s="59"/>
      <c r="N167" s="59"/>
      <c r="O167" s="59"/>
      <c r="P167" s="59"/>
      <c r="Q167" s="59"/>
      <c r="R167" s="57">
        <v>343000</v>
      </c>
      <c r="S167" s="57" t="s">
        <v>127</v>
      </c>
      <c r="T167" s="181" t="s">
        <v>151</v>
      </c>
    </row>
    <row r="168" spans="1:21" s="57" customFormat="1">
      <c r="A168" s="57" t="s">
        <v>251</v>
      </c>
      <c r="F168" s="59"/>
      <c r="G168" s="59"/>
      <c r="H168" s="59"/>
      <c r="I168" s="59"/>
      <c r="J168" s="59">
        <f>J167*10^6/(365*24*3600)</f>
        <v>266473.23693556571</v>
      </c>
      <c r="K168" s="59"/>
      <c r="L168" s="59"/>
      <c r="M168" s="59"/>
      <c r="N168" s="59"/>
      <c r="O168" s="59"/>
      <c r="P168" s="59"/>
      <c r="Q168" s="59"/>
      <c r="T168" s="181"/>
    </row>
    <row r="169" spans="1:21" s="57" customFormat="1">
      <c r="A169" t="s">
        <v>260</v>
      </c>
      <c r="B169"/>
      <c r="C169"/>
      <c r="D169"/>
      <c r="E169"/>
      <c r="F169" s="59"/>
      <c r="G169" s="59"/>
      <c r="H169" s="59"/>
      <c r="I169" s="59"/>
      <c r="J169" s="54">
        <f>ROUND(J171+J173,-2)</f>
        <v>1600</v>
      </c>
      <c r="K169" s="54"/>
      <c r="L169" s="54"/>
      <c r="M169" s="54"/>
      <c r="N169" s="54"/>
      <c r="O169" s="54"/>
      <c r="P169" s="54"/>
      <c r="Q169" s="54"/>
      <c r="R169" s="57">
        <f>J169/'Unit conversion'!$B$14*'Unit conversion'!$G$3</f>
        <v>66600</v>
      </c>
      <c r="T169" s="181"/>
    </row>
    <row r="170" spans="1:21" s="57" customFormat="1">
      <c r="A170" s="57" t="s">
        <v>257</v>
      </c>
      <c r="F170" s="59"/>
      <c r="G170" s="59" t="s">
        <v>71</v>
      </c>
      <c r="H170" s="59"/>
      <c r="I170" s="59"/>
      <c r="J170" s="59">
        <f>R170*'Unit conversion'!$B$14</f>
        <v>20000000</v>
      </c>
      <c r="K170" s="59"/>
      <c r="L170" s="59"/>
      <c r="M170" s="59"/>
      <c r="N170" s="59"/>
      <c r="O170" s="59"/>
      <c r="P170" s="59"/>
      <c r="Q170" s="59"/>
      <c r="R170" s="57">
        <f>15*10^6</f>
        <v>15000000</v>
      </c>
      <c r="S170" s="57" t="s">
        <v>133</v>
      </c>
      <c r="T170" s="181" t="s">
        <v>151</v>
      </c>
      <c r="U170" s="57" t="s">
        <v>134</v>
      </c>
    </row>
    <row r="171" spans="1:21" s="57" customFormat="1">
      <c r="A171" s="57" t="s">
        <v>258</v>
      </c>
      <c r="F171" s="59"/>
      <c r="G171" s="59"/>
      <c r="H171" s="59"/>
      <c r="I171" s="59"/>
      <c r="J171" s="59">
        <f>J170/J175</f>
        <v>495.07064364207218</v>
      </c>
      <c r="K171" s="59"/>
      <c r="L171" s="59"/>
      <c r="M171" s="59"/>
      <c r="N171" s="59"/>
      <c r="O171" s="59"/>
      <c r="P171" s="59"/>
      <c r="Q171" s="59"/>
      <c r="T171" s="181"/>
    </row>
    <row r="172" spans="1:21" s="57" customFormat="1">
      <c r="A172" s="57" t="s">
        <v>132</v>
      </c>
      <c r="F172" s="59"/>
      <c r="G172" s="59"/>
      <c r="H172" s="59"/>
      <c r="I172" s="59"/>
      <c r="J172" s="61">
        <f>R172*'Unit conversion'!$B$14/J174</f>
        <v>3.1397174254317113</v>
      </c>
      <c r="K172" s="61"/>
      <c r="L172" s="61"/>
      <c r="M172" s="61"/>
      <c r="N172" s="61"/>
      <c r="O172" s="61"/>
      <c r="P172" s="61"/>
      <c r="Q172" s="61"/>
      <c r="R172" s="57">
        <f>3*10^6</f>
        <v>3000000</v>
      </c>
      <c r="S172" s="57" t="s">
        <v>135</v>
      </c>
      <c r="T172" s="181" t="s">
        <v>151</v>
      </c>
    </row>
    <row r="173" spans="1:21" s="57" customFormat="1">
      <c r="A173" s="57" t="s">
        <v>261</v>
      </c>
      <c r="F173" s="59"/>
      <c r="G173" s="59"/>
      <c r="H173" s="59"/>
      <c r="I173" s="59"/>
      <c r="J173" s="61">
        <f>J172*10*31*0.7/(1+'Unit conversion'!$B$15)^5*1/((1-(1-1/50)^10/(1+'Unit conversion'!$B$15)^10))</f>
        <v>1071.1149292239782</v>
      </c>
      <c r="K173" s="61"/>
      <c r="L173" s="61"/>
      <c r="M173" s="61"/>
      <c r="N173" s="61"/>
      <c r="O173" s="61"/>
      <c r="P173" s="61"/>
      <c r="Q173" s="61"/>
      <c r="T173" s="181"/>
    </row>
    <row r="174" spans="1:21" s="57" customFormat="1">
      <c r="A174" s="57" t="s">
        <v>126</v>
      </c>
      <c r="F174" s="59"/>
      <c r="G174" s="59"/>
      <c r="H174" s="59"/>
      <c r="I174" s="59"/>
      <c r="J174" s="59">
        <f>R174*'Unit conversion'!$G$8</f>
        <v>1274000</v>
      </c>
      <c r="K174" s="59"/>
      <c r="L174" s="59"/>
      <c r="M174" s="59"/>
      <c r="N174" s="59"/>
      <c r="O174" s="59"/>
      <c r="P174" s="59"/>
      <c r="Q174" s="59"/>
      <c r="R174" s="57">
        <v>52000</v>
      </c>
      <c r="S174" s="57" t="s">
        <v>127</v>
      </c>
      <c r="T174" s="181" t="s">
        <v>151</v>
      </c>
    </row>
    <row r="175" spans="1:21">
      <c r="A175" s="57" t="s">
        <v>259</v>
      </c>
      <c r="B175" s="57"/>
      <c r="C175" s="57"/>
      <c r="D175" s="57"/>
      <c r="E175" s="57"/>
      <c r="F175" s="54"/>
      <c r="G175" s="54"/>
      <c r="H175" s="54"/>
      <c r="I175" s="54"/>
      <c r="J175" s="59">
        <f>J174*10^6/(365*24*3600)</f>
        <v>40398.274987316086</v>
      </c>
      <c r="K175" s="59"/>
      <c r="L175" s="59"/>
      <c r="M175" s="59"/>
      <c r="N175" s="59"/>
      <c r="O175" s="59"/>
      <c r="P175" s="59"/>
      <c r="Q175" s="59"/>
      <c r="R175" s="53"/>
      <c r="S175" s="53"/>
      <c r="T175" s="178"/>
      <c r="U175" s="53"/>
    </row>
    <row r="176" spans="1:21">
      <c r="F176" s="54"/>
      <c r="G176" s="54"/>
      <c r="H176" s="54" t="s">
        <v>71</v>
      </c>
      <c r="I176" s="54"/>
      <c r="J176" s="54"/>
      <c r="K176" s="54"/>
      <c r="L176" s="54"/>
      <c r="M176" s="54"/>
      <c r="N176" s="54"/>
      <c r="O176" s="54"/>
      <c r="P176" s="54"/>
      <c r="Q176" s="54"/>
      <c r="R176" s="53"/>
      <c r="S176" s="53"/>
      <c r="T176" s="178"/>
      <c r="U176" s="53"/>
    </row>
  </sheetData>
  <mergeCells count="5">
    <mergeCell ref="B1:J1"/>
    <mergeCell ref="B2:E2"/>
    <mergeCell ref="F2:I2"/>
    <mergeCell ref="R1:T1"/>
    <mergeCell ref="K2:N2"/>
  </mergeCells>
  <pageMargins left="0.7" right="0.7" top="0.75" bottom="0.75" header="0.3" footer="0.3"/>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499984740745262"/>
  </sheetPr>
  <dimension ref="A1:T109"/>
  <sheetViews>
    <sheetView workbookViewId="0">
      <pane xSplit="1" ySplit="1" topLeftCell="E71" activePane="bottomRight" state="frozen"/>
      <selection activeCell="A76" sqref="A76"/>
      <selection pane="topRight" activeCell="A76" sqref="A76"/>
      <selection pane="bottomLeft" activeCell="A76" sqref="A76"/>
      <selection pane="bottomRight" activeCell="L109" sqref="L109"/>
    </sheetView>
  </sheetViews>
  <sheetFormatPr defaultColWidth="10.1796875" defaultRowHeight="11.5"/>
  <cols>
    <col min="1" max="1" width="54.54296875" style="5" bestFit="1" customWidth="1"/>
    <col min="2" max="2" width="13.1796875" style="5" bestFit="1" customWidth="1"/>
    <col min="3" max="3" width="9.453125" style="5" bestFit="1" customWidth="1"/>
    <col min="4" max="10" width="9" style="5" bestFit="1" customWidth="1"/>
    <col min="11" max="11" width="9.453125" style="5" bestFit="1" customWidth="1"/>
    <col min="12" max="14" width="9" style="5" bestFit="1" customWidth="1"/>
    <col min="15" max="15" width="10.54296875" style="5" bestFit="1" customWidth="1"/>
    <col min="16" max="16" width="88.453125" style="5" bestFit="1" customWidth="1"/>
    <col min="17" max="20" width="10.1796875" style="5"/>
    <col min="21" max="21" width="54.81640625" style="5" bestFit="1" customWidth="1"/>
    <col min="22" max="16384" width="10.1796875" style="5"/>
  </cols>
  <sheetData>
    <row r="1" spans="1:20" ht="26">
      <c r="A1" s="1" t="s">
        <v>228</v>
      </c>
      <c r="B1" s="2" t="s">
        <v>0</v>
      </c>
      <c r="C1" s="3" t="s">
        <v>60</v>
      </c>
      <c r="D1" s="3" t="s">
        <v>61</v>
      </c>
      <c r="E1" s="3" t="s">
        <v>1</v>
      </c>
      <c r="F1" s="3" t="s">
        <v>2</v>
      </c>
      <c r="G1" s="3" t="s">
        <v>3</v>
      </c>
      <c r="H1" s="4" t="s">
        <v>4</v>
      </c>
      <c r="I1" s="2" t="s">
        <v>5</v>
      </c>
      <c r="J1" s="3" t="s">
        <v>62</v>
      </c>
      <c r="K1" s="3" t="s">
        <v>6</v>
      </c>
      <c r="L1" s="3" t="s">
        <v>188</v>
      </c>
      <c r="M1" s="3" t="s">
        <v>7</v>
      </c>
      <c r="N1" s="4" t="s">
        <v>8</v>
      </c>
      <c r="O1" s="103" t="s">
        <v>332</v>
      </c>
      <c r="P1" s="1" t="s">
        <v>75</v>
      </c>
    </row>
    <row r="2" spans="1:20" ht="13">
      <c r="A2" s="6" t="s">
        <v>190</v>
      </c>
      <c r="B2" s="41"/>
      <c r="C2" s="42"/>
      <c r="D2" s="42"/>
      <c r="E2" s="42"/>
      <c r="F2" s="42"/>
      <c r="G2" s="42"/>
      <c r="H2" s="43"/>
      <c r="I2" s="41"/>
      <c r="J2" s="42"/>
      <c r="K2" s="42"/>
      <c r="L2" s="42"/>
      <c r="M2" s="42"/>
      <c r="N2" s="43"/>
      <c r="O2" s="8"/>
      <c r="P2" s="67"/>
    </row>
    <row r="3" spans="1:20" ht="13">
      <c r="A3" s="73" t="s">
        <v>9</v>
      </c>
      <c r="B3" s="7"/>
      <c r="C3" s="8"/>
      <c r="D3" s="8"/>
      <c r="E3" s="8"/>
      <c r="F3" s="8"/>
      <c r="G3" s="8"/>
      <c r="H3" s="9"/>
      <c r="I3" s="7"/>
      <c r="J3" s="8"/>
      <c r="K3" s="8"/>
      <c r="L3" s="8"/>
      <c r="M3" s="8"/>
      <c r="N3" s="9"/>
      <c r="O3" s="8"/>
      <c r="P3" s="67"/>
    </row>
    <row r="4" spans="1:20" ht="12.5">
      <c r="A4" s="10" t="s">
        <v>11</v>
      </c>
      <c r="B4" s="11"/>
      <c r="C4" s="37"/>
      <c r="D4" s="37"/>
      <c r="E4" s="37"/>
      <c r="F4" s="37"/>
      <c r="G4" s="37"/>
      <c r="H4" s="44"/>
      <c r="J4" s="36"/>
      <c r="K4" s="8"/>
      <c r="L4" s="8"/>
      <c r="M4" s="8"/>
      <c r="N4" s="9"/>
      <c r="O4" s="8"/>
      <c r="P4" s="67"/>
    </row>
    <row r="5" spans="1:20" ht="12.5">
      <c r="A5" s="10" t="s">
        <v>13</v>
      </c>
      <c r="B5" s="11"/>
      <c r="C5" s="37"/>
      <c r="D5" s="37"/>
      <c r="E5" s="37"/>
      <c r="F5" s="37"/>
      <c r="G5" s="37"/>
      <c r="H5" s="44"/>
      <c r="I5" s="13">
        <v>0.85</v>
      </c>
      <c r="J5" s="14">
        <v>0.85</v>
      </c>
      <c r="K5" s="14">
        <v>0.85</v>
      </c>
      <c r="L5" s="14">
        <v>0.85</v>
      </c>
      <c r="M5" s="14">
        <v>0.85</v>
      </c>
      <c r="N5" s="15"/>
      <c r="O5" s="159"/>
      <c r="P5" s="67" t="s">
        <v>12</v>
      </c>
    </row>
    <row r="6" spans="1:20" ht="12.5">
      <c r="A6" s="10" t="s">
        <v>15</v>
      </c>
      <c r="B6" s="11"/>
      <c r="C6" s="37"/>
      <c r="D6" s="37"/>
      <c r="E6" s="37"/>
      <c r="F6" s="37"/>
      <c r="G6" s="37"/>
      <c r="H6" s="44"/>
      <c r="I6" s="13"/>
      <c r="J6" s="14"/>
      <c r="K6" s="14"/>
      <c r="L6" s="14"/>
      <c r="M6" s="14"/>
      <c r="N6" s="16"/>
      <c r="O6" s="14"/>
      <c r="P6" s="67" t="s">
        <v>16</v>
      </c>
    </row>
    <row r="7" spans="1:20" ht="12.5">
      <c r="A7" s="10" t="s">
        <v>18</v>
      </c>
      <c r="B7" s="11"/>
      <c r="C7" s="37"/>
      <c r="D7" s="37"/>
      <c r="E7" s="37"/>
      <c r="F7" s="37"/>
      <c r="G7" s="37"/>
      <c r="H7" s="44"/>
      <c r="I7" s="17">
        <v>0.98</v>
      </c>
      <c r="J7" s="45">
        <v>0.98</v>
      </c>
      <c r="K7" s="45">
        <v>0.98</v>
      </c>
      <c r="L7" s="45">
        <v>0.98</v>
      </c>
      <c r="M7" s="45">
        <v>0.98</v>
      </c>
      <c r="N7" s="46">
        <v>0.98</v>
      </c>
      <c r="O7" s="45">
        <v>0.8</v>
      </c>
      <c r="P7" s="67" t="s">
        <v>19</v>
      </c>
    </row>
    <row r="8" spans="1:20" ht="12.5">
      <c r="A8" s="10" t="s">
        <v>321</v>
      </c>
      <c r="B8" s="63">
        <f>'Base data for vehicles'!$F$50</f>
        <v>0.4</v>
      </c>
      <c r="C8" s="64">
        <f>'Base data for vehicles'!$F$50</f>
        <v>0.4</v>
      </c>
      <c r="D8" s="64">
        <f>'Base data for vehicles'!$F$50</f>
        <v>0.4</v>
      </c>
      <c r="E8" s="64">
        <f>'Base data for vehicles'!$F$50</f>
        <v>0.4</v>
      </c>
      <c r="F8" s="64">
        <f>'Base data for vehicles'!$F$50</f>
        <v>0.4</v>
      </c>
      <c r="G8" s="64">
        <f>'Base data for vehicles'!$F$50</f>
        <v>0.4</v>
      </c>
      <c r="H8" s="64">
        <f>'Base data for vehicles'!$F$50</f>
        <v>0.4</v>
      </c>
      <c r="I8" s="17">
        <f>'Base data for vehicles'!$F$80</f>
        <v>0.45</v>
      </c>
      <c r="J8" s="45">
        <f>'Base data for vehicles'!$F$80</f>
        <v>0.45</v>
      </c>
      <c r="K8" s="45">
        <f>'Base data for vehicles'!$F$80</f>
        <v>0.45</v>
      </c>
      <c r="L8" s="45">
        <f>'Base data for vehicles'!$F$80</f>
        <v>0.45</v>
      </c>
      <c r="M8" s="45">
        <f>'Base data for vehicles'!$F$80</f>
        <v>0.45</v>
      </c>
      <c r="N8" s="46">
        <f>'Base data for vehicles'!$F$80</f>
        <v>0.45</v>
      </c>
      <c r="O8" s="45"/>
      <c r="P8" s="67"/>
    </row>
    <row r="9" spans="1:20" ht="12.5">
      <c r="A9" s="10" t="s">
        <v>320</v>
      </c>
      <c r="B9" s="155">
        <f>B8*'Unit conversion'!$B$5</f>
        <v>0.37399668325041463</v>
      </c>
      <c r="C9" s="156">
        <f>C8*'Unit conversion'!$B$5</f>
        <v>0.37399668325041463</v>
      </c>
      <c r="D9" s="156">
        <f>D8*'Unit conversion'!$C$5</f>
        <v>0.37483731019522781</v>
      </c>
      <c r="E9" s="156">
        <f>E8*'Unit conversion'!$E$5</f>
        <v>0.35242290748898686</v>
      </c>
      <c r="F9" s="156">
        <f>F8*'Unit conversion'!$F$5</f>
        <v>0.35242290748898686</v>
      </c>
      <c r="G9" s="156">
        <f>G8*'Unit conversion'!$G$5</f>
        <v>0.3603603603603604</v>
      </c>
      <c r="H9" s="157">
        <f>H8*'Unit conversion'!$H$5</f>
        <v>0.3380281690140845</v>
      </c>
      <c r="I9" s="155">
        <f>I8*'Unit conversion'!$B$5</f>
        <v>0.42074626865671644</v>
      </c>
      <c r="J9" s="156">
        <f>J8*'Unit conversion'!$C$5</f>
        <v>0.42169197396963126</v>
      </c>
      <c r="K9" s="156">
        <f>K8*'Unit conversion'!$E$5</f>
        <v>0.39647577092511016</v>
      </c>
      <c r="L9" s="156">
        <f>L8*'Unit conversion'!$F$5</f>
        <v>0.39647577092511016</v>
      </c>
      <c r="M9" s="156">
        <f>M8*'Unit conversion'!$G$5</f>
        <v>0.40540540540540543</v>
      </c>
      <c r="N9" s="157">
        <f>N8*'Unit conversion'!$H$5</f>
        <v>0.38028169014084506</v>
      </c>
      <c r="O9" s="156">
        <f>O7</f>
        <v>0.8</v>
      </c>
      <c r="P9" s="88" t="s">
        <v>21</v>
      </c>
    </row>
    <row r="10" spans="1:20" ht="12.5">
      <c r="A10" s="10" t="s">
        <v>22</v>
      </c>
      <c r="B10" s="148">
        <f>ROUND(B9/$D$9,2)</f>
        <v>1</v>
      </c>
      <c r="C10" s="147">
        <f>ROUND(C9/$D$9,2)</f>
        <v>1</v>
      </c>
      <c r="D10" s="147">
        <f t="shared" ref="D10:M10" si="0">ROUND(D9/$D$9,2)</f>
        <v>1</v>
      </c>
      <c r="E10" s="147">
        <f t="shared" si="0"/>
        <v>0.94</v>
      </c>
      <c r="F10" s="147">
        <f t="shared" si="0"/>
        <v>0.94</v>
      </c>
      <c r="G10" s="147">
        <f t="shared" si="0"/>
        <v>0.96</v>
      </c>
      <c r="H10" s="147">
        <f t="shared" si="0"/>
        <v>0.9</v>
      </c>
      <c r="I10" s="148">
        <f t="shared" si="0"/>
        <v>1.1200000000000001</v>
      </c>
      <c r="J10" s="147">
        <f t="shared" si="0"/>
        <v>1.1299999999999999</v>
      </c>
      <c r="K10" s="147">
        <f t="shared" si="0"/>
        <v>1.06</v>
      </c>
      <c r="L10" s="147">
        <f t="shared" si="0"/>
        <v>1.06</v>
      </c>
      <c r="M10" s="147">
        <f t="shared" si="0"/>
        <v>1.08</v>
      </c>
      <c r="N10" s="149">
        <f>ROUND(N9/$D$9,2)</f>
        <v>1.01</v>
      </c>
      <c r="O10" s="149">
        <f>ROUND(O9/$D$9,2)</f>
        <v>2.13</v>
      </c>
      <c r="P10" s="102"/>
      <c r="Q10" s="12"/>
      <c r="R10" s="12"/>
      <c r="S10" s="12"/>
      <c r="T10" s="12"/>
    </row>
    <row r="11" spans="1:20" ht="13">
      <c r="A11" s="21" t="s">
        <v>186</v>
      </c>
      <c r="B11" s="22">
        <f>B12*B9</f>
        <v>85.287846481876329</v>
      </c>
      <c r="C11" s="23">
        <f t="shared" ref="C11:N11" si="1">C12*C9</f>
        <v>85.287846481876329</v>
      </c>
      <c r="D11" s="23">
        <f t="shared" si="1"/>
        <v>78.091106290672457</v>
      </c>
      <c r="E11" s="23">
        <f t="shared" si="1"/>
        <v>158.59030837004406</v>
      </c>
      <c r="F11" s="23">
        <f t="shared" si="1"/>
        <v>158.59030837004406</v>
      </c>
      <c r="G11" s="23">
        <f t="shared" si="1"/>
        <v>64.864864864864856</v>
      </c>
      <c r="H11" s="23">
        <f t="shared" si="1"/>
        <v>25.352112676056336</v>
      </c>
      <c r="I11" s="22">
        <f>I12*I9</f>
        <v>85.668595796527555</v>
      </c>
      <c r="J11" s="23">
        <f>J12*J9</f>
        <v>77.74557042212966</v>
      </c>
      <c r="K11" s="23">
        <f t="shared" si="1"/>
        <v>168.3151857700939</v>
      </c>
      <c r="L11" s="23">
        <f t="shared" si="1"/>
        <v>168.3151857700939</v>
      </c>
      <c r="M11" s="23">
        <f t="shared" si="1"/>
        <v>67.567567567567551</v>
      </c>
      <c r="N11" s="24">
        <f t="shared" si="1"/>
        <v>28.238739366894436</v>
      </c>
      <c r="O11" s="23"/>
      <c r="P11" s="69" t="s">
        <v>187</v>
      </c>
      <c r="Q11" s="12"/>
      <c r="R11" s="12"/>
      <c r="S11" s="12"/>
      <c r="T11" s="12"/>
    </row>
    <row r="12" spans="1:20" ht="14.5">
      <c r="A12" s="27" t="s">
        <v>23</v>
      </c>
      <c r="B12" s="66">
        <f>3600/(B$9*'Unit conversion'!$B$3)</f>
        <v>228.04439264176756</v>
      </c>
      <c r="C12" s="66">
        <f>3600/(C$9*'Unit conversion'!$B$3)</f>
        <v>228.04439264176756</v>
      </c>
      <c r="D12" s="66">
        <f>3600/(D$9*'Unit conversion'!$C$3)</f>
        <v>208.33333333333331</v>
      </c>
      <c r="E12" s="66">
        <f>3600/(E$9*'Unit conversion'!$E$3)</f>
        <v>449.99999999999989</v>
      </c>
      <c r="F12" s="66">
        <f>3600/(F$9*'Unit conversion'!$F$3)</f>
        <v>449.99999999999989</v>
      </c>
      <c r="G12" s="66">
        <f>3600/(G$9*'Unit conversion'!$G$3)</f>
        <v>179.99999999999997</v>
      </c>
      <c r="H12" s="66">
        <f>3600/(H$9*'Unit conversion'!$H$3)</f>
        <v>75</v>
      </c>
      <c r="I12" s="28">
        <f>$B12/I10</f>
        <v>203.61106485872102</v>
      </c>
      <c r="J12" s="29">
        <f>$D12/J10</f>
        <v>184.36578171091446</v>
      </c>
      <c r="K12" s="29">
        <f>$E12/K10</f>
        <v>424.52830188679235</v>
      </c>
      <c r="L12" s="29">
        <f>$F12/L10</f>
        <v>424.52830188679235</v>
      </c>
      <c r="M12" s="29">
        <f>$G12/M10</f>
        <v>166.66666666666663</v>
      </c>
      <c r="N12" s="30">
        <f>$H12/N10</f>
        <v>74.257425742574256</v>
      </c>
      <c r="O12" s="29"/>
      <c r="P12" s="65" t="s">
        <v>212</v>
      </c>
      <c r="Q12"/>
      <c r="R12"/>
      <c r="S12"/>
      <c r="T12"/>
    </row>
    <row r="13" spans="1:20" ht="14.5">
      <c r="A13" s="10" t="s">
        <v>24</v>
      </c>
      <c r="B13" s="18"/>
      <c r="C13" s="19"/>
      <c r="D13" s="19"/>
      <c r="E13" s="19"/>
      <c r="F13" s="19"/>
      <c r="G13" s="19"/>
      <c r="H13" s="20"/>
      <c r="I13" s="28">
        <f t="shared" ref="I13:N13" si="2">I11/I7</f>
        <v>87.416934486252615</v>
      </c>
      <c r="J13" s="29">
        <f t="shared" si="2"/>
        <v>79.332214716458836</v>
      </c>
      <c r="K13" s="29">
        <f t="shared" si="2"/>
        <v>171.75018956132033</v>
      </c>
      <c r="L13" s="29">
        <f t="shared" si="2"/>
        <v>171.75018956132033</v>
      </c>
      <c r="M13" s="29">
        <f t="shared" si="2"/>
        <v>68.946497517926076</v>
      </c>
      <c r="N13" s="30">
        <f t="shared" si="2"/>
        <v>28.815040170300446</v>
      </c>
      <c r="O13" s="29"/>
      <c r="P13" s="72" t="s">
        <v>189</v>
      </c>
      <c r="Q13"/>
      <c r="R13"/>
      <c r="S13"/>
      <c r="T13"/>
    </row>
    <row r="14" spans="1:20" ht="14.5">
      <c r="A14" s="73" t="s">
        <v>102</v>
      </c>
      <c r="B14" s="18"/>
      <c r="C14" s="19"/>
      <c r="D14" s="19"/>
      <c r="E14" s="19"/>
      <c r="F14" s="19"/>
      <c r="G14" s="19"/>
      <c r="H14" s="20"/>
      <c r="I14" s="71"/>
      <c r="J14"/>
      <c r="K14"/>
      <c r="L14"/>
      <c r="M14"/>
      <c r="N14" s="30"/>
      <c r="O14" s="29"/>
      <c r="P14" s="65"/>
      <c r="Q14"/>
      <c r="R14"/>
      <c r="S14"/>
      <c r="T14"/>
    </row>
    <row r="15" spans="1:20" ht="14.5">
      <c r="A15" s="10" t="s">
        <v>25</v>
      </c>
      <c r="B15" s="28">
        <f>'Base data for vehicles'!$I$7</f>
        <v>12</v>
      </c>
      <c r="C15" s="28">
        <f>'Base data for vehicles'!$I$7</f>
        <v>12</v>
      </c>
      <c r="D15" s="28">
        <f>'Base data for vehicles'!$I$7</f>
        <v>12</v>
      </c>
      <c r="E15" s="28">
        <f>'Base data for vehicles'!$I$7</f>
        <v>12</v>
      </c>
      <c r="F15" s="28">
        <f>'Base data for vehicles'!$I$7</f>
        <v>12</v>
      </c>
      <c r="G15" s="28">
        <f>'Base data for vehicles'!$I$7</f>
        <v>12</v>
      </c>
      <c r="H15" s="28">
        <f>'Base data for vehicles'!$I$7</f>
        <v>12</v>
      </c>
      <c r="I15" s="28">
        <f>'Base data for vehicles'!$I$7</f>
        <v>12</v>
      </c>
      <c r="J15" s="28">
        <f>'Base data for vehicles'!$I$7</f>
        <v>12</v>
      </c>
      <c r="K15" s="28">
        <f>'Base data for vehicles'!$I$7</f>
        <v>12</v>
      </c>
      <c r="L15" s="28">
        <f>'Base data for vehicles'!$I$7</f>
        <v>12</v>
      </c>
      <c r="M15" s="28">
        <f>'Base data for vehicles'!$I$7</f>
        <v>12</v>
      </c>
      <c r="N15" s="28">
        <f>'Base data for vehicles'!$I$7</f>
        <v>12</v>
      </c>
      <c r="P15" s="65"/>
    </row>
    <row r="16" spans="1:20" ht="12.5">
      <c r="A16" s="10" t="s">
        <v>26</v>
      </c>
      <c r="B16" s="28"/>
      <c r="C16" s="29"/>
      <c r="D16" s="29"/>
      <c r="E16" s="29"/>
      <c r="F16" s="29"/>
      <c r="G16" s="29"/>
      <c r="H16" s="30"/>
      <c r="I16" s="89">
        <v>2</v>
      </c>
      <c r="J16" s="90">
        <v>3</v>
      </c>
      <c r="K16" s="90">
        <v>2</v>
      </c>
      <c r="L16" s="90">
        <v>2</v>
      </c>
      <c r="M16" s="90">
        <v>2</v>
      </c>
      <c r="N16" s="91">
        <v>2</v>
      </c>
      <c r="O16" s="28">
        <f>'Base data for vehicles'!$I$7</f>
        <v>12</v>
      </c>
      <c r="P16" s="67" t="s">
        <v>215</v>
      </c>
    </row>
    <row r="17" spans="1:16" ht="12.5">
      <c r="A17" s="10" t="s">
        <v>27</v>
      </c>
      <c r="B17" s="28">
        <f>B18/'Unit conversion'!$B$7</f>
        <v>55.40002194767775</v>
      </c>
      <c r="C17" s="29">
        <f>C18/'Unit conversion'!$B$7</f>
        <v>55.40002194767775</v>
      </c>
      <c r="D17" s="29">
        <f>D18/'Unit conversion'!$C$7</f>
        <v>57.481296758104733</v>
      </c>
      <c r="E17" s="29">
        <f>E18/'Unit conversion'!E7</f>
        <v>136.96089385474858</v>
      </c>
      <c r="F17" s="29">
        <f>F18/'Unit conversion'!F7</f>
        <v>136.96089385474858</v>
      </c>
      <c r="G17" s="29">
        <f>G18/'Unit conversion'!$G$7</f>
        <v>88.472324723247212</v>
      </c>
      <c r="H17" s="30">
        <f>H18/'Unit conversion'!$H$7</f>
        <v>253.52112676056342</v>
      </c>
      <c r="I17" s="29">
        <f>I18/'Unit conversion'!$B$7</f>
        <v>49.464305310426546</v>
      </c>
      <c r="J17" s="29">
        <f>J18/'Unit conversion'!C7</f>
        <v>50.868404210712157</v>
      </c>
      <c r="K17" s="29">
        <f>K18/'Unit conversion'!E7</f>
        <v>129.20839042900809</v>
      </c>
      <c r="L17" s="29">
        <f>L18/'Unit conversion'!F7</f>
        <v>129.20839042900809</v>
      </c>
      <c r="M17" s="29">
        <f>M18/'Unit conversion'!G7</f>
        <v>81.918819188191861</v>
      </c>
      <c r="N17" s="29">
        <f>N18/'Unit conversion'!H7</f>
        <v>251.01101659461725</v>
      </c>
      <c r="O17" s="29"/>
      <c r="P17" s="67"/>
    </row>
    <row r="18" spans="1:16" ht="12.5">
      <c r="A18" s="10" t="s">
        <v>28</v>
      </c>
      <c r="B18" s="28">
        <f>(B12*(B15/10^6))*B23*'Unit conversion'!$B$3</f>
        <v>2310.1809152181622</v>
      </c>
      <c r="C18" s="29">
        <f>(C12*(C15/10^6))*C23*'Unit conversion'!$B$3</f>
        <v>2310.1809152181622</v>
      </c>
      <c r="D18" s="29">
        <f>(D12*(D15/10^6))*D23*'Unit conversion'!$C$3</f>
        <v>2305</v>
      </c>
      <c r="E18" s="29">
        <f>(E12*(E15/10^6))*E23*'Unit conversion'!$E$3</f>
        <v>2451.5999999999995</v>
      </c>
      <c r="F18" s="29">
        <f>(F12*(F15/10^6))*F23*'Unit conversion'!$F$3</f>
        <v>2451.5999999999995</v>
      </c>
      <c r="G18" s="29">
        <f>(G12*(G15/10^6))*G23*'Unit conversion'!$G$3</f>
        <v>2397.5999999999995</v>
      </c>
      <c r="H18" s="29">
        <f>(H12*(H15/10^6))*H23*'Unit conversion'!$H$3</f>
        <v>2556</v>
      </c>
      <c r="I18" s="28">
        <f>(I12*(I15/10^6))*I23*'Unit conversion'!$B$3</f>
        <v>2062.6615314447872</v>
      </c>
      <c r="J18" s="29">
        <f>(J12*(J15/10^6))*J23*'Unit conversion'!$C$3</f>
        <v>2039.8230088495575</v>
      </c>
      <c r="K18" s="29">
        <f>(K12*(K15/10^6))*K23*'Unit conversion'!$E$3</f>
        <v>2312.8301886792447</v>
      </c>
      <c r="L18" s="29">
        <f>(L12*(L15/10^6))*L23*'Unit conversion'!$F$3</f>
        <v>2312.8301886792447</v>
      </c>
      <c r="M18" s="29">
        <f>(M12*(M15/10^6))*M23*'Unit conversion'!$G$3</f>
        <v>2219.9999999999995</v>
      </c>
      <c r="N18" s="30">
        <f>(N12*(N15/10^6))*N23*'Unit conversion'!$H$3</f>
        <v>2530.6930693069307</v>
      </c>
      <c r="O18" s="29"/>
      <c r="P18" s="102"/>
    </row>
    <row r="19" spans="1:16" ht="12.5">
      <c r="A19" s="10" t="s">
        <v>29</v>
      </c>
      <c r="B19" s="28"/>
      <c r="C19" s="29"/>
      <c r="D19" s="29"/>
      <c r="E19" s="29"/>
      <c r="F19" s="29"/>
      <c r="G19" s="29"/>
      <c r="H19" s="30"/>
      <c r="I19" s="89">
        <v>5</v>
      </c>
      <c r="J19" s="90">
        <v>6</v>
      </c>
      <c r="K19" s="90">
        <v>5</v>
      </c>
      <c r="L19" s="90">
        <v>5</v>
      </c>
      <c r="M19" s="90">
        <v>5</v>
      </c>
      <c r="N19" s="91">
        <v>5</v>
      </c>
      <c r="O19" s="90"/>
      <c r="P19" s="68"/>
    </row>
    <row r="20" spans="1:16" ht="12.5">
      <c r="A20" s="10" t="s">
        <v>30</v>
      </c>
      <c r="B20" s="28"/>
      <c r="C20" s="29"/>
      <c r="D20" s="29"/>
      <c r="E20" s="29"/>
      <c r="F20" s="29"/>
      <c r="G20" s="29"/>
      <c r="H20" s="30"/>
      <c r="I20" s="89">
        <f t="shared" ref="I20:N20" si="3">I19*I13*I16/10^6*I23*44.8</f>
        <v>783.25573299682333</v>
      </c>
      <c r="J20" s="90">
        <f t="shared" si="3"/>
        <v>1279.4699589470479</v>
      </c>
      <c r="K20" s="90">
        <f t="shared" si="3"/>
        <v>1538.8816984694299</v>
      </c>
      <c r="L20" s="90">
        <f t="shared" si="3"/>
        <v>1538.8816984694299</v>
      </c>
      <c r="M20" s="90">
        <f t="shared" si="3"/>
        <v>617.76061776061761</v>
      </c>
      <c r="N20" s="91">
        <f t="shared" si="3"/>
        <v>258.18275992589196</v>
      </c>
      <c r="O20" s="90"/>
      <c r="P20" s="68"/>
    </row>
    <row r="21" spans="1:16" ht="12.5">
      <c r="A21" s="10" t="s">
        <v>31</v>
      </c>
      <c r="B21" s="28"/>
      <c r="C21" s="29"/>
      <c r="D21" s="29"/>
      <c r="E21" s="29"/>
      <c r="F21" s="29"/>
      <c r="G21" s="29" t="s">
        <v>71</v>
      </c>
      <c r="H21" s="30"/>
      <c r="I21" s="89">
        <f t="shared" ref="I21:N21" si="4">I20*1000000000/3600/1000</f>
        <v>217571.03694356204</v>
      </c>
      <c r="J21" s="90">
        <f t="shared" si="4"/>
        <v>355408.32192973554</v>
      </c>
      <c r="K21" s="90">
        <f t="shared" si="4"/>
        <v>427467.13846373052</v>
      </c>
      <c r="L21" s="90">
        <f t="shared" si="4"/>
        <v>427467.13846373052</v>
      </c>
      <c r="M21" s="90">
        <f t="shared" si="4"/>
        <v>171600.17160017154</v>
      </c>
      <c r="N21" s="91">
        <f t="shared" si="4"/>
        <v>71717.433312747758</v>
      </c>
      <c r="O21" s="90"/>
      <c r="P21" s="68"/>
    </row>
    <row r="22" spans="1:16" ht="13">
      <c r="A22" s="73" t="s">
        <v>192</v>
      </c>
      <c r="B22" s="18"/>
      <c r="C22" s="19"/>
      <c r="D22" s="19"/>
      <c r="E22" s="19"/>
      <c r="F22" s="19"/>
      <c r="G22" s="19"/>
      <c r="H22" s="20"/>
      <c r="I22" s="18"/>
      <c r="J22" s="19"/>
      <c r="K22" s="19"/>
      <c r="L22" s="19"/>
      <c r="M22" s="19"/>
      <c r="N22" s="20"/>
      <c r="O22" s="19"/>
      <c r="P22" s="68"/>
    </row>
    <row r="23" spans="1:16" ht="12.5">
      <c r="A23" s="10" t="s">
        <v>191</v>
      </c>
      <c r="B23" s="28">
        <f>'Base data for vehicles'!$I$5</f>
        <v>20000</v>
      </c>
      <c r="C23" s="29">
        <f t="shared" ref="C23:H23" si="5">B23</f>
        <v>20000</v>
      </c>
      <c r="D23" s="29">
        <f t="shared" si="5"/>
        <v>20000</v>
      </c>
      <c r="E23" s="29">
        <f t="shared" si="5"/>
        <v>20000</v>
      </c>
      <c r="F23" s="29">
        <f t="shared" si="5"/>
        <v>20000</v>
      </c>
      <c r="G23" s="29">
        <f t="shared" si="5"/>
        <v>20000</v>
      </c>
      <c r="H23" s="29">
        <f t="shared" si="5"/>
        <v>20000</v>
      </c>
      <c r="I23" s="28">
        <f t="shared" ref="I23:N23" si="6">$B23</f>
        <v>20000</v>
      </c>
      <c r="J23" s="8">
        <f t="shared" si="6"/>
        <v>20000</v>
      </c>
      <c r="K23" s="8">
        <f t="shared" si="6"/>
        <v>20000</v>
      </c>
      <c r="L23" s="8">
        <f t="shared" si="6"/>
        <v>20000</v>
      </c>
      <c r="M23" s="8">
        <f t="shared" si="6"/>
        <v>20000</v>
      </c>
      <c r="N23" s="9">
        <f t="shared" si="6"/>
        <v>20000</v>
      </c>
      <c r="O23" s="30">
        <f>$E23</f>
        <v>20000</v>
      </c>
      <c r="P23" s="68"/>
    </row>
    <row r="24" spans="1:16" ht="12.5">
      <c r="A24" s="10" t="s">
        <v>32</v>
      </c>
      <c r="B24" s="28">
        <f t="shared" ref="B24:H24" si="7">B23</f>
        <v>20000</v>
      </c>
      <c r="C24" s="29">
        <f t="shared" si="7"/>
        <v>20000</v>
      </c>
      <c r="D24" s="29">
        <f t="shared" si="7"/>
        <v>20000</v>
      </c>
      <c r="E24" s="29">
        <f t="shared" si="7"/>
        <v>20000</v>
      </c>
      <c r="F24" s="29">
        <f t="shared" si="7"/>
        <v>20000</v>
      </c>
      <c r="G24" s="29">
        <f t="shared" si="7"/>
        <v>20000</v>
      </c>
      <c r="H24" s="30">
        <f t="shared" si="7"/>
        <v>20000</v>
      </c>
      <c r="I24" s="25"/>
      <c r="J24" s="26"/>
      <c r="K24" s="26"/>
      <c r="L24" s="26"/>
      <c r="M24" s="26"/>
      <c r="N24" s="27"/>
      <c r="O24" s="26"/>
      <c r="P24" s="68"/>
    </row>
    <row r="25" spans="1:16" ht="12.5">
      <c r="A25" s="10" t="s">
        <v>33</v>
      </c>
      <c r="B25" s="7"/>
      <c r="C25" s="8"/>
      <c r="D25" s="8"/>
      <c r="E25" s="8"/>
      <c r="F25" s="8"/>
      <c r="G25" s="8"/>
      <c r="H25" s="9"/>
      <c r="I25" s="28">
        <f t="shared" ref="I25:N25" si="8">I23</f>
        <v>20000</v>
      </c>
      <c r="J25" s="29">
        <f t="shared" si="8"/>
        <v>20000</v>
      </c>
      <c r="K25" s="29">
        <f t="shared" si="8"/>
        <v>20000</v>
      </c>
      <c r="L25" s="29">
        <f t="shared" si="8"/>
        <v>20000</v>
      </c>
      <c r="M25" s="29">
        <f t="shared" si="8"/>
        <v>20000</v>
      </c>
      <c r="N25" s="30">
        <f t="shared" si="8"/>
        <v>20000</v>
      </c>
      <c r="O25" s="29">
        <v>2400</v>
      </c>
      <c r="P25" s="68"/>
    </row>
    <row r="26" spans="1:16" ht="12.5">
      <c r="A26" s="10" t="s">
        <v>34</v>
      </c>
      <c r="B26" s="28">
        <f>B24+B25</f>
        <v>20000</v>
      </c>
      <c r="C26" s="8">
        <f>C24+C25</f>
        <v>20000</v>
      </c>
      <c r="D26" s="8">
        <f>D24+D25</f>
        <v>20000</v>
      </c>
      <c r="E26" s="8">
        <f t="shared" ref="E26:N26" si="9">E24+E25</f>
        <v>20000</v>
      </c>
      <c r="F26" s="8">
        <f t="shared" si="9"/>
        <v>20000</v>
      </c>
      <c r="G26" s="8">
        <f t="shared" si="9"/>
        <v>20000</v>
      </c>
      <c r="H26" s="9">
        <f t="shared" si="9"/>
        <v>20000</v>
      </c>
      <c r="I26" s="7">
        <f t="shared" si="9"/>
        <v>20000</v>
      </c>
      <c r="J26" s="8">
        <f t="shared" si="9"/>
        <v>20000</v>
      </c>
      <c r="K26" s="8">
        <f t="shared" si="9"/>
        <v>20000</v>
      </c>
      <c r="L26" s="8">
        <f t="shared" si="9"/>
        <v>20000</v>
      </c>
      <c r="M26" s="8">
        <f t="shared" si="9"/>
        <v>20000</v>
      </c>
      <c r="N26" s="9">
        <f t="shared" si="9"/>
        <v>20000</v>
      </c>
      <c r="O26" s="8">
        <v>2400</v>
      </c>
      <c r="P26" s="68"/>
    </row>
    <row r="27" spans="1:16" ht="12.5">
      <c r="A27" s="10" t="s">
        <v>35</v>
      </c>
      <c r="B27" s="7"/>
      <c r="C27" s="8"/>
      <c r="D27" s="8"/>
      <c r="E27" s="8"/>
      <c r="F27" s="8"/>
      <c r="G27" s="8"/>
      <c r="H27" s="9"/>
      <c r="I27" s="7"/>
      <c r="J27" s="8"/>
      <c r="K27" s="8"/>
      <c r="L27" s="8"/>
      <c r="M27" s="8"/>
      <c r="N27" s="9"/>
      <c r="O27" s="8"/>
      <c r="P27" s="68"/>
    </row>
    <row r="28" spans="1:16" ht="12.5">
      <c r="A28" s="10"/>
      <c r="B28" s="28"/>
      <c r="C28" s="29"/>
      <c r="D28" s="29"/>
      <c r="E28" s="29"/>
      <c r="F28" s="29"/>
      <c r="G28" s="29"/>
      <c r="H28" s="30"/>
      <c r="I28" s="28"/>
      <c r="J28" s="29"/>
      <c r="K28" s="29"/>
      <c r="L28" s="29"/>
      <c r="M28" s="29"/>
      <c r="N28" s="30"/>
      <c r="O28" s="29"/>
      <c r="P28" s="121"/>
    </row>
    <row r="29" spans="1:16" ht="12.5">
      <c r="A29" s="10" t="s">
        <v>36</v>
      </c>
      <c r="B29" s="7"/>
      <c r="C29" s="8"/>
      <c r="D29" s="8"/>
      <c r="E29" s="8"/>
      <c r="F29" s="8"/>
      <c r="G29" s="8"/>
      <c r="H29" s="9"/>
      <c r="I29" s="28"/>
      <c r="J29" s="29"/>
      <c r="K29" s="29" t="s">
        <v>71</v>
      </c>
      <c r="L29" s="29"/>
      <c r="M29" s="29"/>
      <c r="N29" s="30"/>
      <c r="O29" s="29"/>
      <c r="P29" s="68"/>
    </row>
    <row r="30" spans="1:16" ht="12.5">
      <c r="A30" s="10" t="s">
        <v>37</v>
      </c>
      <c r="B30" s="7"/>
      <c r="C30" s="8"/>
      <c r="D30" s="8"/>
      <c r="E30" s="8"/>
      <c r="F30" s="8"/>
      <c r="G30" s="8"/>
      <c r="H30" s="9"/>
      <c r="I30" s="28"/>
      <c r="J30" s="29"/>
      <c r="K30" s="29"/>
      <c r="L30" s="29"/>
      <c r="M30" s="29"/>
      <c r="N30" s="30"/>
      <c r="O30" s="29"/>
      <c r="P30" s="68"/>
    </row>
    <row r="31" spans="1:16" ht="12.5">
      <c r="A31" s="10" t="s">
        <v>38</v>
      </c>
      <c r="B31" s="7"/>
      <c r="C31" s="8"/>
      <c r="D31" s="8"/>
      <c r="E31" s="8"/>
      <c r="F31" s="8"/>
      <c r="G31" s="8"/>
      <c r="H31" s="9"/>
      <c r="I31" s="7">
        <f t="shared" ref="I31:N31" si="10">50/80*I23</f>
        <v>12500</v>
      </c>
      <c r="J31" s="8">
        <f t="shared" si="10"/>
        <v>12500</v>
      </c>
      <c r="K31" s="8">
        <f t="shared" si="10"/>
        <v>12500</v>
      </c>
      <c r="L31" s="8">
        <f t="shared" si="10"/>
        <v>12500</v>
      </c>
      <c r="M31" s="8">
        <f t="shared" si="10"/>
        <v>12500</v>
      </c>
      <c r="N31" s="9">
        <f t="shared" si="10"/>
        <v>12500</v>
      </c>
      <c r="O31" s="8"/>
      <c r="P31" s="67" t="s">
        <v>216</v>
      </c>
    </row>
    <row r="32" spans="1:16" ht="12.5">
      <c r="A32" s="10" t="s">
        <v>39</v>
      </c>
      <c r="B32" s="18"/>
      <c r="C32" s="19"/>
      <c r="D32" s="19"/>
      <c r="E32" s="19"/>
      <c r="F32" s="19"/>
      <c r="G32" s="19"/>
      <c r="H32" s="20"/>
      <c r="I32" s="28">
        <f t="shared" ref="I32:N32" si="11">44/80*I23</f>
        <v>11000</v>
      </c>
      <c r="J32" s="29">
        <f t="shared" si="11"/>
        <v>11000</v>
      </c>
      <c r="K32" s="29">
        <f t="shared" si="11"/>
        <v>11000</v>
      </c>
      <c r="L32" s="29">
        <f t="shared" si="11"/>
        <v>11000</v>
      </c>
      <c r="M32" s="29">
        <f t="shared" si="11"/>
        <v>11000</v>
      </c>
      <c r="N32" s="30">
        <f t="shared" si="11"/>
        <v>11000</v>
      </c>
      <c r="O32" s="29"/>
      <c r="P32" s="67" t="s">
        <v>216</v>
      </c>
    </row>
    <row r="33" spans="1:20" ht="12.5">
      <c r="A33" s="10" t="s">
        <v>333</v>
      </c>
      <c r="B33" s="7"/>
      <c r="C33" s="8"/>
      <c r="D33" s="8"/>
      <c r="E33" s="8"/>
      <c r="F33" s="8"/>
      <c r="G33" s="8"/>
      <c r="H33" s="9"/>
      <c r="I33" s="7"/>
      <c r="J33" s="8"/>
      <c r="K33" s="8"/>
      <c r="L33" s="8"/>
      <c r="M33" s="8"/>
      <c r="N33" s="9"/>
      <c r="O33" s="8"/>
      <c r="P33" s="67"/>
    </row>
    <row r="34" spans="1:20" ht="13">
      <c r="A34" s="6" t="s">
        <v>40</v>
      </c>
      <c r="B34" s="7"/>
      <c r="C34" s="8"/>
      <c r="D34" s="8"/>
      <c r="E34" s="8"/>
      <c r="F34" s="8"/>
      <c r="G34" s="8"/>
      <c r="H34" s="9"/>
      <c r="I34" s="7"/>
      <c r="J34" s="8"/>
      <c r="K34" s="8"/>
      <c r="L34" s="8"/>
      <c r="M34" s="8"/>
      <c r="N34" s="9"/>
      <c r="O34" s="8"/>
      <c r="P34" s="67"/>
    </row>
    <row r="35" spans="1:20" ht="12.5">
      <c r="A35" s="10" t="s">
        <v>41</v>
      </c>
      <c r="B35" s="28">
        <f>'Base data for vehicles'!F20</f>
        <v>350</v>
      </c>
      <c r="C35" s="29">
        <f xml:space="preserve"> B35</f>
        <v>350</v>
      </c>
      <c r="D35" s="29">
        <f>B35</f>
        <v>350</v>
      </c>
      <c r="E35" s="29">
        <f>'Base data for vehicles'!F31</f>
        <v>370</v>
      </c>
      <c r="F35" s="29">
        <f>E35</f>
        <v>370</v>
      </c>
      <c r="G35" s="29">
        <f>'Base data for vehicles'!F34</f>
        <v>500</v>
      </c>
      <c r="H35" s="30">
        <f>'Base data for vehicles'!F43</f>
        <v>800</v>
      </c>
      <c r="I35" s="25"/>
      <c r="J35" s="26"/>
      <c r="K35" s="26"/>
      <c r="L35" s="26"/>
      <c r="M35" s="26"/>
      <c r="N35" s="27"/>
      <c r="O35" s="160">
        <f>'Base data for vehicles'!F88</f>
        <v>62.271214099216706</v>
      </c>
      <c r="P35" s="67" t="s">
        <v>42</v>
      </c>
    </row>
    <row r="36" spans="1:20" ht="12.5">
      <c r="A36" s="10" t="s">
        <v>217</v>
      </c>
      <c r="B36" s="28"/>
      <c r="C36" s="29"/>
      <c r="D36" s="29"/>
      <c r="E36" s="29"/>
      <c r="F36" s="29"/>
      <c r="G36" s="29"/>
      <c r="H36" s="30"/>
      <c r="I36" s="29">
        <f>'Base data for vehicles'!$F$63</f>
        <v>889.58877284595303</v>
      </c>
      <c r="J36" s="29">
        <f>'Base data for vehicles'!$F$63</f>
        <v>889.58877284595303</v>
      </c>
      <c r="K36" s="29">
        <f>'Base data for vehicles'!$F$63</f>
        <v>889.58877284595303</v>
      </c>
      <c r="L36" s="29">
        <f>'Base data for vehicles'!$F$63</f>
        <v>889.58877284595303</v>
      </c>
      <c r="M36" s="29">
        <f>'Base data for vehicles'!$F$63</f>
        <v>889.58877284595303</v>
      </c>
      <c r="N36" s="30">
        <f>'Base data for vehicles'!$F$63</f>
        <v>889.58877284595303</v>
      </c>
      <c r="O36" s="29"/>
      <c r="P36" s="88"/>
    </row>
    <row r="37" spans="1:20" ht="13">
      <c r="A37" s="93" t="s">
        <v>219</v>
      </c>
      <c r="B37" s="94"/>
      <c r="C37" s="95"/>
      <c r="D37" s="95"/>
      <c r="E37" s="95"/>
      <c r="F37" s="95"/>
      <c r="G37" s="95"/>
      <c r="H37" s="96"/>
      <c r="I37" s="94">
        <v>26</v>
      </c>
      <c r="J37" s="95">
        <v>26</v>
      </c>
      <c r="K37" s="95">
        <v>26</v>
      </c>
      <c r="L37" s="95">
        <v>26</v>
      </c>
      <c r="M37" s="95">
        <v>26</v>
      </c>
      <c r="N37" s="96">
        <v>26</v>
      </c>
      <c r="O37" s="95"/>
      <c r="P37" s="67" t="s">
        <v>43</v>
      </c>
    </row>
    <row r="38" spans="1:20" ht="13">
      <c r="A38" s="93" t="s">
        <v>44</v>
      </c>
      <c r="B38" s="94"/>
      <c r="C38" s="95"/>
      <c r="D38" s="95"/>
      <c r="E38" s="95"/>
      <c r="F38" s="95"/>
      <c r="G38" s="95"/>
      <c r="H38" s="96"/>
      <c r="I38" s="94">
        <v>85</v>
      </c>
      <c r="J38" s="95">
        <v>85</v>
      </c>
      <c r="K38" s="95">
        <v>85</v>
      </c>
      <c r="L38" s="95">
        <v>85</v>
      </c>
      <c r="M38" s="95">
        <v>85</v>
      </c>
      <c r="N38" s="96">
        <v>85</v>
      </c>
      <c r="O38" s="95"/>
      <c r="P38" s="67"/>
    </row>
    <row r="39" spans="1:20" ht="13">
      <c r="A39" s="93" t="s">
        <v>45</v>
      </c>
      <c r="B39" s="94"/>
      <c r="C39" s="95"/>
      <c r="D39" s="95"/>
      <c r="E39" s="95"/>
      <c r="F39" s="95"/>
      <c r="G39" s="95"/>
      <c r="H39" s="96"/>
      <c r="I39" s="94">
        <v>25</v>
      </c>
      <c r="J39" s="95">
        <v>25</v>
      </c>
      <c r="K39" s="95">
        <v>25</v>
      </c>
      <c r="L39" s="95">
        <v>25</v>
      </c>
      <c r="M39" s="95">
        <v>25</v>
      </c>
      <c r="N39" s="96"/>
      <c r="O39" s="95"/>
      <c r="P39" s="67"/>
    </row>
    <row r="40" spans="1:20" ht="13">
      <c r="A40" s="93" t="s">
        <v>48</v>
      </c>
      <c r="B40" s="94"/>
      <c r="C40" s="95"/>
      <c r="D40" s="95"/>
      <c r="E40" s="95"/>
      <c r="F40" s="95"/>
      <c r="G40" s="95"/>
      <c r="H40" s="96"/>
      <c r="I40" s="97">
        <f t="shared" ref="I40:N40" si="12">$Y76*1000/3.6</f>
        <v>0</v>
      </c>
      <c r="J40" s="98">
        <f t="shared" si="12"/>
        <v>0</v>
      </c>
      <c r="K40" s="98">
        <f t="shared" si="12"/>
        <v>0</v>
      </c>
      <c r="L40" s="98">
        <f t="shared" si="12"/>
        <v>0</v>
      </c>
      <c r="M40" s="98">
        <f t="shared" si="12"/>
        <v>0</v>
      </c>
      <c r="N40" s="99">
        <f t="shared" si="12"/>
        <v>0</v>
      </c>
      <c r="O40" s="29"/>
      <c r="P40" s="67" t="s">
        <v>49</v>
      </c>
      <c r="T40" s="31"/>
    </row>
    <row r="41" spans="1:20" ht="13">
      <c r="A41" s="93" t="s">
        <v>50</v>
      </c>
      <c r="B41" s="94"/>
      <c r="C41" s="95"/>
      <c r="D41" s="95"/>
      <c r="E41" s="95"/>
      <c r="F41" s="95"/>
      <c r="G41" s="95"/>
      <c r="H41" s="96"/>
      <c r="I41" s="94">
        <v>20</v>
      </c>
      <c r="J41" s="95">
        <v>21</v>
      </c>
      <c r="K41" s="95">
        <v>20</v>
      </c>
      <c r="L41" s="95">
        <v>20</v>
      </c>
      <c r="M41" s="95">
        <v>20</v>
      </c>
      <c r="N41" s="96">
        <v>20</v>
      </c>
      <c r="P41" s="67"/>
    </row>
    <row r="42" spans="1:20" ht="12.5">
      <c r="A42" s="92" t="s">
        <v>46</v>
      </c>
      <c r="B42" s="28">
        <f>'Base data for vehicles'!$F$113</f>
        <v>20</v>
      </c>
      <c r="C42" s="29">
        <f>'Base data for vehicles'!$F$113</f>
        <v>20</v>
      </c>
      <c r="D42" s="29">
        <f>'Base data for vehicles'!$F$113</f>
        <v>20</v>
      </c>
      <c r="E42" s="29">
        <f>'Base data for vehicles'!$F$116</f>
        <v>40</v>
      </c>
      <c r="F42" s="29">
        <f>'Base data for vehicles'!$F$116</f>
        <v>40</v>
      </c>
      <c r="G42" s="29">
        <f>'Base data for vehicles'!$F$121</f>
        <v>110</v>
      </c>
      <c r="H42" s="30">
        <f>'Base data for vehicles'!F135</f>
        <v>300</v>
      </c>
      <c r="I42" s="7">
        <f>$B42</f>
        <v>20</v>
      </c>
      <c r="J42" s="8">
        <f>$B42</f>
        <v>20</v>
      </c>
      <c r="K42" s="8">
        <f>$E42</f>
        <v>40</v>
      </c>
      <c r="L42" s="8">
        <f>$E42</f>
        <v>40</v>
      </c>
      <c r="M42" s="8">
        <f>G42</f>
        <v>110</v>
      </c>
      <c r="N42" s="30">
        <f>'Base data for vehicles'!F135</f>
        <v>300</v>
      </c>
      <c r="O42" s="29">
        <f>O44</f>
        <v>24700</v>
      </c>
      <c r="P42" s="67" t="s">
        <v>47</v>
      </c>
    </row>
    <row r="43" spans="1:20" ht="13">
      <c r="A43" s="93" t="s">
        <v>337</v>
      </c>
      <c r="B43" s="28"/>
      <c r="C43" s="29"/>
      <c r="D43" s="29"/>
      <c r="E43" s="29"/>
      <c r="F43" s="29"/>
      <c r="G43" s="29"/>
      <c r="H43" s="30"/>
      <c r="I43" s="7"/>
      <c r="J43" s="8"/>
      <c r="K43" s="8"/>
      <c r="L43" s="8"/>
      <c r="M43" s="8"/>
      <c r="N43" s="30"/>
      <c r="O43" s="29"/>
      <c r="P43" s="67"/>
    </row>
    <row r="44" spans="1:20" ht="13">
      <c r="A44" s="93" t="s">
        <v>48</v>
      </c>
      <c r="B44" s="28"/>
      <c r="C44" s="29"/>
      <c r="D44" s="29"/>
      <c r="E44" s="29"/>
      <c r="F44" s="29"/>
      <c r="G44" s="29"/>
      <c r="H44" s="30"/>
      <c r="I44" s="7"/>
      <c r="J44" s="8"/>
      <c r="K44" s="8"/>
      <c r="L44" s="8"/>
      <c r="M44" s="8"/>
      <c r="N44" s="30"/>
      <c r="O44" s="29">
        <f>'Base data for vehicles'!F102</f>
        <v>24700</v>
      </c>
      <c r="P44" s="67"/>
    </row>
    <row r="45" spans="1:20" ht="12.5">
      <c r="A45" s="10" t="s">
        <v>214</v>
      </c>
      <c r="B45" s="7">
        <v>0</v>
      </c>
      <c r="C45" s="29">
        <f>'Base data for vehicles'!F147</f>
        <v>400</v>
      </c>
      <c r="D45" s="8">
        <v>0</v>
      </c>
      <c r="E45" s="8">
        <v>0</v>
      </c>
      <c r="F45" s="8">
        <v>0</v>
      </c>
      <c r="G45" s="8">
        <v>0</v>
      </c>
      <c r="H45" s="9">
        <v>0</v>
      </c>
      <c r="I45" s="7"/>
      <c r="J45" s="8"/>
      <c r="K45" s="8"/>
      <c r="L45" s="8"/>
      <c r="M45" s="8"/>
      <c r="N45" s="9"/>
      <c r="O45" s="8"/>
      <c r="P45" s="67"/>
    </row>
    <row r="46" spans="1:20" ht="12.5">
      <c r="A46" s="10" t="s">
        <v>213</v>
      </c>
      <c r="B46" s="49"/>
      <c r="C46" s="50"/>
      <c r="D46" s="50"/>
      <c r="E46" s="50"/>
      <c r="F46" s="50"/>
      <c r="G46" s="50"/>
      <c r="H46" s="51"/>
      <c r="I46" s="7"/>
      <c r="J46" s="8"/>
      <c r="K46" s="8"/>
      <c r="L46" s="8"/>
      <c r="M46" s="8"/>
      <c r="N46" s="9"/>
      <c r="O46" s="8"/>
      <c r="P46" s="67"/>
    </row>
    <row r="47" spans="1:20" ht="12.5">
      <c r="A47" s="10"/>
      <c r="B47" s="49"/>
      <c r="C47" s="50"/>
      <c r="D47" s="50"/>
      <c r="E47" s="50"/>
      <c r="F47" s="50"/>
      <c r="G47" s="50"/>
      <c r="H47" s="51"/>
      <c r="I47" s="7"/>
      <c r="J47" s="8"/>
      <c r="K47" s="8"/>
      <c r="L47" s="8"/>
      <c r="M47" s="8"/>
      <c r="N47" s="9"/>
      <c r="O47" s="8"/>
      <c r="P47" s="67"/>
    </row>
    <row r="48" spans="1:20" ht="13">
      <c r="A48" s="6" t="s">
        <v>51</v>
      </c>
      <c r="B48" s="28"/>
      <c r="C48" s="29"/>
      <c r="D48" s="29"/>
      <c r="E48" s="29"/>
      <c r="F48" s="29"/>
      <c r="G48" s="29"/>
      <c r="H48" s="30"/>
      <c r="I48" s="7"/>
      <c r="J48" s="8"/>
      <c r="K48" s="8"/>
      <c r="L48" s="8"/>
      <c r="M48" s="8"/>
      <c r="N48" s="9"/>
      <c r="O48" s="8"/>
      <c r="P48" s="67"/>
    </row>
    <row r="49" spans="1:16" ht="12.5">
      <c r="A49" s="10" t="s">
        <v>52</v>
      </c>
      <c r="B49" s="7">
        <f t="shared" ref="B49:H49" si="13">B35*B24</f>
        <v>7000000</v>
      </c>
      <c r="C49" s="8">
        <f t="shared" si="13"/>
        <v>7000000</v>
      </c>
      <c r="D49" s="8">
        <f t="shared" si="13"/>
        <v>7000000</v>
      </c>
      <c r="E49" s="8">
        <f t="shared" si="13"/>
        <v>7400000</v>
      </c>
      <c r="F49" s="8">
        <f t="shared" si="13"/>
        <v>7400000</v>
      </c>
      <c r="G49" s="8">
        <f t="shared" si="13"/>
        <v>10000000</v>
      </c>
      <c r="H49" s="9">
        <f t="shared" si="13"/>
        <v>16000000</v>
      </c>
      <c r="I49" s="7"/>
      <c r="J49" s="8"/>
      <c r="K49" s="8"/>
      <c r="L49" s="8"/>
      <c r="M49" s="8"/>
      <c r="N49" s="9"/>
      <c r="O49" s="8"/>
      <c r="P49" s="67"/>
    </row>
    <row r="50" spans="1:16" ht="12.5">
      <c r="A50" s="10" t="s">
        <v>217</v>
      </c>
      <c r="B50" s="7"/>
      <c r="C50" s="8"/>
      <c r="D50" s="8"/>
      <c r="E50" s="8"/>
      <c r="F50" s="8"/>
      <c r="G50" s="8"/>
      <c r="H50" s="9"/>
      <c r="I50" s="7">
        <f t="shared" ref="I50:N50" si="14">I36*I23</f>
        <v>17791775.456919059</v>
      </c>
      <c r="J50" s="8">
        <f t="shared" si="14"/>
        <v>17791775.456919059</v>
      </c>
      <c r="K50" s="8">
        <f t="shared" si="14"/>
        <v>17791775.456919059</v>
      </c>
      <c r="L50" s="8">
        <f t="shared" si="14"/>
        <v>17791775.456919059</v>
      </c>
      <c r="M50" s="8">
        <f t="shared" si="14"/>
        <v>17791775.456919059</v>
      </c>
      <c r="N50" s="9">
        <f t="shared" si="14"/>
        <v>17791775.456919059</v>
      </c>
      <c r="O50" s="8"/>
      <c r="P50" s="88"/>
    </row>
    <row r="51" spans="1:16" ht="13">
      <c r="A51" s="93" t="s">
        <v>53</v>
      </c>
      <c r="B51" s="94"/>
      <c r="C51" s="95"/>
      <c r="D51" s="95"/>
      <c r="E51" s="95"/>
      <c r="F51" s="95"/>
      <c r="G51" s="95"/>
      <c r="H51" s="96"/>
      <c r="I51" s="97">
        <f t="shared" ref="I51:N51" si="15">I25*I37</f>
        <v>520000</v>
      </c>
      <c r="J51" s="98">
        <f t="shared" si="15"/>
        <v>520000</v>
      </c>
      <c r="K51" s="98">
        <f t="shared" si="15"/>
        <v>520000</v>
      </c>
      <c r="L51" s="98">
        <f t="shared" si="15"/>
        <v>520000</v>
      </c>
      <c r="M51" s="98">
        <f t="shared" si="15"/>
        <v>520000</v>
      </c>
      <c r="N51" s="99">
        <f t="shared" si="15"/>
        <v>520000</v>
      </c>
      <c r="O51" s="98"/>
      <c r="P51" s="67"/>
    </row>
    <row r="52" spans="1:16" ht="13">
      <c r="A52" s="93" t="s">
        <v>54</v>
      </c>
      <c r="B52" s="97"/>
      <c r="C52" s="98"/>
      <c r="D52" s="98"/>
      <c r="E52" s="98"/>
      <c r="F52" s="98"/>
      <c r="G52" s="98"/>
      <c r="H52" s="99"/>
      <c r="I52" s="97">
        <f t="shared" ref="I52:N52" si="16">I38*I31</f>
        <v>1062500</v>
      </c>
      <c r="J52" s="98">
        <f t="shared" si="16"/>
        <v>1062500</v>
      </c>
      <c r="K52" s="98">
        <f t="shared" si="16"/>
        <v>1062500</v>
      </c>
      <c r="L52" s="98">
        <f t="shared" si="16"/>
        <v>1062500</v>
      </c>
      <c r="M52" s="98">
        <f t="shared" si="16"/>
        <v>1062500</v>
      </c>
      <c r="N52" s="99">
        <f t="shared" si="16"/>
        <v>1062500</v>
      </c>
      <c r="O52" s="98"/>
      <c r="P52" s="67"/>
    </row>
    <row r="53" spans="1:16" ht="13">
      <c r="A53" s="93" t="s">
        <v>55</v>
      </c>
      <c r="B53" s="97"/>
      <c r="C53" s="98"/>
      <c r="D53" s="98"/>
      <c r="E53" s="98"/>
      <c r="F53" s="98"/>
      <c r="G53" s="98"/>
      <c r="H53" s="99"/>
      <c r="I53" s="97">
        <f>I31*I39</f>
        <v>312500</v>
      </c>
      <c r="J53" s="98">
        <f>J31*J39</f>
        <v>312500</v>
      </c>
      <c r="K53" s="98">
        <f>K39*K31</f>
        <v>312500</v>
      </c>
      <c r="L53" s="98">
        <f>L39*L31</f>
        <v>312500</v>
      </c>
      <c r="M53" s="98">
        <f>M39*M31</f>
        <v>312500</v>
      </c>
      <c r="N53" s="99"/>
      <c r="O53" s="98"/>
      <c r="P53" s="67"/>
    </row>
    <row r="54" spans="1:16" ht="13">
      <c r="A54" s="93" t="s">
        <v>57</v>
      </c>
      <c r="B54" s="97"/>
      <c r="C54" s="98"/>
      <c r="D54" s="98"/>
      <c r="E54" s="98"/>
      <c r="F54" s="98"/>
      <c r="G54" s="98"/>
      <c r="H54" s="99"/>
      <c r="I54" s="97">
        <f t="shared" ref="I54:N54" si="17">I40*I20</f>
        <v>0</v>
      </c>
      <c r="J54" s="98">
        <f t="shared" si="17"/>
        <v>0</v>
      </c>
      <c r="K54" s="98">
        <f t="shared" si="17"/>
        <v>0</v>
      </c>
      <c r="L54" s="98">
        <f t="shared" si="17"/>
        <v>0</v>
      </c>
      <c r="M54" s="98">
        <f t="shared" si="17"/>
        <v>0</v>
      </c>
      <c r="N54" s="99">
        <f t="shared" si="17"/>
        <v>0</v>
      </c>
      <c r="O54" s="98"/>
      <c r="P54" s="67"/>
    </row>
    <row r="55" spans="1:16" ht="13">
      <c r="A55" s="93" t="s">
        <v>58</v>
      </c>
      <c r="B55" s="97"/>
      <c r="C55" s="98"/>
      <c r="D55" s="98"/>
      <c r="E55" s="98"/>
      <c r="F55" s="98"/>
      <c r="G55" s="98"/>
      <c r="H55" s="99"/>
      <c r="I55" s="97">
        <f t="shared" ref="I55:N55" si="18">I32*I41</f>
        <v>220000</v>
      </c>
      <c r="J55" s="98">
        <f t="shared" si="18"/>
        <v>231000</v>
      </c>
      <c r="K55" s="98">
        <f t="shared" si="18"/>
        <v>220000</v>
      </c>
      <c r="L55" s="98">
        <f t="shared" si="18"/>
        <v>220000</v>
      </c>
      <c r="M55" s="98">
        <f t="shared" si="18"/>
        <v>220000</v>
      </c>
      <c r="N55" s="99">
        <f t="shared" si="18"/>
        <v>220000</v>
      </c>
      <c r="O55" s="98"/>
      <c r="P55" s="100"/>
    </row>
    <row r="56" spans="1:16" ht="13">
      <c r="A56" s="10" t="s">
        <v>335</v>
      </c>
      <c r="B56" s="97"/>
      <c r="C56" s="98"/>
      <c r="D56" s="98"/>
      <c r="E56" s="98"/>
      <c r="F56" s="98"/>
      <c r="G56" s="98"/>
      <c r="H56" s="99"/>
      <c r="I56" s="97"/>
      <c r="J56" s="98"/>
      <c r="K56" s="98"/>
      <c r="L56" s="98"/>
      <c r="M56" s="98"/>
      <c r="N56" s="99"/>
      <c r="O56" s="9">
        <f>SUM(O57:O58)</f>
        <v>22379450.913838118</v>
      </c>
      <c r="P56" s="100"/>
    </row>
    <row r="57" spans="1:16" ht="13">
      <c r="A57" s="93" t="s">
        <v>53</v>
      </c>
      <c r="B57" s="97"/>
      <c r="C57" s="98"/>
      <c r="D57" s="98"/>
      <c r="E57" s="98"/>
      <c r="F57" s="98"/>
      <c r="G57" s="98"/>
      <c r="H57" s="99"/>
      <c r="I57" s="97"/>
      <c r="J57" s="98"/>
      <c r="K57" s="98"/>
      <c r="L57" s="98"/>
      <c r="M57" s="98"/>
      <c r="N57" s="99"/>
      <c r="O57" s="98">
        <f>O35*O25</f>
        <v>149450.91383812009</v>
      </c>
      <c r="P57" s="100"/>
    </row>
    <row r="58" spans="1:16" ht="13">
      <c r="A58" s="93" t="s">
        <v>57</v>
      </c>
      <c r="B58" s="97"/>
      <c r="C58" s="98"/>
      <c r="D58" s="98"/>
      <c r="E58" s="98"/>
      <c r="F58" s="98"/>
      <c r="G58" s="98"/>
      <c r="H58" s="99"/>
      <c r="I58" s="97"/>
      <c r="J58" s="98"/>
      <c r="K58" s="98"/>
      <c r="L58" s="98"/>
      <c r="M58" s="98"/>
      <c r="N58" s="99"/>
      <c r="O58" s="98">
        <f>O42*'Base data for vehicles'!I9</f>
        <v>22230000</v>
      </c>
      <c r="P58" s="100"/>
    </row>
    <row r="59" spans="1:16" ht="12.5">
      <c r="A59" s="92" t="s">
        <v>56</v>
      </c>
      <c r="B59" s="28">
        <f>B42*B18</f>
        <v>46203.618304363248</v>
      </c>
      <c r="C59" s="29">
        <f t="shared" ref="C59:N59" si="19">C42*C18</f>
        <v>46203.618304363248</v>
      </c>
      <c r="D59" s="29">
        <f t="shared" si="19"/>
        <v>46100</v>
      </c>
      <c r="E59" s="29">
        <f t="shared" si="19"/>
        <v>98063.999999999971</v>
      </c>
      <c r="F59" s="29">
        <f t="shared" si="19"/>
        <v>98063.999999999971</v>
      </c>
      <c r="G59" s="29">
        <f t="shared" si="19"/>
        <v>263735.99999999994</v>
      </c>
      <c r="H59" s="30">
        <f t="shared" si="19"/>
        <v>766800</v>
      </c>
      <c r="I59" s="28">
        <f t="shared" si="19"/>
        <v>41253.230628895748</v>
      </c>
      <c r="J59" s="29">
        <f t="shared" si="19"/>
        <v>40796.460176991153</v>
      </c>
      <c r="K59" s="29">
        <f t="shared" si="19"/>
        <v>92513.20754716979</v>
      </c>
      <c r="L59" s="29">
        <f t="shared" si="19"/>
        <v>92513.20754716979</v>
      </c>
      <c r="M59" s="29">
        <f t="shared" si="19"/>
        <v>244199.99999999994</v>
      </c>
      <c r="N59" s="30">
        <f t="shared" si="19"/>
        <v>759207.92079207918</v>
      </c>
      <c r="O59" s="29"/>
      <c r="P59" s="67"/>
    </row>
    <row r="60" spans="1:16" ht="12.5">
      <c r="A60" s="92" t="s">
        <v>218</v>
      </c>
      <c r="B60" s="28">
        <f t="shared" ref="B60:H60" si="20">B45*B23+B46*B24</f>
        <v>0</v>
      </c>
      <c r="C60" s="29">
        <f t="shared" si="20"/>
        <v>8000000</v>
      </c>
      <c r="D60" s="29">
        <f t="shared" si="20"/>
        <v>0</v>
      </c>
      <c r="E60" s="29">
        <f t="shared" si="20"/>
        <v>0</v>
      </c>
      <c r="F60" s="29">
        <f t="shared" si="20"/>
        <v>0</v>
      </c>
      <c r="G60" s="29">
        <f t="shared" si="20"/>
        <v>0</v>
      </c>
      <c r="H60" s="29">
        <f t="shared" si="20"/>
        <v>0</v>
      </c>
      <c r="I60" s="28"/>
      <c r="J60" s="29"/>
      <c r="K60" s="29"/>
      <c r="L60" s="29"/>
      <c r="M60" s="29"/>
      <c r="N60" s="30"/>
      <c r="O60" s="29"/>
      <c r="P60" s="67"/>
    </row>
    <row r="61" spans="1:16" ht="13">
      <c r="A61" s="6" t="s">
        <v>59</v>
      </c>
      <c r="B61" s="32">
        <f t="shared" ref="B61:H61" si="21">SUM(B49:B60)</f>
        <v>7046203.6183043635</v>
      </c>
      <c r="C61" s="33">
        <f t="shared" si="21"/>
        <v>15046203.618304364</v>
      </c>
      <c r="D61" s="33">
        <f t="shared" si="21"/>
        <v>7046100</v>
      </c>
      <c r="E61" s="33">
        <f t="shared" si="21"/>
        <v>7498064</v>
      </c>
      <c r="F61" s="33">
        <f t="shared" si="21"/>
        <v>7498064</v>
      </c>
      <c r="G61" s="33">
        <f t="shared" si="21"/>
        <v>10263736</v>
      </c>
      <c r="H61" s="34">
        <f t="shared" si="21"/>
        <v>16766800</v>
      </c>
      <c r="I61" s="32">
        <f t="shared" ref="I61:N61" si="22">SUM(I49:I50,I59:I60)</f>
        <v>17833028.687547956</v>
      </c>
      <c r="J61" s="33">
        <f t="shared" si="22"/>
        <v>17832571.917096049</v>
      </c>
      <c r="K61" s="33">
        <f t="shared" si="22"/>
        <v>17884288.664466228</v>
      </c>
      <c r="L61" s="33">
        <f t="shared" si="22"/>
        <v>17884288.664466228</v>
      </c>
      <c r="M61" s="33">
        <f t="shared" si="22"/>
        <v>18035975.456919059</v>
      </c>
      <c r="N61" s="34">
        <f t="shared" si="22"/>
        <v>18550983.37771114</v>
      </c>
      <c r="O61" s="33">
        <f>SUM(O49:O50,O59:O60,O56)</f>
        <v>22379450.913838118</v>
      </c>
      <c r="P61" s="88"/>
    </row>
    <row r="62" spans="1:16" ht="14.5">
      <c r="A62"/>
      <c r="B62"/>
      <c r="C62"/>
      <c r="D62"/>
      <c r="E62"/>
      <c r="F62"/>
      <c r="G62"/>
      <c r="H62"/>
      <c r="I62" s="47"/>
      <c r="J62" s="47"/>
      <c r="K62" s="47"/>
      <c r="L62" s="47"/>
      <c r="M62" s="47"/>
      <c r="N62" s="47"/>
      <c r="O62" s="47"/>
    </row>
    <row r="63" spans="1:16" ht="14.5">
      <c r="A63" s="48" t="s">
        <v>86</v>
      </c>
      <c r="B63"/>
      <c r="C63"/>
      <c r="D63"/>
      <c r="E63"/>
      <c r="F63"/>
      <c r="G63"/>
      <c r="H63"/>
      <c r="I63"/>
      <c r="J63"/>
      <c r="K63"/>
      <c r="L63"/>
      <c r="M63"/>
      <c r="N63"/>
      <c r="O63"/>
    </row>
    <row r="64" spans="1:16" ht="14.5">
      <c r="A64" s="5" t="s">
        <v>88</v>
      </c>
      <c r="B64" s="74">
        <f>(B61/'Base data for vehicles'!$J$15)*(1-'Base data for vehicles'!$J$15)</f>
        <v>63415832.564739265</v>
      </c>
      <c r="C64" s="75">
        <f t="shared" ref="C64:H64" si="23">B64</f>
        <v>63415832.564739265</v>
      </c>
      <c r="D64" s="75">
        <f t="shared" si="23"/>
        <v>63415832.564739265</v>
      </c>
      <c r="E64" s="75">
        <f t="shared" si="23"/>
        <v>63415832.564739265</v>
      </c>
      <c r="F64" s="75">
        <f t="shared" si="23"/>
        <v>63415832.564739265</v>
      </c>
      <c r="G64" s="75">
        <f t="shared" si="23"/>
        <v>63415832.564739265</v>
      </c>
      <c r="H64" s="76">
        <f t="shared" si="23"/>
        <v>63415832.564739265</v>
      </c>
      <c r="I64" s="74">
        <f>B64</f>
        <v>63415832.564739265</v>
      </c>
      <c r="J64" s="75">
        <f t="shared" ref="J64:O64" si="24">C64</f>
        <v>63415832.564739265</v>
      </c>
      <c r="K64" s="75">
        <f t="shared" si="24"/>
        <v>63415832.564739265</v>
      </c>
      <c r="L64" s="75">
        <f t="shared" si="24"/>
        <v>63415832.564739265</v>
      </c>
      <c r="M64" s="75">
        <f t="shared" si="24"/>
        <v>63415832.564739265</v>
      </c>
      <c r="N64" s="76">
        <f t="shared" si="24"/>
        <v>63415832.564739265</v>
      </c>
      <c r="O64" s="76">
        <f t="shared" si="24"/>
        <v>63415832.564739265</v>
      </c>
      <c r="P64" s="88"/>
    </row>
    <row r="65" spans="1:16" ht="14.5">
      <c r="A65" s="5" t="s">
        <v>196</v>
      </c>
      <c r="B65" s="79">
        <f>(B64+B61)</f>
        <v>70462036.183043629</v>
      </c>
      <c r="C65" s="77">
        <f t="shared" ref="C65:N65" si="25">C64+C61</f>
        <v>78462036.183043629</v>
      </c>
      <c r="D65" s="77">
        <f t="shared" si="25"/>
        <v>70461932.564739257</v>
      </c>
      <c r="E65" s="77">
        <f t="shared" si="25"/>
        <v>70913896.564739257</v>
      </c>
      <c r="F65" s="77">
        <f t="shared" si="25"/>
        <v>70913896.564739257</v>
      </c>
      <c r="G65" s="77">
        <f>G64+G61</f>
        <v>73679568.564739257</v>
      </c>
      <c r="H65" s="78">
        <f>H64+H61</f>
        <v>80182632.564739257</v>
      </c>
      <c r="I65" s="105">
        <f t="shared" si="25"/>
        <v>81248861.252287224</v>
      </c>
      <c r="J65" s="77">
        <f t="shared" si="25"/>
        <v>81248404.481835306</v>
      </c>
      <c r="K65" s="77">
        <f t="shared" si="25"/>
        <v>81300121.229205489</v>
      </c>
      <c r="L65" s="77">
        <f t="shared" si="25"/>
        <v>81300121.229205489</v>
      </c>
      <c r="M65" s="77">
        <f t="shared" si="25"/>
        <v>81451808.021658331</v>
      </c>
      <c r="N65" s="78">
        <f t="shared" si="25"/>
        <v>81966815.942450404</v>
      </c>
      <c r="O65" s="78">
        <f>O64+O61</f>
        <v>85795283.478577375</v>
      </c>
      <c r="P65" s="88"/>
    </row>
    <row r="66" spans="1:16" s="48" customFormat="1" ht="14.5">
      <c r="A66" s="48" t="s">
        <v>195</v>
      </c>
      <c r="B66" s="80">
        <f>B65-$D$65</f>
        <v>103.6183043718338</v>
      </c>
      <c r="C66" s="81">
        <f t="shared" ref="C66:N66" si="26">C65-$D$65</f>
        <v>8000103.6183043718</v>
      </c>
      <c r="D66" s="81">
        <f t="shared" si="26"/>
        <v>0</v>
      </c>
      <c r="E66" s="81">
        <f t="shared" si="26"/>
        <v>451964</v>
      </c>
      <c r="F66" s="81">
        <f t="shared" si="26"/>
        <v>451964</v>
      </c>
      <c r="G66" s="81">
        <f t="shared" si="26"/>
        <v>3217636</v>
      </c>
      <c r="H66" s="82">
        <f t="shared" si="26"/>
        <v>9720700</v>
      </c>
      <c r="I66" s="80">
        <f t="shared" si="26"/>
        <v>10786928.687547967</v>
      </c>
      <c r="J66" s="81">
        <f t="shared" si="26"/>
        <v>10786471.917096049</v>
      </c>
      <c r="K66" s="81">
        <f t="shared" si="26"/>
        <v>10838188.664466232</v>
      </c>
      <c r="L66" s="81">
        <f t="shared" si="26"/>
        <v>10838188.664466232</v>
      </c>
      <c r="M66" s="81">
        <f t="shared" si="26"/>
        <v>10989875.456919074</v>
      </c>
      <c r="N66" s="82">
        <f t="shared" si="26"/>
        <v>11504883.377711147</v>
      </c>
      <c r="O66" s="82">
        <f>O65-$D$65</f>
        <v>15333350.913838118</v>
      </c>
      <c r="P66" s="88" t="s">
        <v>194</v>
      </c>
    </row>
    <row r="67" spans="1:16" s="348" customFormat="1" ht="13">
      <c r="A67" s="348" t="s">
        <v>532</v>
      </c>
      <c r="B67" s="373">
        <f t="shared" ref="B67:O67" si="27">B66*10000/10^9</f>
        <v>1.036183043718338E-3</v>
      </c>
      <c r="C67" s="373">
        <f t="shared" si="27"/>
        <v>80.001036183043723</v>
      </c>
      <c r="D67" s="373">
        <f t="shared" si="27"/>
        <v>0</v>
      </c>
      <c r="E67" s="373">
        <f t="shared" si="27"/>
        <v>4.5196399999999999</v>
      </c>
      <c r="F67" s="373">
        <f t="shared" si="27"/>
        <v>4.5196399999999999</v>
      </c>
      <c r="G67" s="373">
        <f t="shared" si="27"/>
        <v>32.176360000000003</v>
      </c>
      <c r="H67" s="373">
        <f t="shared" si="27"/>
        <v>97.206999999999994</v>
      </c>
      <c r="I67" s="373">
        <f t="shared" si="27"/>
        <v>107.86928687547967</v>
      </c>
      <c r="J67" s="373">
        <f t="shared" si="27"/>
        <v>107.86471917096048</v>
      </c>
      <c r="K67" s="373">
        <f t="shared" si="27"/>
        <v>108.38188664466232</v>
      </c>
      <c r="L67" s="373">
        <f t="shared" si="27"/>
        <v>108.38188664466232</v>
      </c>
      <c r="M67" s="373">
        <f t="shared" si="27"/>
        <v>109.89875456919073</v>
      </c>
      <c r="N67" s="373">
        <f t="shared" si="27"/>
        <v>115.04883377711147</v>
      </c>
      <c r="O67" s="373">
        <f t="shared" si="27"/>
        <v>153.3335091383812</v>
      </c>
      <c r="P67" s="359"/>
    </row>
    <row r="68" spans="1:16" s="48" customFormat="1" ht="14.5">
      <c r="A68" s="48" t="s">
        <v>246</v>
      </c>
      <c r="B68" s="117">
        <f>B65/$B$65</f>
        <v>1</v>
      </c>
      <c r="C68" s="117">
        <f t="shared" ref="C68:N68" si="28">C65/$B$65</f>
        <v>1.1135363159136915</v>
      </c>
      <c r="D68" s="117">
        <f t="shared" si="28"/>
        <v>0.9999985294449325</v>
      </c>
      <c r="E68" s="117">
        <f t="shared" si="28"/>
        <v>1.0064128203806344</v>
      </c>
      <c r="F68" s="117">
        <f t="shared" si="28"/>
        <v>1.0064128203806344</v>
      </c>
      <c r="G68" s="117">
        <f t="shared" si="28"/>
        <v>1.045663346618841</v>
      </c>
      <c r="H68" s="117">
        <f t="shared" si="28"/>
        <v>1.13795508770771</v>
      </c>
      <c r="I68" s="117">
        <f t="shared" si="28"/>
        <v>1.1530870473459209</v>
      </c>
      <c r="J68" s="117">
        <f t="shared" si="28"/>
        <v>1.1530805648416298</v>
      </c>
      <c r="K68" s="117">
        <f t="shared" si="28"/>
        <v>1.1538145309625609</v>
      </c>
      <c r="L68" s="117">
        <f t="shared" si="28"/>
        <v>1.1538145309625609</v>
      </c>
      <c r="M68" s="117">
        <f t="shared" si="28"/>
        <v>1.1559672759110435</v>
      </c>
      <c r="N68" s="117">
        <f t="shared" si="28"/>
        <v>1.1632762886601813</v>
      </c>
      <c r="O68" s="117">
        <f>O65/$B$65</f>
        <v>1.2176100511160592</v>
      </c>
      <c r="P68" s="116"/>
    </row>
    <row r="70" spans="1:16">
      <c r="A70" s="48" t="s">
        <v>220</v>
      </c>
    </row>
    <row r="71" spans="1:16">
      <c r="A71" s="5" t="s">
        <v>223</v>
      </c>
      <c r="B71" s="101">
        <f>B65/1000</f>
        <v>70462.03618304363</v>
      </c>
      <c r="C71" s="101">
        <f t="shared" ref="C71:N72" si="29">C65/1000</f>
        <v>78462.03618304363</v>
      </c>
      <c r="D71" s="101">
        <f t="shared" si="29"/>
        <v>70461.932564739254</v>
      </c>
      <c r="E71" s="101">
        <f t="shared" si="29"/>
        <v>70913.896564739262</v>
      </c>
      <c r="F71" s="101">
        <f t="shared" si="29"/>
        <v>70913.896564739262</v>
      </c>
      <c r="G71" s="101">
        <f t="shared" si="29"/>
        <v>73679.568564739253</v>
      </c>
      <c r="H71" s="101">
        <f t="shared" si="29"/>
        <v>80182.632564739251</v>
      </c>
      <c r="I71" s="101">
        <f t="shared" si="29"/>
        <v>81248.861252287228</v>
      </c>
      <c r="J71" s="101">
        <f t="shared" si="29"/>
        <v>81248.4044818353</v>
      </c>
      <c r="K71" s="101">
        <f t="shared" si="29"/>
        <v>81300.121229205484</v>
      </c>
      <c r="L71" s="101">
        <f t="shared" si="29"/>
        <v>81300.121229205484</v>
      </c>
      <c r="M71" s="101">
        <f t="shared" si="29"/>
        <v>81451.808021658333</v>
      </c>
      <c r="N71" s="101">
        <f t="shared" si="29"/>
        <v>81966.815942450397</v>
      </c>
      <c r="O71" s="101"/>
    </row>
    <row r="72" spans="1:16">
      <c r="A72" s="5" t="s">
        <v>222</v>
      </c>
      <c r="B72" s="101">
        <f>B66/1000</f>
        <v>0.10361830437183381</v>
      </c>
      <c r="C72" s="101">
        <f t="shared" si="29"/>
        <v>8000.1036183043716</v>
      </c>
      <c r="D72" s="101">
        <f t="shared" si="29"/>
        <v>0</v>
      </c>
      <c r="E72" s="101">
        <f t="shared" si="29"/>
        <v>451.964</v>
      </c>
      <c r="F72" s="101">
        <f t="shared" si="29"/>
        <v>451.964</v>
      </c>
      <c r="G72" s="101">
        <f t="shared" si="29"/>
        <v>3217.636</v>
      </c>
      <c r="H72" s="101">
        <f t="shared" si="29"/>
        <v>9720.7000000000007</v>
      </c>
      <c r="I72" s="101">
        <f t="shared" si="29"/>
        <v>10786.928687547967</v>
      </c>
      <c r="J72" s="101">
        <f t="shared" si="29"/>
        <v>10786.471917096049</v>
      </c>
      <c r="K72" s="101">
        <f t="shared" si="29"/>
        <v>10838.188664466232</v>
      </c>
      <c r="L72" s="101">
        <f t="shared" si="29"/>
        <v>10838.188664466232</v>
      </c>
      <c r="M72" s="101">
        <f t="shared" si="29"/>
        <v>10989.875456919073</v>
      </c>
      <c r="N72" s="101">
        <f t="shared" si="29"/>
        <v>11504.883377711147</v>
      </c>
      <c r="O72" s="101"/>
    </row>
    <row r="73" spans="1:16">
      <c r="A73" s="5" t="s">
        <v>224</v>
      </c>
      <c r="B73" s="5">
        <f t="shared" ref="B73:N73" si="30">SUM(B49:B50)/B23</f>
        <v>350</v>
      </c>
      <c r="C73" s="5">
        <f t="shared" si="30"/>
        <v>350</v>
      </c>
      <c r="D73" s="5">
        <f t="shared" si="30"/>
        <v>350</v>
      </c>
      <c r="E73" s="5">
        <f t="shared" si="30"/>
        <v>370</v>
      </c>
      <c r="F73" s="5">
        <f t="shared" si="30"/>
        <v>370</v>
      </c>
      <c r="G73" s="5">
        <f t="shared" si="30"/>
        <v>500</v>
      </c>
      <c r="H73" s="5">
        <f t="shared" si="30"/>
        <v>800</v>
      </c>
      <c r="I73" s="5">
        <f t="shared" si="30"/>
        <v>889.58877284595292</v>
      </c>
      <c r="J73" s="5">
        <f t="shared" si="30"/>
        <v>889.58877284595292</v>
      </c>
      <c r="K73" s="5">
        <f t="shared" si="30"/>
        <v>889.58877284595292</v>
      </c>
      <c r="L73" s="5">
        <f t="shared" si="30"/>
        <v>889.58877284595292</v>
      </c>
      <c r="M73" s="5">
        <f t="shared" si="30"/>
        <v>889.58877284595292</v>
      </c>
      <c r="N73" s="5">
        <f t="shared" si="30"/>
        <v>889.58877284595292</v>
      </c>
    </row>
    <row r="74" spans="1:16">
      <c r="A74" s="5" t="s">
        <v>225</v>
      </c>
      <c r="B74" s="101">
        <f>B59</f>
        <v>46203.618304363248</v>
      </c>
      <c r="C74" s="101">
        <f t="shared" ref="C74:N74" si="31">C59</f>
        <v>46203.618304363248</v>
      </c>
      <c r="D74" s="101">
        <f t="shared" si="31"/>
        <v>46100</v>
      </c>
      <c r="E74" s="101">
        <f t="shared" si="31"/>
        <v>98063.999999999971</v>
      </c>
      <c r="F74" s="101">
        <f t="shared" si="31"/>
        <v>98063.999999999971</v>
      </c>
      <c r="G74" s="101">
        <f t="shared" si="31"/>
        <v>263735.99999999994</v>
      </c>
      <c r="H74" s="101">
        <f t="shared" si="31"/>
        <v>766800</v>
      </c>
      <c r="I74" s="101">
        <f t="shared" si="31"/>
        <v>41253.230628895748</v>
      </c>
      <c r="J74" s="101">
        <f t="shared" si="31"/>
        <v>40796.460176991153</v>
      </c>
      <c r="K74" s="101">
        <f t="shared" si="31"/>
        <v>92513.20754716979</v>
      </c>
      <c r="L74" s="101">
        <f t="shared" si="31"/>
        <v>92513.20754716979</v>
      </c>
      <c r="M74" s="101">
        <f t="shared" si="31"/>
        <v>244199.99999999994</v>
      </c>
      <c r="N74" s="101">
        <f t="shared" si="31"/>
        <v>759207.92079207918</v>
      </c>
      <c r="O74" s="101"/>
    </row>
    <row r="75" spans="1:16">
      <c r="A75" s="5" t="s">
        <v>71</v>
      </c>
    </row>
    <row r="76" spans="1:16">
      <c r="B76" s="101">
        <f t="shared" ref="B76:N76" si="32">B59/B23</f>
        <v>2.3101809152181625</v>
      </c>
      <c r="C76" s="101">
        <f t="shared" si="32"/>
        <v>2.3101809152181625</v>
      </c>
      <c r="D76" s="101">
        <f t="shared" si="32"/>
        <v>2.3050000000000002</v>
      </c>
      <c r="E76" s="101">
        <f t="shared" si="32"/>
        <v>4.9031999999999982</v>
      </c>
      <c r="F76" s="101">
        <f t="shared" si="32"/>
        <v>4.9031999999999982</v>
      </c>
      <c r="G76" s="101">
        <f t="shared" si="32"/>
        <v>13.186799999999996</v>
      </c>
      <c r="H76" s="101">
        <f t="shared" si="32"/>
        <v>38.340000000000003</v>
      </c>
      <c r="I76" s="101">
        <f t="shared" si="32"/>
        <v>2.0626615314447876</v>
      </c>
      <c r="J76" s="101">
        <f t="shared" si="32"/>
        <v>2.0398230088495577</v>
      </c>
      <c r="K76" s="101">
        <f t="shared" si="32"/>
        <v>4.6256603773584892</v>
      </c>
      <c r="L76" s="101">
        <f t="shared" si="32"/>
        <v>4.6256603773584892</v>
      </c>
      <c r="M76" s="101">
        <f t="shared" si="32"/>
        <v>12.209999999999997</v>
      </c>
      <c r="N76" s="101">
        <f t="shared" si="32"/>
        <v>37.960396039603957</v>
      </c>
      <c r="O76" s="101"/>
    </row>
    <row r="77" spans="1:16" ht="14.5">
      <c r="A77"/>
      <c r="B77"/>
      <c r="C77"/>
      <c r="D77"/>
      <c r="E77"/>
      <c r="F77"/>
      <c r="G77"/>
      <c r="H77"/>
      <c r="I77"/>
      <c r="J77"/>
      <c r="K77"/>
      <c r="L77"/>
      <c r="M77"/>
      <c r="N77"/>
      <c r="O77"/>
    </row>
    <row r="78" spans="1:16">
      <c r="A78" s="5" t="s">
        <v>116</v>
      </c>
      <c r="C78" s="101">
        <f>C66/C23</f>
        <v>400.0051809152186</v>
      </c>
      <c r="D78" s="101">
        <f t="shared" ref="D78:N78" si="33">D66/D23</f>
        <v>0</v>
      </c>
      <c r="E78" s="101">
        <f t="shared" si="33"/>
        <v>22.598199999999999</v>
      </c>
      <c r="F78" s="101">
        <f>F66/F23</f>
        <v>22.598199999999999</v>
      </c>
      <c r="G78" s="101">
        <f t="shared" si="33"/>
        <v>160.8818</v>
      </c>
      <c r="H78" s="101">
        <f t="shared" si="33"/>
        <v>486.03500000000003</v>
      </c>
      <c r="I78" s="101">
        <f t="shared" si="33"/>
        <v>539.3464343773984</v>
      </c>
      <c r="J78" s="101">
        <f t="shared" si="33"/>
        <v>539.32359585480242</v>
      </c>
      <c r="K78" s="101">
        <f t="shared" si="33"/>
        <v>541.90943322331157</v>
      </c>
      <c r="L78" s="101">
        <f t="shared" si="33"/>
        <v>541.90943322331157</v>
      </c>
      <c r="M78" s="101">
        <f t="shared" si="33"/>
        <v>549.49377284595369</v>
      </c>
      <c r="N78" s="101">
        <f t="shared" si="33"/>
        <v>575.24416888555731</v>
      </c>
      <c r="O78" s="101"/>
    </row>
    <row r="81" spans="1:16">
      <c r="A81" s="48" t="s">
        <v>287</v>
      </c>
    </row>
    <row r="82" spans="1:16" ht="12">
      <c r="A82" s="124" t="s">
        <v>288</v>
      </c>
      <c r="B82" s="125"/>
      <c r="C82" s="126"/>
      <c r="D82" s="126"/>
      <c r="E82" s="126"/>
      <c r="F82" s="126"/>
      <c r="G82" s="126"/>
      <c r="H82" s="127"/>
      <c r="I82" s="125"/>
      <c r="J82" s="126"/>
      <c r="K82" s="126"/>
      <c r="L82" s="126"/>
      <c r="M82" s="126"/>
      <c r="N82" s="127"/>
      <c r="O82" s="50"/>
      <c r="P82" s="67"/>
    </row>
    <row r="83" spans="1:16" ht="12.5">
      <c r="A83" s="10" t="s">
        <v>269</v>
      </c>
      <c r="B83" s="128">
        <f>B23/('Base data for vehicles'!$J$18/1000)</f>
        <v>222222.22222222222</v>
      </c>
      <c r="C83" s="129">
        <f>C23/('Base data for vehicles'!$J$18/1000)</f>
        <v>222222.22222222222</v>
      </c>
      <c r="D83" s="129">
        <f>D23/('Base data for vehicles'!$J$18/1000)</f>
        <v>222222.22222222222</v>
      </c>
      <c r="E83" s="129">
        <f>E23/('Base data for vehicles'!$J$18/1000)</f>
        <v>222222.22222222222</v>
      </c>
      <c r="F83" s="129">
        <f>F23/('Base data for vehicles'!$J$18/1000)</f>
        <v>222222.22222222222</v>
      </c>
      <c r="G83" s="129">
        <f>G23/('Base data for vehicles'!$J$18/1000)</f>
        <v>222222.22222222222</v>
      </c>
      <c r="H83" s="130">
        <f>H23/('Base data for vehicles'!$J$18/1000)</f>
        <v>222222.22222222222</v>
      </c>
      <c r="I83" s="128">
        <f>I23/('Base data for vehicles'!$J$61/1000)</f>
        <v>1333333.3333333335</v>
      </c>
      <c r="J83" s="129">
        <f>J23/('Base data for vehicles'!$J$61/1000)</f>
        <v>1333333.3333333335</v>
      </c>
      <c r="K83" s="129">
        <f>K23/('Base data for vehicles'!$J$61/1000)</f>
        <v>1333333.3333333335</v>
      </c>
      <c r="L83" s="129">
        <f>L23/('Base data for vehicles'!$J$61/1000)</f>
        <v>1333333.3333333335</v>
      </c>
      <c r="M83" s="129">
        <f>M23/('Base data for vehicles'!$J$61/1000)</f>
        <v>1333333.3333333335</v>
      </c>
      <c r="N83" s="130">
        <f>N23/('Base data for vehicles'!$J$61/1000)</f>
        <v>1333333.3333333335</v>
      </c>
      <c r="O83" s="129"/>
      <c r="P83" s="134"/>
    </row>
    <row r="84" spans="1:16" ht="12.5">
      <c r="A84" s="10" t="s">
        <v>270</v>
      </c>
      <c r="B84" s="128">
        <f>B23/'Base data for vehicles'!$J$19</f>
        <v>250</v>
      </c>
      <c r="C84" s="129">
        <f>C23/'Base data for vehicles'!$J$19</f>
        <v>250</v>
      </c>
      <c r="D84" s="129">
        <f>D23/'Base data for vehicles'!$J$19</f>
        <v>250</v>
      </c>
      <c r="E84" s="129">
        <f>E23/'Base data for vehicles'!$J$19</f>
        <v>250</v>
      </c>
      <c r="F84" s="129">
        <f>F23/'Base data for vehicles'!$J$19</f>
        <v>250</v>
      </c>
      <c r="G84" s="129">
        <f>G23/'Base data for vehicles'!$J$19</f>
        <v>250</v>
      </c>
      <c r="H84" s="130">
        <f>H23/'Base data for vehicles'!$J$19</f>
        <v>250</v>
      </c>
      <c r="I84" s="128">
        <f>I23/'Base data for vehicles'!$J$62</f>
        <v>6666.666666666667</v>
      </c>
      <c r="J84" s="129">
        <f>J23/'Base data for vehicles'!$J$62</f>
        <v>6666.666666666667</v>
      </c>
      <c r="K84" s="129">
        <f>K23/'Base data for vehicles'!$J$62</f>
        <v>6666.666666666667</v>
      </c>
      <c r="L84" s="129">
        <f>L23/'Base data for vehicles'!$J$62</f>
        <v>6666.666666666667</v>
      </c>
      <c r="M84" s="129">
        <f>M23/'Base data for vehicles'!$J$62</f>
        <v>6666.666666666667</v>
      </c>
      <c r="N84" s="130">
        <f>N23/'Base data for vehicles'!$J$62</f>
        <v>6666.666666666667</v>
      </c>
      <c r="O84" s="129"/>
      <c r="P84" s="134"/>
    </row>
    <row r="85" spans="1:16" ht="12">
      <c r="A85" s="124" t="s">
        <v>289</v>
      </c>
      <c r="B85" s="49"/>
      <c r="C85" s="50"/>
      <c r="D85" s="50"/>
      <c r="E85" s="50"/>
      <c r="F85" s="50"/>
      <c r="G85" s="50"/>
      <c r="H85" s="51"/>
      <c r="I85" s="49"/>
      <c r="J85" s="50"/>
      <c r="K85" s="50"/>
      <c r="L85" s="50"/>
      <c r="M85" s="50"/>
      <c r="N85" s="51"/>
      <c r="O85" s="50"/>
      <c r="P85" s="67"/>
    </row>
    <row r="86" spans="1:16" ht="12.5">
      <c r="A86" s="10" t="s">
        <v>269</v>
      </c>
      <c r="B86" s="128">
        <f>B17*'Unit conversion'!$B$6*1000</f>
        <v>54679.821662357936</v>
      </c>
      <c r="C86" s="129">
        <f>C17*'Unit conversion'!$B$6*1000</f>
        <v>54679.821662357936</v>
      </c>
      <c r="D86" s="129">
        <f>D17*'Unit conversion'!$C$6*1000</f>
        <v>49951.246882793013</v>
      </c>
      <c r="E86" s="129">
        <f>E17*'Unit conversion'!$E$6*1000</f>
        <v>107788.22346368713</v>
      </c>
      <c r="F86" s="129">
        <f>F17*'Unit conversion'!$F$6*1000</f>
        <v>107788.22346368713</v>
      </c>
      <c r="G86" s="129">
        <f>G17*'Unit conversion'!$G$6*1000</f>
        <v>43262.966789667887</v>
      </c>
      <c r="H86" s="130">
        <f>H17*'Unit conversion'!$H$6*1000</f>
        <v>18000</v>
      </c>
      <c r="I86" s="128">
        <f>I17*'Unit conversion'!$B$6*1000</f>
        <v>48821.269341391002</v>
      </c>
      <c r="J86" s="129">
        <f>J17*'Unit conversion'!$C$6*1000</f>
        <v>44204.64325910886</v>
      </c>
      <c r="K86" s="129">
        <f>K17*'Unit conversion'!E6*1000</f>
        <v>101687.00326762936</v>
      </c>
      <c r="L86" s="129">
        <f>L17*'Unit conversion'!F6*1000</f>
        <v>101687.00326762936</v>
      </c>
      <c r="M86" s="129">
        <f>M17*'Unit conversion'!G6*1000</f>
        <v>40058.302583025819</v>
      </c>
      <c r="N86" s="129">
        <f>N17*'Unit conversion'!H6*1000</f>
        <v>17821.782178217822</v>
      </c>
      <c r="O86" s="129"/>
      <c r="P86" s="67"/>
    </row>
    <row r="87" spans="1:16" ht="12.5">
      <c r="A87" s="10" t="s">
        <v>270</v>
      </c>
      <c r="B87" s="128">
        <f>B17</f>
        <v>55.40002194767775</v>
      </c>
      <c r="C87" s="129">
        <f t="shared" ref="C87:N87" si="34">C17</f>
        <v>55.40002194767775</v>
      </c>
      <c r="D87" s="129">
        <f t="shared" si="34"/>
        <v>57.481296758104733</v>
      </c>
      <c r="E87" s="129">
        <f t="shared" si="34"/>
        <v>136.96089385474858</v>
      </c>
      <c r="F87" s="129">
        <f t="shared" si="34"/>
        <v>136.96089385474858</v>
      </c>
      <c r="G87" s="129">
        <f t="shared" si="34"/>
        <v>88.472324723247212</v>
      </c>
      <c r="H87" s="130">
        <f t="shared" si="34"/>
        <v>253.52112676056342</v>
      </c>
      <c r="I87" s="128">
        <f t="shared" si="34"/>
        <v>49.464305310426546</v>
      </c>
      <c r="J87" s="129">
        <f t="shared" si="34"/>
        <v>50.868404210712157</v>
      </c>
      <c r="K87" s="129">
        <f t="shared" si="34"/>
        <v>129.20839042900809</v>
      </c>
      <c r="L87" s="129">
        <f t="shared" si="34"/>
        <v>129.20839042900809</v>
      </c>
      <c r="M87" s="129">
        <f t="shared" si="34"/>
        <v>81.918819188191861</v>
      </c>
      <c r="N87" s="130">
        <f t="shared" si="34"/>
        <v>251.01101659461725</v>
      </c>
      <c r="O87" s="129"/>
      <c r="P87" s="67"/>
    </row>
    <row r="88" spans="1:16" ht="12">
      <c r="A88" s="124" t="s">
        <v>292</v>
      </c>
      <c r="B88" s="49"/>
      <c r="C88" s="50"/>
      <c r="D88" s="50"/>
      <c r="E88" s="50"/>
      <c r="F88" s="50"/>
      <c r="G88" s="50"/>
      <c r="H88" s="51"/>
      <c r="I88" s="49"/>
      <c r="J88" s="50"/>
      <c r="K88" s="50"/>
      <c r="L88" s="50"/>
      <c r="M88" s="50"/>
      <c r="N88" s="51"/>
      <c r="O88" s="50"/>
      <c r="P88" s="67"/>
    </row>
    <row r="89" spans="1:16" ht="12.5">
      <c r="A89" s="10" t="s">
        <v>290</v>
      </c>
      <c r="B89" s="128">
        <f>B87*0.02*'Unit conversion'!$B$16</f>
        <v>8864.0035116284398</v>
      </c>
      <c r="C89" s="129">
        <f>C87*0.02*'Unit conversion'!$B$16</f>
        <v>8864.0035116284398</v>
      </c>
      <c r="D89" s="129">
        <f>D87*0.02*'Unit conversion'!$B$16</f>
        <v>9197.0074812967578</v>
      </c>
      <c r="E89" s="129">
        <f>E87*0.02*'Unit conversion'!$B$16</f>
        <v>21913.743016759774</v>
      </c>
      <c r="F89" s="129">
        <f>F87*0.02*'Unit conversion'!$B$16</f>
        <v>21913.743016759774</v>
      </c>
      <c r="G89" s="129">
        <f>G87*0.02*2*'Unit conversion'!$B$16</f>
        <v>28311.143911439107</v>
      </c>
      <c r="H89" s="130">
        <f>H87*0.02*'Unit conversion'!$B$16*2</f>
        <v>81126.760563380303</v>
      </c>
      <c r="I89" s="128">
        <f>I87*0.02*'Unit conversion'!$B$16</f>
        <v>7914.2888496682481</v>
      </c>
      <c r="J89" s="129">
        <f>J87*0.02*'Unit conversion'!$B$16</f>
        <v>8138.9446737139451</v>
      </c>
      <c r="K89" s="129">
        <f>K87*0.02*'Unit conversion'!$B$16</f>
        <v>20673.342468641295</v>
      </c>
      <c r="L89" s="129">
        <f>L87*0.02*'Unit conversion'!$B$16</f>
        <v>20673.342468641295</v>
      </c>
      <c r="M89" s="129">
        <f>M87*0.02*'Unit conversion'!$B$16*2</f>
        <v>26214.022140221394</v>
      </c>
      <c r="N89" s="130">
        <f>N87*0.02*'Unit conversion'!$B$16*2</f>
        <v>80323.525310277517</v>
      </c>
      <c r="O89" s="129"/>
      <c r="P89" s="68" t="s">
        <v>298</v>
      </c>
    </row>
    <row r="90" spans="1:16" ht="12.5">
      <c r="A90" s="10" t="s">
        <v>291</v>
      </c>
      <c r="B90" s="131">
        <f>B87*0.02</f>
        <v>1.1080004389535549</v>
      </c>
      <c r="C90" s="132">
        <f t="shared" ref="C90:L90" si="35">C87*0.02</f>
        <v>1.1080004389535549</v>
      </c>
      <c r="D90" s="132">
        <f t="shared" si="35"/>
        <v>1.1496259351620948</v>
      </c>
      <c r="E90" s="132">
        <f t="shared" si="35"/>
        <v>2.7392178770949718</v>
      </c>
      <c r="F90" s="132">
        <f t="shared" si="35"/>
        <v>2.7392178770949718</v>
      </c>
      <c r="G90" s="132">
        <f>G87*0.02*2</f>
        <v>3.5388929889298884</v>
      </c>
      <c r="H90" s="133">
        <f>H87*0.02*2</f>
        <v>10.140845070422538</v>
      </c>
      <c r="I90" s="131">
        <f t="shared" si="35"/>
        <v>0.98928610620853097</v>
      </c>
      <c r="J90" s="132">
        <f t="shared" si="35"/>
        <v>1.0173680842142432</v>
      </c>
      <c r="K90" s="132">
        <f t="shared" si="35"/>
        <v>2.5841678085801618</v>
      </c>
      <c r="L90" s="132">
        <f t="shared" si="35"/>
        <v>2.5841678085801618</v>
      </c>
      <c r="M90" s="132">
        <f>M87*0.02*2</f>
        <v>3.2767527675276744</v>
      </c>
      <c r="N90" s="133">
        <f>N87*0.02*2</f>
        <v>10.04044066378469</v>
      </c>
      <c r="O90" s="129"/>
      <c r="P90" s="68" t="s">
        <v>298</v>
      </c>
    </row>
    <row r="92" spans="1:16" ht="26">
      <c r="A92" s="5" t="s">
        <v>294</v>
      </c>
      <c r="B92" s="2" t="s">
        <v>0</v>
      </c>
      <c r="C92" s="3" t="s">
        <v>60</v>
      </c>
      <c r="D92" s="3" t="s">
        <v>61</v>
      </c>
      <c r="E92" s="3" t="s">
        <v>1</v>
      </c>
      <c r="F92" s="3" t="s">
        <v>2</v>
      </c>
      <c r="G92" s="3" t="s">
        <v>3</v>
      </c>
      <c r="H92" s="4" t="s">
        <v>4</v>
      </c>
      <c r="I92" s="2" t="s">
        <v>5</v>
      </c>
      <c r="J92" s="3" t="s">
        <v>62</v>
      </c>
      <c r="K92" s="3" t="s">
        <v>6</v>
      </c>
      <c r="L92" s="3" t="s">
        <v>188</v>
      </c>
      <c r="M92" s="3" t="s">
        <v>7</v>
      </c>
      <c r="N92" s="4" t="s">
        <v>8</v>
      </c>
      <c r="O92" s="103"/>
    </row>
    <row r="93" spans="1:16">
      <c r="A93" s="5" t="s">
        <v>295</v>
      </c>
      <c r="B93" s="101">
        <f>B83</f>
        <v>222222.22222222222</v>
      </c>
      <c r="C93" s="101">
        <f t="shared" ref="C93:N93" si="36">C83</f>
        <v>222222.22222222222</v>
      </c>
      <c r="D93" s="101">
        <f t="shared" si="36"/>
        <v>222222.22222222222</v>
      </c>
      <c r="E93" s="101">
        <f t="shared" si="36"/>
        <v>222222.22222222222</v>
      </c>
      <c r="F93" s="101">
        <f t="shared" si="36"/>
        <v>222222.22222222222</v>
      </c>
      <c r="G93" s="101">
        <f t="shared" si="36"/>
        <v>222222.22222222222</v>
      </c>
      <c r="H93" s="101">
        <f t="shared" si="36"/>
        <v>222222.22222222222</v>
      </c>
      <c r="I93" s="101">
        <f t="shared" si="36"/>
        <v>1333333.3333333335</v>
      </c>
      <c r="J93" s="101">
        <f t="shared" si="36"/>
        <v>1333333.3333333335</v>
      </c>
      <c r="K93" s="101">
        <f t="shared" si="36"/>
        <v>1333333.3333333335</v>
      </c>
      <c r="L93" s="101">
        <f t="shared" si="36"/>
        <v>1333333.3333333335</v>
      </c>
      <c r="M93" s="101">
        <f t="shared" si="36"/>
        <v>1333333.3333333335</v>
      </c>
      <c r="N93" s="101">
        <f t="shared" si="36"/>
        <v>1333333.3333333335</v>
      </c>
      <c r="O93" s="101"/>
    </row>
    <row r="94" spans="1:16">
      <c r="A94" s="5" t="s">
        <v>286</v>
      </c>
      <c r="B94" s="101">
        <f>B86</f>
        <v>54679.821662357936</v>
      </c>
      <c r="C94" s="101">
        <f t="shared" ref="C94:N94" si="37">C86</f>
        <v>54679.821662357936</v>
      </c>
      <c r="D94" s="101">
        <f t="shared" si="37"/>
        <v>49951.246882793013</v>
      </c>
      <c r="E94" s="101">
        <f t="shared" si="37"/>
        <v>107788.22346368713</v>
      </c>
      <c r="F94" s="101">
        <f t="shared" si="37"/>
        <v>107788.22346368713</v>
      </c>
      <c r="G94" s="101">
        <f t="shared" si="37"/>
        <v>43262.966789667887</v>
      </c>
      <c r="H94" s="101">
        <f t="shared" si="37"/>
        <v>18000</v>
      </c>
      <c r="I94" s="101">
        <f t="shared" si="37"/>
        <v>48821.269341391002</v>
      </c>
      <c r="J94" s="101">
        <f t="shared" si="37"/>
        <v>44204.64325910886</v>
      </c>
      <c r="K94" s="101">
        <f t="shared" si="37"/>
        <v>101687.00326762936</v>
      </c>
      <c r="L94" s="101">
        <f t="shared" si="37"/>
        <v>101687.00326762936</v>
      </c>
      <c r="M94" s="101">
        <f t="shared" si="37"/>
        <v>40058.302583025819</v>
      </c>
      <c r="N94" s="101">
        <f t="shared" si="37"/>
        <v>17821.782178217822</v>
      </c>
      <c r="O94" s="101"/>
    </row>
    <row r="95" spans="1:16">
      <c r="A95" s="5" t="s">
        <v>296</v>
      </c>
      <c r="B95" s="101">
        <f>B89</f>
        <v>8864.0035116284398</v>
      </c>
      <c r="C95" s="101">
        <f t="shared" ref="C95:N95" si="38">C89</f>
        <v>8864.0035116284398</v>
      </c>
      <c r="D95" s="101">
        <f t="shared" si="38"/>
        <v>9197.0074812967578</v>
      </c>
      <c r="E95" s="101">
        <f t="shared" si="38"/>
        <v>21913.743016759774</v>
      </c>
      <c r="F95" s="101">
        <f t="shared" si="38"/>
        <v>21913.743016759774</v>
      </c>
      <c r="G95" s="101">
        <f t="shared" si="38"/>
        <v>28311.143911439107</v>
      </c>
      <c r="H95" s="101">
        <f t="shared" si="38"/>
        <v>81126.760563380303</v>
      </c>
      <c r="I95" s="101">
        <f t="shared" si="38"/>
        <v>7914.2888496682481</v>
      </c>
      <c r="J95" s="101">
        <f t="shared" si="38"/>
        <v>8138.9446737139451</v>
      </c>
      <c r="K95" s="101">
        <f t="shared" si="38"/>
        <v>20673.342468641295</v>
      </c>
      <c r="L95" s="101">
        <f t="shared" si="38"/>
        <v>20673.342468641295</v>
      </c>
      <c r="M95" s="101">
        <f t="shared" si="38"/>
        <v>26214.022140221394</v>
      </c>
      <c r="N95" s="101">
        <f t="shared" si="38"/>
        <v>80323.525310277517</v>
      </c>
      <c r="O95" s="101"/>
    </row>
    <row r="96" spans="1:16">
      <c r="A96" s="5" t="s">
        <v>300</v>
      </c>
      <c r="B96" s="101">
        <f>SUM(B93:B95)</f>
        <v>285766.04739620857</v>
      </c>
      <c r="C96" s="101">
        <f t="shared" ref="C96:N96" si="39">SUM(C93:C95)</f>
        <v>285766.04739620857</v>
      </c>
      <c r="D96" s="101">
        <f t="shared" si="39"/>
        <v>281370.476586312</v>
      </c>
      <c r="E96" s="101">
        <f t="shared" si="39"/>
        <v>351924.18870266911</v>
      </c>
      <c r="F96" s="101">
        <f t="shared" si="39"/>
        <v>351924.18870266911</v>
      </c>
      <c r="G96" s="101">
        <f t="shared" si="39"/>
        <v>293796.3329233292</v>
      </c>
      <c r="H96" s="101">
        <f t="shared" si="39"/>
        <v>321348.98278560251</v>
      </c>
      <c r="I96" s="101">
        <f t="shared" si="39"/>
        <v>1390068.8915243929</v>
      </c>
      <c r="J96" s="101">
        <f t="shared" si="39"/>
        <v>1385676.9212661562</v>
      </c>
      <c r="K96" s="101">
        <f t="shared" si="39"/>
        <v>1455693.679069604</v>
      </c>
      <c r="L96" s="101">
        <f t="shared" si="39"/>
        <v>1455693.679069604</v>
      </c>
      <c r="M96" s="101">
        <f t="shared" si="39"/>
        <v>1399605.6580565807</v>
      </c>
      <c r="N96" s="101">
        <f t="shared" si="39"/>
        <v>1431478.6408218287</v>
      </c>
      <c r="O96" s="101"/>
    </row>
    <row r="97" spans="1:15">
      <c r="A97" s="5" t="s">
        <v>299</v>
      </c>
      <c r="B97" s="135">
        <f>(B96-$D$96)/$D$96</f>
        <v>1.5622004352500727E-2</v>
      </c>
      <c r="C97" s="135">
        <f t="shared" ref="C97:N97" si="40">(C96-$D$96)/$D$96</f>
        <v>1.5622004352500727E-2</v>
      </c>
      <c r="D97" s="135">
        <f t="shared" si="40"/>
        <v>0</v>
      </c>
      <c r="E97" s="135">
        <f t="shared" si="40"/>
        <v>0.25075023141141234</v>
      </c>
      <c r="F97" s="135">
        <f t="shared" si="40"/>
        <v>0.25075023141141234</v>
      </c>
      <c r="G97" s="135">
        <f t="shared" si="40"/>
        <v>4.4161905285061073E-2</v>
      </c>
      <c r="H97" s="135">
        <f t="shared" si="40"/>
        <v>0.1420849361465501</v>
      </c>
      <c r="I97" s="135">
        <f t="shared" si="40"/>
        <v>3.9403509152389029</v>
      </c>
      <c r="J97" s="135">
        <f t="shared" si="40"/>
        <v>3.9247417073663446</v>
      </c>
      <c r="K97" s="135">
        <f t="shared" si="40"/>
        <v>4.1735835853519676</v>
      </c>
      <c r="L97" s="135">
        <f t="shared" si="40"/>
        <v>4.1735835853519676</v>
      </c>
      <c r="M97" s="135">
        <f t="shared" si="40"/>
        <v>3.9742448995967905</v>
      </c>
      <c r="N97" s="135">
        <f t="shared" si="40"/>
        <v>4.0875225367957695</v>
      </c>
      <c r="O97" s="135"/>
    </row>
    <row r="98" spans="1:15" ht="26">
      <c r="A98" s="5" t="s">
        <v>297</v>
      </c>
      <c r="B98" s="2" t="s">
        <v>0</v>
      </c>
      <c r="C98" s="3" t="s">
        <v>60</v>
      </c>
      <c r="D98" s="3" t="s">
        <v>61</v>
      </c>
      <c r="E98" s="3" t="s">
        <v>1</v>
      </c>
      <c r="F98" s="3" t="s">
        <v>2</v>
      </c>
      <c r="G98" s="3" t="s">
        <v>3</v>
      </c>
      <c r="H98" s="4" t="s">
        <v>4</v>
      </c>
      <c r="I98" s="2" t="s">
        <v>5</v>
      </c>
      <c r="J98" s="3" t="s">
        <v>62</v>
      </c>
      <c r="K98" s="3" t="s">
        <v>6</v>
      </c>
      <c r="L98" s="3" t="s">
        <v>188</v>
      </c>
      <c r="M98" s="3" t="s">
        <v>7</v>
      </c>
      <c r="N98" s="4" t="s">
        <v>8</v>
      </c>
      <c r="O98" s="103"/>
    </row>
    <row r="99" spans="1:15">
      <c r="A99" s="5" t="s">
        <v>295</v>
      </c>
      <c r="B99" s="101">
        <f>B84</f>
        <v>250</v>
      </c>
      <c r="C99" s="101">
        <f t="shared" ref="C99:N99" si="41">C84</f>
        <v>250</v>
      </c>
      <c r="D99" s="101">
        <f t="shared" si="41"/>
        <v>250</v>
      </c>
      <c r="E99" s="101">
        <f t="shared" si="41"/>
        <v>250</v>
      </c>
      <c r="F99" s="101">
        <f t="shared" si="41"/>
        <v>250</v>
      </c>
      <c r="G99" s="101">
        <f t="shared" si="41"/>
        <v>250</v>
      </c>
      <c r="H99" s="101">
        <f t="shared" si="41"/>
        <v>250</v>
      </c>
      <c r="I99" s="101">
        <f t="shared" si="41"/>
        <v>6666.666666666667</v>
      </c>
      <c r="J99" s="101">
        <f t="shared" si="41"/>
        <v>6666.666666666667</v>
      </c>
      <c r="K99" s="101">
        <f t="shared" si="41"/>
        <v>6666.666666666667</v>
      </c>
      <c r="L99" s="101">
        <f t="shared" si="41"/>
        <v>6666.666666666667</v>
      </c>
      <c r="M99" s="101">
        <f t="shared" si="41"/>
        <v>6666.666666666667</v>
      </c>
      <c r="N99" s="101">
        <f t="shared" si="41"/>
        <v>6666.666666666667</v>
      </c>
      <c r="O99" s="101"/>
    </row>
    <row r="100" spans="1:15">
      <c r="A100" s="5" t="s">
        <v>286</v>
      </c>
      <c r="B100" s="101">
        <f>B87</f>
        <v>55.40002194767775</v>
      </c>
      <c r="C100" s="101">
        <f t="shared" ref="C100:N100" si="42">C87</f>
        <v>55.40002194767775</v>
      </c>
      <c r="D100" s="101">
        <f t="shared" si="42"/>
        <v>57.481296758104733</v>
      </c>
      <c r="E100" s="101">
        <f t="shared" si="42"/>
        <v>136.96089385474858</v>
      </c>
      <c r="F100" s="101">
        <f t="shared" si="42"/>
        <v>136.96089385474858</v>
      </c>
      <c r="G100" s="101">
        <f t="shared" si="42"/>
        <v>88.472324723247212</v>
      </c>
      <c r="H100" s="101">
        <f t="shared" si="42"/>
        <v>253.52112676056342</v>
      </c>
      <c r="I100" s="101">
        <f t="shared" si="42"/>
        <v>49.464305310426546</v>
      </c>
      <c r="J100" s="101">
        <f t="shared" si="42"/>
        <v>50.868404210712157</v>
      </c>
      <c r="K100" s="101">
        <f t="shared" si="42"/>
        <v>129.20839042900809</v>
      </c>
      <c r="L100" s="101">
        <f t="shared" si="42"/>
        <v>129.20839042900809</v>
      </c>
      <c r="M100" s="101">
        <f t="shared" si="42"/>
        <v>81.918819188191861</v>
      </c>
      <c r="N100" s="101">
        <f t="shared" si="42"/>
        <v>251.01101659461725</v>
      </c>
      <c r="O100" s="101"/>
    </row>
    <row r="101" spans="1:15">
      <c r="A101" s="5" t="s">
        <v>296</v>
      </c>
      <c r="B101" s="101">
        <f>B90</f>
        <v>1.1080004389535549</v>
      </c>
      <c r="C101" s="101">
        <f t="shared" ref="C101:N101" si="43">C90</f>
        <v>1.1080004389535549</v>
      </c>
      <c r="D101" s="101">
        <f t="shared" si="43"/>
        <v>1.1496259351620948</v>
      </c>
      <c r="E101" s="101">
        <f t="shared" si="43"/>
        <v>2.7392178770949718</v>
      </c>
      <c r="F101" s="101">
        <f t="shared" si="43"/>
        <v>2.7392178770949718</v>
      </c>
      <c r="G101" s="101">
        <f t="shared" si="43"/>
        <v>3.5388929889298884</v>
      </c>
      <c r="H101" s="101">
        <f t="shared" si="43"/>
        <v>10.140845070422538</v>
      </c>
      <c r="I101" s="101">
        <f t="shared" si="43"/>
        <v>0.98928610620853097</v>
      </c>
      <c r="J101" s="101">
        <f t="shared" si="43"/>
        <v>1.0173680842142432</v>
      </c>
      <c r="K101" s="101">
        <f t="shared" si="43"/>
        <v>2.5841678085801618</v>
      </c>
      <c r="L101" s="101">
        <f t="shared" si="43"/>
        <v>2.5841678085801618</v>
      </c>
      <c r="M101" s="101">
        <f t="shared" si="43"/>
        <v>3.2767527675276744</v>
      </c>
      <c r="N101" s="101">
        <f t="shared" si="43"/>
        <v>10.04044066378469</v>
      </c>
      <c r="O101" s="101"/>
    </row>
    <row r="102" spans="1:15">
      <c r="A102" s="5" t="s">
        <v>300</v>
      </c>
      <c r="B102" s="101">
        <f>SUM(B99:B101)</f>
        <v>306.50802238663135</v>
      </c>
      <c r="C102" s="101">
        <f t="shared" ref="C102:N102" si="44">SUM(C99:C101)</f>
        <v>306.50802238663135</v>
      </c>
      <c r="D102" s="101">
        <f t="shared" si="44"/>
        <v>308.63092269326683</v>
      </c>
      <c r="E102" s="101">
        <f t="shared" si="44"/>
        <v>389.70011173184355</v>
      </c>
      <c r="F102" s="101">
        <f t="shared" si="44"/>
        <v>389.70011173184355</v>
      </c>
      <c r="G102" s="101">
        <f t="shared" si="44"/>
        <v>342.01121771217709</v>
      </c>
      <c r="H102" s="101">
        <f t="shared" si="44"/>
        <v>513.66197183098598</v>
      </c>
      <c r="I102" s="101">
        <f t="shared" si="44"/>
        <v>6717.1202580833024</v>
      </c>
      <c r="J102" s="101">
        <f t="shared" si="44"/>
        <v>6718.5524389615939</v>
      </c>
      <c r="K102" s="101">
        <f t="shared" si="44"/>
        <v>6798.4592249042553</v>
      </c>
      <c r="L102" s="101">
        <f t="shared" si="44"/>
        <v>6798.4592249042553</v>
      </c>
      <c r="M102" s="101">
        <f t="shared" si="44"/>
        <v>6751.8622386223869</v>
      </c>
      <c r="N102" s="101">
        <f t="shared" si="44"/>
        <v>6927.7181239250685</v>
      </c>
      <c r="O102" s="101"/>
    </row>
    <row r="103" spans="1:15">
      <c r="A103" s="5" t="s">
        <v>299</v>
      </c>
      <c r="B103" s="135">
        <f>(B102-$D$102)/$D$102</f>
        <v>-6.8784433138131106E-3</v>
      </c>
      <c r="C103" s="135">
        <f t="shared" ref="C103:N103" si="45">(C102-$D$102)/$D$102</f>
        <v>-6.8784433138131106E-3</v>
      </c>
      <c r="D103" s="135">
        <f t="shared" si="45"/>
        <v>0</v>
      </c>
      <c r="E103" s="135">
        <f t="shared" si="45"/>
        <v>0.26267357895030963</v>
      </c>
      <c r="F103" s="135">
        <f t="shared" si="45"/>
        <v>0.26267357895030963</v>
      </c>
      <c r="G103" s="135">
        <f t="shared" si="45"/>
        <v>0.10815602897991301</v>
      </c>
      <c r="H103" s="135">
        <f t="shared" si="45"/>
        <v>0.66432438897734647</v>
      </c>
      <c r="I103" s="135">
        <f t="shared" si="45"/>
        <v>20.764249024259694</v>
      </c>
      <c r="J103" s="135">
        <f t="shared" si="45"/>
        <v>20.768889456481435</v>
      </c>
      <c r="K103" s="135">
        <f t="shared" si="45"/>
        <v>21.027796714527245</v>
      </c>
      <c r="L103" s="135">
        <f t="shared" si="45"/>
        <v>21.027796714527245</v>
      </c>
      <c r="M103" s="135">
        <f t="shared" si="45"/>
        <v>20.876817072321469</v>
      </c>
      <c r="N103" s="135">
        <f t="shared" si="45"/>
        <v>21.4466105452764</v>
      </c>
      <c r="O103" s="135"/>
    </row>
    <row r="109" spans="1:15">
      <c r="G109" s="5" t="s">
        <v>71</v>
      </c>
    </row>
  </sheetData>
  <pageMargins left="0.7" right="0.7" top="0.75" bottom="0.75" header="0.3" footer="0.3"/>
  <pageSetup paperSize="9" orientation="portrait" horizontalDpi="4294967292" verticalDpi="4294967292"/>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DB1AA-94DA-4EFE-BAC3-D77845CA8A02}">
  <dimension ref="A2:O121"/>
  <sheetViews>
    <sheetView topLeftCell="A83" workbookViewId="0">
      <selection activeCell="B110" sqref="B110:I112"/>
    </sheetView>
  </sheetViews>
  <sheetFormatPr defaultRowHeight="14.5"/>
  <cols>
    <col min="1" max="1" width="37.7265625" bestFit="1" customWidth="1"/>
    <col min="2" max="2" width="17.81640625" customWidth="1"/>
    <col min="3" max="3" width="17.453125" customWidth="1"/>
    <col min="4" max="4" width="16.7265625" bestFit="1" customWidth="1"/>
    <col min="5" max="5" width="18" customWidth="1"/>
    <col min="6" max="6" width="27.54296875" customWidth="1"/>
    <col min="7" max="7" width="21.26953125" customWidth="1"/>
    <col min="8" max="9" width="10" bestFit="1" customWidth="1"/>
  </cols>
  <sheetData>
    <row r="2" spans="1:15" ht="15" thickBot="1">
      <c r="A2" t="s">
        <v>581</v>
      </c>
      <c r="E2" t="s">
        <v>709</v>
      </c>
      <c r="K2" t="s">
        <v>649</v>
      </c>
    </row>
    <row r="3" spans="1:15" ht="28.5" thickBot="1">
      <c r="A3" s="404" t="s">
        <v>582</v>
      </c>
      <c r="B3" s="405"/>
      <c r="C3" s="406" t="s">
        <v>76</v>
      </c>
      <c r="E3" s="404" t="s">
        <v>582</v>
      </c>
      <c r="F3" s="405"/>
      <c r="G3" s="406" t="s">
        <v>76</v>
      </c>
      <c r="K3" s="425" t="s">
        <v>286</v>
      </c>
      <c r="L3" s="426" t="s">
        <v>650</v>
      </c>
      <c r="M3" s="426" t="s">
        <v>651</v>
      </c>
      <c r="N3" s="426" t="s">
        <v>652</v>
      </c>
    </row>
    <row r="4" spans="1:15" ht="26.5" thickBot="1">
      <c r="A4" s="407" t="s">
        <v>583</v>
      </c>
      <c r="B4" s="408" t="s">
        <v>584</v>
      </c>
      <c r="C4" s="408" t="s">
        <v>585</v>
      </c>
      <c r="E4" s="407" t="s">
        <v>583</v>
      </c>
      <c r="F4" s="408" t="s">
        <v>710</v>
      </c>
      <c r="G4" s="408" t="s">
        <v>585</v>
      </c>
      <c r="K4" s="427" t="s">
        <v>653</v>
      </c>
      <c r="L4" s="428" t="s">
        <v>654</v>
      </c>
      <c r="M4" s="428">
        <v>43.2</v>
      </c>
      <c r="N4" s="428">
        <v>803</v>
      </c>
    </row>
    <row r="5" spans="1:15" ht="25.5" thickBot="1">
      <c r="A5" s="407" t="s">
        <v>586</v>
      </c>
      <c r="B5" s="408">
        <v>325</v>
      </c>
      <c r="C5" s="408" t="s">
        <v>585</v>
      </c>
      <c r="E5" s="407" t="s">
        <v>586</v>
      </c>
      <c r="F5" s="408">
        <v>206</v>
      </c>
      <c r="G5" s="408" t="s">
        <v>585</v>
      </c>
      <c r="K5" s="427" t="s">
        <v>655</v>
      </c>
      <c r="L5" s="428" t="s">
        <v>654</v>
      </c>
      <c r="M5" s="428">
        <v>43.9</v>
      </c>
      <c r="N5" s="428">
        <v>788</v>
      </c>
    </row>
    <row r="6" spans="1:15" ht="39" thickBot="1">
      <c r="A6" s="407" t="s">
        <v>587</v>
      </c>
      <c r="B6" s="408" t="s">
        <v>588</v>
      </c>
      <c r="C6" s="408" t="s">
        <v>585</v>
      </c>
      <c r="E6" s="407" t="s">
        <v>587</v>
      </c>
      <c r="F6" s="408" t="s">
        <v>588</v>
      </c>
      <c r="G6" s="408" t="s">
        <v>585</v>
      </c>
      <c r="K6" s="427" t="s">
        <v>656</v>
      </c>
      <c r="L6" s="428" t="s">
        <v>657</v>
      </c>
      <c r="M6" s="428"/>
      <c r="N6" s="429">
        <v>423</v>
      </c>
      <c r="O6" t="s">
        <v>658</v>
      </c>
    </row>
    <row r="7" spans="1:15" ht="50.5" thickBot="1">
      <c r="A7" s="409" t="s">
        <v>589</v>
      </c>
      <c r="B7" s="410"/>
      <c r="C7" s="411"/>
      <c r="E7" s="409" t="s">
        <v>589</v>
      </c>
      <c r="F7" s="410"/>
      <c r="G7" s="411"/>
      <c r="K7" s="427" t="s">
        <v>656</v>
      </c>
      <c r="L7" s="428" t="s">
        <v>659</v>
      </c>
      <c r="M7" s="428">
        <v>49.2</v>
      </c>
      <c r="N7" s="428" t="s">
        <v>660</v>
      </c>
    </row>
    <row r="8" spans="1:15" ht="26.5" thickBot="1">
      <c r="A8" s="407" t="s">
        <v>590</v>
      </c>
      <c r="B8" s="408" t="s">
        <v>591</v>
      </c>
      <c r="C8" s="408" t="s">
        <v>585</v>
      </c>
      <c r="E8" s="407" t="s">
        <v>590</v>
      </c>
      <c r="F8" s="408" t="s">
        <v>711</v>
      </c>
      <c r="G8" s="408" t="s">
        <v>585</v>
      </c>
      <c r="K8" s="427" t="s">
        <v>661</v>
      </c>
      <c r="L8" s="428" t="s">
        <v>657</v>
      </c>
      <c r="M8" s="428" t="s">
        <v>662</v>
      </c>
      <c r="N8" s="429">
        <v>71</v>
      </c>
      <c r="O8" t="s">
        <v>663</v>
      </c>
    </row>
    <row r="9" spans="1:15" ht="38" thickBot="1">
      <c r="A9" s="407" t="s">
        <v>592</v>
      </c>
      <c r="B9" s="408" t="s">
        <v>593</v>
      </c>
      <c r="C9" s="408"/>
      <c r="E9" s="407" t="s">
        <v>592</v>
      </c>
      <c r="F9" s="408" t="s">
        <v>593</v>
      </c>
      <c r="G9" s="408"/>
      <c r="K9" s="427" t="s">
        <v>661</v>
      </c>
      <c r="L9" s="428" t="s">
        <v>659</v>
      </c>
      <c r="M9" s="428">
        <v>119.96</v>
      </c>
      <c r="N9" s="428" t="s">
        <v>664</v>
      </c>
    </row>
    <row r="10" spans="1:15" ht="15" thickBot="1">
      <c r="A10" s="407" t="s">
        <v>594</v>
      </c>
      <c r="B10" s="408" t="s">
        <v>595</v>
      </c>
      <c r="C10" s="408" t="s">
        <v>585</v>
      </c>
      <c r="E10" s="407" t="s">
        <v>594</v>
      </c>
      <c r="F10" s="408" t="s">
        <v>712</v>
      </c>
      <c r="G10" s="408" t="s">
        <v>585</v>
      </c>
    </row>
    <row r="11" spans="1:15" ht="15" thickBot="1">
      <c r="A11" s="407" t="s">
        <v>596</v>
      </c>
      <c r="B11" s="408">
        <v>140</v>
      </c>
      <c r="C11" s="408" t="s">
        <v>585</v>
      </c>
      <c r="E11" s="407" t="s">
        <v>596</v>
      </c>
      <c r="F11" s="408">
        <v>136</v>
      </c>
      <c r="G11" s="408" t="s">
        <v>585</v>
      </c>
    </row>
    <row r="12" spans="1:15" ht="15" thickBot="1">
      <c r="A12" s="409" t="s">
        <v>597</v>
      </c>
      <c r="B12" s="410"/>
      <c r="C12" s="411"/>
      <c r="E12" s="409" t="s">
        <v>597</v>
      </c>
      <c r="F12" s="410"/>
      <c r="G12" s="411"/>
    </row>
    <row r="13" spans="1:15" ht="15" thickBot="1">
      <c r="A13" s="407" t="s">
        <v>598</v>
      </c>
      <c r="B13" s="408" t="s">
        <v>599</v>
      </c>
      <c r="C13" s="408"/>
      <c r="E13" s="407" t="s">
        <v>598</v>
      </c>
      <c r="F13" s="408" t="s">
        <v>713</v>
      </c>
      <c r="G13" s="408"/>
    </row>
    <row r="14" spans="1:15" ht="26.5" thickBot="1">
      <c r="A14" s="407" t="s">
        <v>600</v>
      </c>
      <c r="B14" s="408" t="s">
        <v>601</v>
      </c>
      <c r="C14" s="408" t="s">
        <v>585</v>
      </c>
      <c r="E14" s="407" t="s">
        <v>600</v>
      </c>
      <c r="F14" s="408" t="s">
        <v>714</v>
      </c>
      <c r="G14" s="408" t="s">
        <v>585</v>
      </c>
    </row>
    <row r="15" spans="1:15" ht="26.5" thickBot="1">
      <c r="A15" s="407" t="s">
        <v>602</v>
      </c>
      <c r="B15" s="408" t="s">
        <v>603</v>
      </c>
      <c r="C15" s="408" t="s">
        <v>585</v>
      </c>
      <c r="E15" s="407" t="s">
        <v>602</v>
      </c>
      <c r="F15" s="408" t="s">
        <v>715</v>
      </c>
      <c r="G15" s="408" t="s">
        <v>585</v>
      </c>
    </row>
    <row r="16" spans="1:15" ht="15" thickBot="1">
      <c r="A16" s="409" t="s">
        <v>604</v>
      </c>
      <c r="B16" s="410"/>
      <c r="C16" s="411"/>
      <c r="E16" s="409" t="s">
        <v>604</v>
      </c>
      <c r="F16" s="410"/>
      <c r="G16" s="411"/>
    </row>
    <row r="17" spans="1:10" ht="15" thickBot="1">
      <c r="A17" s="412" t="s">
        <v>605</v>
      </c>
      <c r="B17" s="413">
        <v>0.05</v>
      </c>
      <c r="C17" s="414"/>
      <c r="E17" s="412" t="s">
        <v>605</v>
      </c>
      <c r="F17" s="413">
        <v>0.05</v>
      </c>
      <c r="G17" s="414"/>
    </row>
    <row r="18" spans="1:10" ht="15" thickBot="1">
      <c r="A18" s="412" t="s">
        <v>606</v>
      </c>
      <c r="B18" s="415" t="s">
        <v>607</v>
      </c>
      <c r="C18" s="414"/>
      <c r="E18" s="412" t="s">
        <v>606</v>
      </c>
      <c r="F18" s="415" t="s">
        <v>716</v>
      </c>
      <c r="G18" s="414"/>
    </row>
    <row r="19" spans="1:10" ht="15" thickBot="1">
      <c r="A19" s="412" t="s">
        <v>608</v>
      </c>
      <c r="B19" s="415" t="s">
        <v>609</v>
      </c>
      <c r="C19" s="414"/>
      <c r="E19" s="412" t="s">
        <v>608</v>
      </c>
      <c r="F19" s="415" t="s">
        <v>717</v>
      </c>
      <c r="G19" s="414"/>
    </row>
    <row r="20" spans="1:10" ht="15" thickBot="1">
      <c r="A20" s="412" t="s">
        <v>610</v>
      </c>
      <c r="B20" s="415" t="s">
        <v>611</v>
      </c>
      <c r="C20" s="414"/>
      <c r="E20" s="412" t="s">
        <v>610</v>
      </c>
      <c r="F20" s="415" t="s">
        <v>611</v>
      </c>
      <c r="G20" s="414"/>
    </row>
    <row r="23" spans="1:10" ht="15" thickBot="1">
      <c r="B23" s="448" t="s">
        <v>729</v>
      </c>
      <c r="C23" s="448"/>
      <c r="D23" s="448"/>
      <c r="E23" s="448"/>
      <c r="F23" s="449" t="s">
        <v>718</v>
      </c>
      <c r="G23" s="449"/>
      <c r="H23" s="449"/>
      <c r="I23" s="449"/>
    </row>
    <row r="24" spans="1:10" ht="26.5" thickBot="1">
      <c r="A24" s="416"/>
      <c r="B24" s="417" t="s">
        <v>612</v>
      </c>
      <c r="C24" s="417" t="s">
        <v>647</v>
      </c>
      <c r="D24" s="417" t="s">
        <v>638</v>
      </c>
      <c r="E24" s="417" t="s">
        <v>639</v>
      </c>
      <c r="F24" s="439" t="s">
        <v>719</v>
      </c>
      <c r="G24" s="417" t="s">
        <v>720</v>
      </c>
      <c r="H24" s="417" t="s">
        <v>723</v>
      </c>
      <c r="I24" s="417" t="s">
        <v>724</v>
      </c>
      <c r="J24" s="423" t="s">
        <v>648</v>
      </c>
    </row>
    <row r="25" spans="1:10" ht="15" thickBot="1">
      <c r="A25" s="418" t="s">
        <v>613</v>
      </c>
      <c r="B25" s="419">
        <v>206</v>
      </c>
      <c r="C25" s="419">
        <v>206</v>
      </c>
      <c r="D25" s="419">
        <v>206</v>
      </c>
      <c r="E25" s="419">
        <v>206</v>
      </c>
      <c r="F25" s="419">
        <v>325</v>
      </c>
      <c r="G25" s="419">
        <v>325</v>
      </c>
      <c r="H25" s="419">
        <v>325</v>
      </c>
      <c r="I25" s="418">
        <v>325</v>
      </c>
    </row>
    <row r="26" spans="1:10" ht="15" thickBot="1">
      <c r="A26" s="418" t="s">
        <v>614</v>
      </c>
      <c r="B26" s="419">
        <f>B25*95</f>
        <v>19570</v>
      </c>
      <c r="C26" s="419">
        <f t="shared" ref="C26:I26" si="0">C25*95</f>
        <v>19570</v>
      </c>
      <c r="D26" s="419">
        <f t="shared" si="0"/>
        <v>19570</v>
      </c>
      <c r="E26" s="419">
        <f t="shared" si="0"/>
        <v>19570</v>
      </c>
      <c r="F26" s="419">
        <f t="shared" si="0"/>
        <v>30875</v>
      </c>
      <c r="G26" s="419">
        <f t="shared" si="0"/>
        <v>30875</v>
      </c>
      <c r="H26" s="419">
        <f t="shared" si="0"/>
        <v>30875</v>
      </c>
      <c r="I26" s="419">
        <f t="shared" si="0"/>
        <v>30875</v>
      </c>
    </row>
    <row r="27" spans="1:10" ht="15" thickBot="1">
      <c r="A27" s="418" t="s">
        <v>615</v>
      </c>
      <c r="B27" s="419">
        <v>2895</v>
      </c>
      <c r="C27" s="420">
        <v>2886</v>
      </c>
      <c r="D27" s="420">
        <v>2885</v>
      </c>
      <c r="E27" s="420">
        <v>2891</v>
      </c>
      <c r="F27" s="419">
        <v>8100</v>
      </c>
      <c r="G27" s="420">
        <v>8194</v>
      </c>
      <c r="H27" s="419">
        <v>8100</v>
      </c>
      <c r="I27" s="419">
        <v>8100</v>
      </c>
      <c r="J27" s="423" t="s">
        <v>640</v>
      </c>
    </row>
    <row r="28" spans="1:10" ht="15" thickBot="1">
      <c r="A28" s="418" t="s">
        <v>616</v>
      </c>
      <c r="B28" s="419">
        <v>17.5</v>
      </c>
      <c r="C28" s="419">
        <v>17.5</v>
      </c>
      <c r="D28" s="419">
        <v>16.18</v>
      </c>
      <c r="E28" s="422">
        <v>15.4</v>
      </c>
      <c r="F28" s="419">
        <v>19.3</v>
      </c>
      <c r="G28" s="419">
        <v>19.3</v>
      </c>
      <c r="H28" s="419">
        <v>18.43</v>
      </c>
      <c r="I28" s="419">
        <v>17.239999999999998</v>
      </c>
    </row>
    <row r="29" spans="1:10" ht="15" thickBot="1">
      <c r="A29" s="418" t="s">
        <v>617</v>
      </c>
      <c r="B29" s="419">
        <v>93370</v>
      </c>
      <c r="C29" s="419">
        <v>93370</v>
      </c>
      <c r="D29" s="419">
        <v>99610</v>
      </c>
      <c r="E29" s="419">
        <v>91644</v>
      </c>
      <c r="F29" s="419">
        <v>280000</v>
      </c>
      <c r="G29" s="419">
        <v>280000</v>
      </c>
      <c r="H29" s="419">
        <v>301201</v>
      </c>
      <c r="I29" s="419">
        <v>243500</v>
      </c>
    </row>
    <row r="30" spans="1:10" ht="15" thickBot="1">
      <c r="A30" s="418" t="s">
        <v>618</v>
      </c>
      <c r="B30" s="419">
        <v>93900</v>
      </c>
      <c r="C30" s="419">
        <v>93900</v>
      </c>
      <c r="D30" s="419">
        <v>100176</v>
      </c>
      <c r="E30" s="419">
        <v>92165</v>
      </c>
      <c r="F30" s="419">
        <v>280900</v>
      </c>
      <c r="G30" s="419">
        <v>280900</v>
      </c>
      <c r="H30" s="419">
        <v>302170</v>
      </c>
      <c r="I30" s="419">
        <v>244281</v>
      </c>
    </row>
    <row r="31" spans="1:10" ht="15" thickBot="1">
      <c r="A31" s="418" t="s">
        <v>619</v>
      </c>
      <c r="B31" s="419">
        <v>79200</v>
      </c>
      <c r="C31" s="419">
        <v>79200</v>
      </c>
      <c r="D31" s="419">
        <v>85489</v>
      </c>
      <c r="E31" s="419">
        <v>89353</v>
      </c>
      <c r="F31" s="419">
        <v>207000</v>
      </c>
      <c r="G31" s="419">
        <v>207000</v>
      </c>
      <c r="H31" s="419">
        <v>231323</v>
      </c>
      <c r="I31" s="419">
        <v>236194</v>
      </c>
    </row>
    <row r="32" spans="1:10" ht="15" thickBot="1">
      <c r="A32" s="418" t="s">
        <v>620</v>
      </c>
      <c r="B32" s="419">
        <v>75600</v>
      </c>
      <c r="C32" s="419">
        <v>75600</v>
      </c>
      <c r="D32" s="419">
        <v>81610</v>
      </c>
      <c r="E32" s="419">
        <v>84728</v>
      </c>
      <c r="F32" s="419">
        <v>195000</v>
      </c>
      <c r="G32" s="419">
        <v>195000</v>
      </c>
      <c r="H32" s="419">
        <v>216852</v>
      </c>
      <c r="I32" s="419">
        <v>224922</v>
      </c>
    </row>
    <row r="33" spans="1:10" ht="15" thickBot="1">
      <c r="A33" s="418" t="s">
        <v>621</v>
      </c>
      <c r="B33" s="419">
        <v>37388</v>
      </c>
      <c r="C33" s="419">
        <v>37386.300000000003</v>
      </c>
      <c r="D33" s="419">
        <v>42959.9</v>
      </c>
      <c r="E33" s="419">
        <v>45732.2</v>
      </c>
      <c r="F33" s="419">
        <v>110513</v>
      </c>
      <c r="G33" s="419">
        <v>108948.7</v>
      </c>
      <c r="H33" s="419">
        <v>129212.2</v>
      </c>
      <c r="I33" s="419">
        <v>136337</v>
      </c>
    </row>
    <row r="34" spans="1:10" ht="15" thickBot="1">
      <c r="A34" s="418" t="s">
        <v>622</v>
      </c>
      <c r="B34" s="419">
        <v>50600</v>
      </c>
      <c r="C34" s="419">
        <v>50600</v>
      </c>
      <c r="D34" s="419">
        <v>56609</v>
      </c>
      <c r="E34" s="419">
        <v>59729</v>
      </c>
      <c r="F34" s="419">
        <v>141000</v>
      </c>
      <c r="G34" s="419">
        <v>141000</v>
      </c>
      <c r="H34" s="419">
        <v>162852</v>
      </c>
      <c r="I34" s="419">
        <v>170921</v>
      </c>
    </row>
    <row r="35" spans="1:10" ht="15" thickBot="1">
      <c r="A35" s="418" t="s">
        <v>623</v>
      </c>
      <c r="B35" s="419">
        <v>23.5</v>
      </c>
      <c r="C35" s="419">
        <v>23.5</v>
      </c>
      <c r="D35" s="419">
        <v>45.4</v>
      </c>
      <c r="E35" s="419">
        <v>113</v>
      </c>
      <c r="F35" s="419">
        <v>140.69999999999999</v>
      </c>
      <c r="G35" s="419">
        <v>140.69999999999999</v>
      </c>
      <c r="H35" s="419">
        <v>255</v>
      </c>
      <c r="I35" s="419">
        <v>606</v>
      </c>
    </row>
    <row r="36" spans="1:10" ht="25.5" thickBot="1">
      <c r="A36" s="418" t="s">
        <v>624</v>
      </c>
      <c r="B36" s="419" t="s">
        <v>625</v>
      </c>
      <c r="C36" s="419" t="s">
        <v>625</v>
      </c>
      <c r="D36" s="419">
        <v>3220</v>
      </c>
      <c r="E36" s="419">
        <v>5574</v>
      </c>
      <c r="F36" s="419" t="s">
        <v>625</v>
      </c>
      <c r="G36" s="419" t="s">
        <v>625</v>
      </c>
      <c r="H36" s="419">
        <v>11978</v>
      </c>
      <c r="I36" s="419">
        <v>21000</v>
      </c>
    </row>
    <row r="37" spans="1:10" ht="15" thickBot="1">
      <c r="A37" s="418" t="s">
        <v>626</v>
      </c>
      <c r="B37" s="419">
        <v>2317</v>
      </c>
      <c r="C37" s="419">
        <v>2317</v>
      </c>
      <c r="D37" s="419">
        <v>2752</v>
      </c>
      <c r="E37" s="419">
        <v>2723</v>
      </c>
      <c r="F37" s="419">
        <v>7277</v>
      </c>
      <c r="G37" s="419">
        <v>7277</v>
      </c>
      <c r="H37" s="419">
        <v>8379</v>
      </c>
      <c r="I37" s="419">
        <v>7424</v>
      </c>
    </row>
    <row r="38" spans="1:10" ht="15" thickBot="1">
      <c r="A38" s="418" t="s">
        <v>627</v>
      </c>
      <c r="B38" s="419">
        <v>33000</v>
      </c>
      <c r="C38" s="419">
        <v>33000</v>
      </c>
      <c r="D38" s="419">
        <v>39200</v>
      </c>
      <c r="E38" s="419">
        <v>38800</v>
      </c>
      <c r="F38" s="419">
        <v>84200</v>
      </c>
      <c r="G38" s="419">
        <v>84200</v>
      </c>
      <c r="H38" s="419">
        <v>97000</v>
      </c>
      <c r="I38" s="419">
        <v>85900</v>
      </c>
    </row>
    <row r="39" spans="1:10" ht="15" thickBot="1">
      <c r="A39" s="418" t="s">
        <v>628</v>
      </c>
      <c r="B39" s="419">
        <v>16123.5</v>
      </c>
      <c r="C39" s="421">
        <v>15817</v>
      </c>
      <c r="D39" s="419">
        <v>16393</v>
      </c>
      <c r="E39" s="419">
        <v>6827</v>
      </c>
      <c r="F39" s="419">
        <v>99816</v>
      </c>
      <c r="G39" s="421">
        <v>99854</v>
      </c>
      <c r="H39" s="419">
        <v>99026</v>
      </c>
      <c r="I39" s="419">
        <v>38470</v>
      </c>
      <c r="J39" s="423" t="s">
        <v>641</v>
      </c>
    </row>
    <row r="40" spans="1:10" ht="15" thickBot="1">
      <c r="A40" s="418" t="s">
        <v>629</v>
      </c>
      <c r="B40" s="419"/>
      <c r="C40" s="421"/>
      <c r="D40" s="419"/>
      <c r="E40" s="419"/>
      <c r="F40" s="419"/>
      <c r="G40" s="421"/>
      <c r="H40" s="419"/>
      <c r="I40" s="419"/>
      <c r="J40" s="423" t="s">
        <v>642</v>
      </c>
    </row>
    <row r="41" spans="1:10" ht="15" thickBot="1">
      <c r="A41" s="418" t="s">
        <v>630</v>
      </c>
      <c r="B41" s="419">
        <v>129</v>
      </c>
      <c r="C41" s="419">
        <v>129</v>
      </c>
      <c r="D41" s="419">
        <v>138.4</v>
      </c>
      <c r="E41" s="419">
        <v>145.5</v>
      </c>
      <c r="F41" s="419">
        <v>443</v>
      </c>
      <c r="G41" s="419">
        <v>443</v>
      </c>
      <c r="H41" s="419">
        <v>387</v>
      </c>
      <c r="I41" s="419">
        <v>388</v>
      </c>
    </row>
    <row r="42" spans="1:10" ht="15" thickBot="1">
      <c r="A42" s="418" t="s">
        <v>631</v>
      </c>
      <c r="B42" s="419">
        <v>14.7</v>
      </c>
      <c r="C42" s="420">
        <v>14.465603644646926</v>
      </c>
      <c r="D42" s="420">
        <v>12.907317073170731</v>
      </c>
      <c r="E42" s="420">
        <v>5.2937645881960655</v>
      </c>
      <c r="F42" s="419">
        <v>14.07</v>
      </c>
      <c r="G42" s="420">
        <f>E42*([1]reference!$K$3/[1]reference!$K$4)</f>
        <v>5.2093537633273366</v>
      </c>
      <c r="H42" s="420">
        <f>D42*[1]reference!$K$3/[1]reference!$K$6</f>
        <v>11.333254015466984</v>
      </c>
      <c r="I42" s="420">
        <f>C42*[1]reference!$K$3/[1]reference!$K$8</f>
        <v>5.2093537633273357</v>
      </c>
      <c r="J42" s="423" t="s">
        <v>643</v>
      </c>
    </row>
    <row r="43" spans="1:10" ht="15" thickBot="1">
      <c r="A43" s="418" t="s">
        <v>632</v>
      </c>
      <c r="B43" s="419">
        <v>0.3206</v>
      </c>
      <c r="C43" s="419">
        <v>0.3206</v>
      </c>
      <c r="D43" s="419">
        <v>0.35699999999999998</v>
      </c>
      <c r="E43" s="419">
        <v>0.38400000000000001</v>
      </c>
      <c r="F43" s="419">
        <v>0.27279999999999999</v>
      </c>
      <c r="G43" s="419">
        <v>0.27279999999999999</v>
      </c>
      <c r="H43" s="419">
        <v>0.29199999999999998</v>
      </c>
      <c r="I43" s="419">
        <v>0.32</v>
      </c>
      <c r="J43" s="423" t="s">
        <v>644</v>
      </c>
    </row>
    <row r="44" spans="1:10" ht="25.5" customHeight="1" thickBot="1">
      <c r="A44" s="418" t="s">
        <v>633</v>
      </c>
      <c r="B44" s="419">
        <v>735.5</v>
      </c>
      <c r="C44" s="419">
        <v>735.5</v>
      </c>
      <c r="D44" s="419">
        <v>730</v>
      </c>
      <c r="E44" s="419">
        <v>638.4</v>
      </c>
      <c r="F44" s="419">
        <v>640.5</v>
      </c>
      <c r="G44" s="419">
        <v>640.5</v>
      </c>
      <c r="H44" s="419">
        <v>790</v>
      </c>
      <c r="I44" s="419">
        <v>636</v>
      </c>
      <c r="J44" s="424" t="s">
        <v>645</v>
      </c>
    </row>
    <row r="45" spans="1:10" ht="15" thickBot="1">
      <c r="A45" s="418" t="s">
        <v>634</v>
      </c>
      <c r="B45" s="419">
        <v>35.799999999999997</v>
      </c>
      <c r="C45" s="419">
        <v>35.799999999999997</v>
      </c>
      <c r="D45" s="419">
        <v>35.799999999999997</v>
      </c>
      <c r="E45" s="419">
        <v>35.799999999999997</v>
      </c>
      <c r="F45" s="419">
        <v>64.739999999999995</v>
      </c>
      <c r="G45" s="419">
        <v>64.739999999999995</v>
      </c>
      <c r="H45" s="419">
        <v>64.739999999999995</v>
      </c>
      <c r="I45" s="419">
        <v>64.739999999999995</v>
      </c>
      <c r="J45" s="423" t="s">
        <v>646</v>
      </c>
    </row>
    <row r="46" spans="1:10" ht="15" thickBot="1">
      <c r="A46" s="418" t="s">
        <v>635</v>
      </c>
      <c r="B46" s="419">
        <v>9.9499999999999993</v>
      </c>
      <c r="C46" s="419">
        <v>9.9499999999999993</v>
      </c>
      <c r="D46" s="419">
        <v>9.26</v>
      </c>
      <c r="E46" s="419">
        <v>8.8000000000000007</v>
      </c>
      <c r="F46" s="419">
        <v>9.4600000000000009</v>
      </c>
      <c r="G46" s="419">
        <v>9.4600000000000009</v>
      </c>
      <c r="H46" s="419">
        <v>10.83</v>
      </c>
      <c r="I46" s="419">
        <v>10.79</v>
      </c>
      <c r="J46" s="423"/>
    </row>
    <row r="47" spans="1:10" ht="15" thickBot="1">
      <c r="A47" s="418" t="s">
        <v>636</v>
      </c>
      <c r="B47" s="419">
        <f t="shared" ref="B47:I47" si="1">B39/B25/(B27*1.852)</f>
        <v>1.4598308970133238E-2</v>
      </c>
      <c r="C47" s="419">
        <f t="shared" si="1"/>
        <v>1.4365461585994622E-2</v>
      </c>
      <c r="D47" s="419">
        <f t="shared" si="1"/>
        <v>1.4893762310998763E-2</v>
      </c>
      <c r="E47" s="419">
        <f t="shared" si="1"/>
        <v>6.1897571257169453E-3</v>
      </c>
      <c r="F47" s="419">
        <f t="shared" si="1"/>
        <v>2.0473439047953085E-2</v>
      </c>
      <c r="G47" s="419">
        <f t="shared" si="1"/>
        <v>2.0246276507113203E-2</v>
      </c>
      <c r="H47" s="419">
        <f t="shared" si="1"/>
        <v>2.0311400728967324E-2</v>
      </c>
      <c r="I47" s="419">
        <f t="shared" si="1"/>
        <v>7.8906507992181126E-3</v>
      </c>
    </row>
    <row r="48" spans="1:10" ht="15" thickBot="1">
      <c r="A48" s="418" t="s">
        <v>637</v>
      </c>
      <c r="B48" s="419">
        <f>B47*[1]reference!$K$3</f>
        <v>0.63064694750975592</v>
      </c>
      <c r="C48" s="422">
        <f>C47*[1]reference!$K$4</f>
        <v>0.63064376362516394</v>
      </c>
      <c r="D48" s="419">
        <f>D47*[1]reference!$K$6</f>
        <v>0.73277310570113918</v>
      </c>
      <c r="E48" s="419">
        <f>E47*[1]reference!$K$8</f>
        <v>0.74252326480100472</v>
      </c>
      <c r="F48" s="419">
        <f>F47*[1]reference!$K$3</f>
        <v>0.88445256687157336</v>
      </c>
      <c r="G48" s="422">
        <f>G47*[1]reference!$K$4</f>
        <v>0.88881153866226958</v>
      </c>
      <c r="H48" s="419">
        <f>H47*[1]reference!$K$6</f>
        <v>0.99932091586519245</v>
      </c>
      <c r="I48" s="419">
        <f>I47*[1]reference!$K$8</f>
        <v>0.94656246987420478</v>
      </c>
    </row>
    <row r="49" spans="1:9" ht="104.5">
      <c r="A49" s="435"/>
      <c r="B49" s="435"/>
      <c r="C49" s="424" t="s">
        <v>722</v>
      </c>
      <c r="D49" s="435"/>
      <c r="E49" s="435"/>
      <c r="G49" s="440" t="s">
        <v>721</v>
      </c>
    </row>
    <row r="50" spans="1:9" ht="15" thickBot="1">
      <c r="A50" s="435"/>
      <c r="B50" s="435"/>
      <c r="C50" s="424"/>
      <c r="D50" s="435"/>
      <c r="E50" s="435"/>
      <c r="G50" s="424"/>
    </row>
    <row r="51" spans="1:9" ht="15" thickBot="1">
      <c r="A51" s="434" t="s">
        <v>63</v>
      </c>
      <c r="B51" s="435"/>
      <c r="C51" s="436"/>
      <c r="D51" s="435"/>
      <c r="E51" s="435"/>
    </row>
    <row r="52" spans="1:9">
      <c r="A52" s="437" t="s">
        <v>698</v>
      </c>
      <c r="B52" s="35" t="s">
        <v>653</v>
      </c>
      <c r="C52" s="35" t="s">
        <v>655</v>
      </c>
      <c r="D52" s="35" t="str">
        <f>K7</f>
        <v>LNG/LBG</v>
      </c>
      <c r="E52" s="35" t="str">
        <f>K9</f>
        <v>LH2</v>
      </c>
      <c r="F52" s="35" t="s">
        <v>653</v>
      </c>
      <c r="G52" s="35" t="s">
        <v>655</v>
      </c>
      <c r="H52" s="35">
        <f>O7</f>
        <v>0</v>
      </c>
      <c r="I52" s="35">
        <f>O9</f>
        <v>0</v>
      </c>
    </row>
    <row r="53" spans="1:9">
      <c r="A53" s="437" t="s">
        <v>651</v>
      </c>
      <c r="B53" s="35">
        <f>M4</f>
        <v>43.2</v>
      </c>
      <c r="C53" s="35">
        <f>M5</f>
        <v>43.9</v>
      </c>
      <c r="D53" s="35">
        <f>M7</f>
        <v>49.2</v>
      </c>
      <c r="E53" s="35">
        <f>M9</f>
        <v>119.96</v>
      </c>
      <c r="F53" s="35">
        <f>B53</f>
        <v>43.2</v>
      </c>
      <c r="G53" s="35">
        <f t="shared" ref="G53:I54" si="2">C53</f>
        <v>43.9</v>
      </c>
      <c r="H53" s="35">
        <f t="shared" si="2"/>
        <v>49.2</v>
      </c>
      <c r="I53" s="35">
        <f t="shared" si="2"/>
        <v>119.96</v>
      </c>
    </row>
    <row r="54" spans="1:9" ht="27">
      <c r="A54" s="437" t="s">
        <v>699</v>
      </c>
      <c r="B54">
        <f>N4</f>
        <v>803</v>
      </c>
      <c r="C54">
        <f>N5</f>
        <v>788</v>
      </c>
      <c r="D54">
        <f>N6</f>
        <v>423</v>
      </c>
      <c r="E54">
        <f>N8</f>
        <v>71</v>
      </c>
      <c r="F54">
        <f>B54</f>
        <v>803</v>
      </c>
      <c r="G54">
        <f t="shared" si="2"/>
        <v>788</v>
      </c>
      <c r="H54">
        <f t="shared" si="2"/>
        <v>423</v>
      </c>
      <c r="I54">
        <f t="shared" si="2"/>
        <v>71</v>
      </c>
    </row>
    <row r="55" spans="1:9">
      <c r="A55" s="435"/>
      <c r="B55" s="435"/>
      <c r="C55" s="436"/>
      <c r="D55" s="435"/>
      <c r="E55" s="435"/>
    </row>
    <row r="58" spans="1:9" ht="15" thickBot="1"/>
    <row r="59" spans="1:9" ht="26.5" thickBot="1">
      <c r="A59" s="434" t="s">
        <v>665</v>
      </c>
      <c r="B59" s="417" t="s">
        <v>612</v>
      </c>
      <c r="C59" s="417" t="s">
        <v>647</v>
      </c>
      <c r="D59" s="417" t="s">
        <v>638</v>
      </c>
      <c r="E59" s="417" t="s">
        <v>639</v>
      </c>
      <c r="F59" s="439" t="s">
        <v>719</v>
      </c>
      <c r="G59" s="417" t="s">
        <v>720</v>
      </c>
      <c r="H59" s="417" t="s">
        <v>723</v>
      </c>
      <c r="I59" s="417" t="s">
        <v>724</v>
      </c>
    </row>
    <row r="60" spans="1:9">
      <c r="A60" t="s">
        <v>666</v>
      </c>
      <c r="B60" t="s">
        <v>694</v>
      </c>
      <c r="C60" t="s">
        <v>694</v>
      </c>
      <c r="D60" t="s">
        <v>694</v>
      </c>
      <c r="E60" t="s">
        <v>694</v>
      </c>
      <c r="F60" t="s">
        <v>725</v>
      </c>
      <c r="G60" t="s">
        <v>725</v>
      </c>
      <c r="H60" t="s">
        <v>725</v>
      </c>
      <c r="I60" t="s">
        <v>725</v>
      </c>
    </row>
    <row r="61" spans="1:9">
      <c r="A61" t="s">
        <v>667</v>
      </c>
      <c r="B61" s="431">
        <f>B38*4.448222</f>
        <v>146791.326</v>
      </c>
      <c r="C61" s="431">
        <f t="shared" ref="C61:I61" si="3">C38*4.448222</f>
        <v>146791.326</v>
      </c>
      <c r="D61" s="431">
        <f t="shared" si="3"/>
        <v>174370.30240000002</v>
      </c>
      <c r="E61" s="431">
        <f t="shared" si="3"/>
        <v>172591.01360000001</v>
      </c>
      <c r="F61" s="431">
        <f t="shared" si="3"/>
        <v>374540.29240000003</v>
      </c>
      <c r="G61" s="431">
        <f t="shared" si="3"/>
        <v>374540.29240000003</v>
      </c>
      <c r="H61" s="431">
        <f t="shared" si="3"/>
        <v>431477.53400000004</v>
      </c>
      <c r="I61" s="431">
        <f t="shared" si="3"/>
        <v>382102.26980000001</v>
      </c>
    </row>
    <row r="62" spans="1:9">
      <c r="A62" t="s">
        <v>668</v>
      </c>
      <c r="B62" s="432">
        <f>'[2]Engine costs'!$M$22</f>
        <v>24</v>
      </c>
      <c r="C62" s="432">
        <f>'[2]Engine costs'!$M$22</f>
        <v>24</v>
      </c>
      <c r="D62" s="432">
        <f>'[2]Engine costs'!$M$22</f>
        <v>24</v>
      </c>
      <c r="E62" s="432">
        <f>'[2]Engine costs'!$M$22</f>
        <v>24</v>
      </c>
      <c r="F62">
        <f>[2]Sheet1!$F$33</f>
        <v>36</v>
      </c>
      <c r="G62">
        <f>[2]Sheet1!$F$33</f>
        <v>36</v>
      </c>
      <c r="H62">
        <f>[2]Sheet1!$F$33</f>
        <v>36</v>
      </c>
      <c r="I62">
        <f>[2]Sheet1!$F$33</f>
        <v>36</v>
      </c>
    </row>
    <row r="63" spans="1:9">
      <c r="A63" t="s">
        <v>669</v>
      </c>
      <c r="B63" s="35">
        <f t="shared" ref="B63:I63" si="4">B62*B61</f>
        <v>3522991.824</v>
      </c>
      <c r="C63" s="35">
        <f t="shared" si="4"/>
        <v>3522991.824</v>
      </c>
      <c r="D63" s="35">
        <f t="shared" si="4"/>
        <v>4184887.2576000001</v>
      </c>
      <c r="E63" s="35">
        <f t="shared" si="4"/>
        <v>4142184.3264000001</v>
      </c>
      <c r="F63" s="35">
        <f t="shared" si="4"/>
        <v>13483450.526400002</v>
      </c>
      <c r="G63" s="35">
        <f t="shared" si="4"/>
        <v>13483450.526400002</v>
      </c>
      <c r="H63" s="35">
        <f t="shared" si="4"/>
        <v>15533191.224000001</v>
      </c>
      <c r="I63" s="35">
        <f t="shared" si="4"/>
        <v>13755681.7128</v>
      </c>
    </row>
    <row r="64" spans="1:9">
      <c r="A64" t="s">
        <v>670</v>
      </c>
      <c r="B64" s="35">
        <f t="shared" ref="B64:I64" si="5">B63/1000</f>
        <v>3522.9918240000002</v>
      </c>
      <c r="C64" s="35">
        <f t="shared" si="5"/>
        <v>3522.9918240000002</v>
      </c>
      <c r="D64" s="35">
        <f t="shared" si="5"/>
        <v>4184.8872576000003</v>
      </c>
      <c r="E64" s="35">
        <f t="shared" si="5"/>
        <v>4142.1843263999999</v>
      </c>
      <c r="F64" s="35">
        <f t="shared" si="5"/>
        <v>13483.450526400002</v>
      </c>
      <c r="G64" s="35">
        <f t="shared" si="5"/>
        <v>13483.450526400002</v>
      </c>
      <c r="H64" s="35">
        <f t="shared" si="5"/>
        <v>15533.191224000002</v>
      </c>
      <c r="I64" s="35">
        <f t="shared" si="5"/>
        <v>13755.6817128</v>
      </c>
    </row>
    <row r="66" spans="1:10">
      <c r="A66" t="s">
        <v>623</v>
      </c>
      <c r="B66">
        <f t="shared" ref="B66:I66" si="6">B35</f>
        <v>23.5</v>
      </c>
      <c r="C66">
        <f t="shared" si="6"/>
        <v>23.5</v>
      </c>
      <c r="D66">
        <f t="shared" si="6"/>
        <v>45.4</v>
      </c>
      <c r="E66">
        <f t="shared" si="6"/>
        <v>113</v>
      </c>
      <c r="F66">
        <f t="shared" si="6"/>
        <v>140.69999999999999</v>
      </c>
      <c r="G66">
        <f t="shared" si="6"/>
        <v>140.69999999999999</v>
      </c>
      <c r="H66">
        <f t="shared" si="6"/>
        <v>255</v>
      </c>
      <c r="I66">
        <f t="shared" si="6"/>
        <v>606</v>
      </c>
    </row>
    <row r="67" spans="1:10">
      <c r="A67" t="s">
        <v>671</v>
      </c>
      <c r="B67" s="35">
        <f t="shared" ref="B67:I67" si="7">B39/B54</f>
        <v>20.079078455790786</v>
      </c>
      <c r="C67" s="35">
        <f t="shared" si="7"/>
        <v>20.07233502538071</v>
      </c>
      <c r="D67" s="35">
        <f t="shared" si="7"/>
        <v>38.754137115839242</v>
      </c>
      <c r="E67" s="35">
        <f t="shared" si="7"/>
        <v>96.154929577464785</v>
      </c>
      <c r="F67" s="35">
        <f t="shared" si="7"/>
        <v>124.30386052303861</v>
      </c>
      <c r="G67" s="35">
        <f t="shared" si="7"/>
        <v>126.71827411167513</v>
      </c>
      <c r="H67" s="35">
        <f t="shared" si="7"/>
        <v>234.10401891252954</v>
      </c>
      <c r="I67" s="35">
        <f t="shared" si="7"/>
        <v>541.83098591549299</v>
      </c>
    </row>
    <row r="68" spans="1:10">
      <c r="A68" t="s">
        <v>672</v>
      </c>
      <c r="B68" s="35">
        <f t="shared" ref="B68:I68" si="8">B39*B53</f>
        <v>696535.20000000007</v>
      </c>
      <c r="C68" s="35">
        <f t="shared" si="8"/>
        <v>694366.29999999993</v>
      </c>
      <c r="D68" s="35">
        <f t="shared" si="8"/>
        <v>806535.60000000009</v>
      </c>
      <c r="E68" s="35">
        <f t="shared" si="8"/>
        <v>818966.91999999993</v>
      </c>
      <c r="F68" s="35">
        <f t="shared" si="8"/>
        <v>4312051.2</v>
      </c>
      <c r="G68" s="35">
        <f t="shared" si="8"/>
        <v>4383590.5999999996</v>
      </c>
      <c r="H68" s="35">
        <f t="shared" si="8"/>
        <v>4872079.2</v>
      </c>
      <c r="I68" s="35">
        <f t="shared" si="8"/>
        <v>4614861.2</v>
      </c>
    </row>
    <row r="69" spans="1:10">
      <c r="A69" t="s">
        <v>673</v>
      </c>
      <c r="B69" s="35">
        <f t="shared" ref="B69:I69" si="9">B68/1000</f>
        <v>696.53520000000003</v>
      </c>
      <c r="C69" s="35">
        <f t="shared" si="9"/>
        <v>694.36629999999991</v>
      </c>
      <c r="D69" s="35">
        <f t="shared" si="9"/>
        <v>806.53560000000004</v>
      </c>
      <c r="E69" s="35">
        <f t="shared" si="9"/>
        <v>818.96691999999996</v>
      </c>
      <c r="F69" s="35">
        <f t="shared" si="9"/>
        <v>4312.0511999999999</v>
      </c>
      <c r="G69" s="35">
        <f t="shared" si="9"/>
        <v>4383.5905999999995</v>
      </c>
      <c r="H69" s="35">
        <f t="shared" si="9"/>
        <v>4872.0792000000001</v>
      </c>
      <c r="I69" s="35">
        <f t="shared" si="9"/>
        <v>4614.8612000000003</v>
      </c>
    </row>
    <row r="70" spans="1:10">
      <c r="A70" t="s">
        <v>674</v>
      </c>
      <c r="B70" s="35">
        <f t="shared" ref="B70:I70" si="10">B39</f>
        <v>16123.5</v>
      </c>
      <c r="C70" s="35">
        <f t="shared" si="10"/>
        <v>15817</v>
      </c>
      <c r="D70" s="35">
        <f t="shared" si="10"/>
        <v>16393</v>
      </c>
      <c r="E70" s="35">
        <f t="shared" si="10"/>
        <v>6827</v>
      </c>
      <c r="F70" s="35">
        <f t="shared" si="10"/>
        <v>99816</v>
      </c>
      <c r="G70" s="35">
        <f t="shared" si="10"/>
        <v>99854</v>
      </c>
      <c r="H70" s="35">
        <f t="shared" si="10"/>
        <v>99026</v>
      </c>
      <c r="I70" s="35">
        <f t="shared" si="10"/>
        <v>38470</v>
      </c>
    </row>
    <row r="71" spans="1:10">
      <c r="B71" s="433"/>
      <c r="C71" s="433"/>
      <c r="D71" s="433"/>
      <c r="E71" s="433"/>
      <c r="F71" s="433"/>
      <c r="G71" s="433"/>
      <c r="H71" s="433"/>
      <c r="I71" s="433"/>
    </row>
    <row r="72" spans="1:10">
      <c r="A72" t="s">
        <v>675</v>
      </c>
      <c r="B72" t="str">
        <f t="shared" ref="B72:I72" si="11">B36</f>
        <v>NA</v>
      </c>
      <c r="C72" t="str">
        <f t="shared" si="11"/>
        <v>NA</v>
      </c>
      <c r="D72">
        <f t="shared" si="11"/>
        <v>3220</v>
      </c>
      <c r="E72">
        <f t="shared" si="11"/>
        <v>5574</v>
      </c>
      <c r="F72" t="str">
        <f t="shared" si="11"/>
        <v>NA</v>
      </c>
      <c r="G72" t="str">
        <f t="shared" si="11"/>
        <v>NA</v>
      </c>
      <c r="H72">
        <f t="shared" si="11"/>
        <v>11978</v>
      </c>
      <c r="I72">
        <f t="shared" si="11"/>
        <v>21000</v>
      </c>
    </row>
    <row r="74" spans="1:10">
      <c r="A74" t="s">
        <v>676</v>
      </c>
      <c r="B74" t="s">
        <v>695</v>
      </c>
      <c r="D74">
        <f>(0.31/3.6)</f>
        <v>8.611111111111111E-2</v>
      </c>
      <c r="E74">
        <f>(0.83/3.6)</f>
        <v>0.23055555555555554</v>
      </c>
      <c r="F74" t="s">
        <v>695</v>
      </c>
      <c r="H74">
        <f>(0.31/3.6)</f>
        <v>8.611111111111111E-2</v>
      </c>
      <c r="I74">
        <f>(0.83/3.6)</f>
        <v>0.23055555555555554</v>
      </c>
      <c r="J74" t="s">
        <v>700</v>
      </c>
    </row>
    <row r="75" spans="1:10">
      <c r="A75" t="s">
        <v>677</v>
      </c>
      <c r="D75" s="35">
        <f>D74*D68</f>
        <v>69451.676666666681</v>
      </c>
      <c r="E75" s="35">
        <f>E74*E68</f>
        <v>188817.3732222222</v>
      </c>
      <c r="H75" s="35">
        <f>H74*H68</f>
        <v>419540.15333333332</v>
      </c>
      <c r="I75" s="35">
        <f>I74*I68</f>
        <v>1063981.8877777779</v>
      </c>
    </row>
    <row r="76" spans="1:10">
      <c r="A76" t="s">
        <v>678</v>
      </c>
      <c r="D76">
        <f>D75/1000</f>
        <v>69.451676666666685</v>
      </c>
      <c r="E76">
        <f>E75/1000</f>
        <v>188.81737322222222</v>
      </c>
      <c r="H76">
        <f>H75/1000</f>
        <v>419.54015333333331</v>
      </c>
      <c r="I76">
        <f>I75/1000</f>
        <v>1063.981887777778</v>
      </c>
    </row>
    <row r="77" spans="1:10" ht="15" thickBot="1"/>
    <row r="78" spans="1:10" ht="26.5" thickBot="1">
      <c r="A78" s="434" t="s">
        <v>696</v>
      </c>
      <c r="B78" s="417" t="s">
        <v>612</v>
      </c>
      <c r="C78" s="417" t="s">
        <v>647</v>
      </c>
      <c r="D78" s="417" t="s">
        <v>638</v>
      </c>
      <c r="E78" s="417" t="s">
        <v>639</v>
      </c>
      <c r="F78" s="439" t="s">
        <v>719</v>
      </c>
      <c r="G78" s="417" t="s">
        <v>720</v>
      </c>
      <c r="H78" s="417" t="s">
        <v>723</v>
      </c>
      <c r="I78" s="417" t="s">
        <v>724</v>
      </c>
    </row>
    <row r="79" spans="1:10">
      <c r="A79" t="s">
        <v>679</v>
      </c>
      <c r="B79" s="35">
        <f t="shared" ref="B79:I79" si="12">B64</f>
        <v>3522.9918240000002</v>
      </c>
      <c r="C79" s="35">
        <f t="shared" si="12"/>
        <v>3522.9918240000002</v>
      </c>
      <c r="D79" s="35">
        <f t="shared" si="12"/>
        <v>4184.8872576000003</v>
      </c>
      <c r="E79" s="35">
        <f t="shared" si="12"/>
        <v>4142.1843263999999</v>
      </c>
      <c r="F79" s="35">
        <f t="shared" si="12"/>
        <v>13483.450526400002</v>
      </c>
      <c r="G79" s="35">
        <f t="shared" si="12"/>
        <v>13483.450526400002</v>
      </c>
      <c r="H79" s="35">
        <f t="shared" si="12"/>
        <v>15533.191224000002</v>
      </c>
      <c r="I79" s="35">
        <f t="shared" si="12"/>
        <v>13755.6817128</v>
      </c>
    </row>
    <row r="80" spans="1:10">
      <c r="A80" t="s">
        <v>296</v>
      </c>
      <c r="B80" s="35"/>
      <c r="C80" s="35">
        <f t="shared" ref="C80:I80" si="13">C76</f>
        <v>0</v>
      </c>
      <c r="D80" s="35">
        <f t="shared" si="13"/>
        <v>69.451676666666685</v>
      </c>
      <c r="E80" s="35">
        <f t="shared" si="13"/>
        <v>188.81737322222222</v>
      </c>
      <c r="F80" s="35">
        <f t="shared" si="13"/>
        <v>0</v>
      </c>
      <c r="G80" s="35">
        <f t="shared" si="13"/>
        <v>0</v>
      </c>
      <c r="H80" s="35">
        <f t="shared" si="13"/>
        <v>419.54015333333331</v>
      </c>
      <c r="I80" s="35">
        <f t="shared" si="13"/>
        <v>1063.981887777778</v>
      </c>
    </row>
    <row r="81" spans="1:9">
      <c r="A81" t="s">
        <v>680</v>
      </c>
      <c r="B81" s="35">
        <f t="shared" ref="B81:I81" si="14">SUM(B79:B80)</f>
        <v>3522.9918240000002</v>
      </c>
      <c r="C81" s="35">
        <f t="shared" si="14"/>
        <v>3522.9918240000002</v>
      </c>
      <c r="D81" s="35">
        <f t="shared" si="14"/>
        <v>4254.3389342666669</v>
      </c>
      <c r="E81" s="35">
        <f t="shared" si="14"/>
        <v>4331.0016996222221</v>
      </c>
      <c r="F81" s="35">
        <f t="shared" si="14"/>
        <v>13483.450526400002</v>
      </c>
      <c r="G81" s="35">
        <f t="shared" si="14"/>
        <v>13483.450526400002</v>
      </c>
      <c r="H81" s="35">
        <f t="shared" si="14"/>
        <v>15952.731377333335</v>
      </c>
      <c r="I81" s="35">
        <f t="shared" si="14"/>
        <v>14819.663600577778</v>
      </c>
    </row>
    <row r="83" spans="1:9" ht="15" thickBot="1"/>
    <row r="84" spans="1:9" ht="26.5" thickBot="1">
      <c r="A84" s="434" t="s">
        <v>697</v>
      </c>
      <c r="B84" s="417" t="s">
        <v>612</v>
      </c>
      <c r="C84" s="417" t="s">
        <v>647</v>
      </c>
      <c r="D84" s="417" t="s">
        <v>638</v>
      </c>
      <c r="E84" s="417" t="s">
        <v>639</v>
      </c>
      <c r="F84" s="439" t="s">
        <v>719</v>
      </c>
      <c r="G84" s="417" t="s">
        <v>720</v>
      </c>
      <c r="H84" s="417" t="s">
        <v>723</v>
      </c>
      <c r="I84" s="417" t="s">
        <v>724</v>
      </c>
    </row>
    <row r="85" spans="1:9">
      <c r="A85" t="s">
        <v>681</v>
      </c>
      <c r="B85" s="35">
        <f t="shared" ref="B85:I85" si="15">B32</f>
        <v>75600</v>
      </c>
      <c r="C85" s="35">
        <f t="shared" si="15"/>
        <v>75600</v>
      </c>
      <c r="D85" s="35">
        <f t="shared" si="15"/>
        <v>81610</v>
      </c>
      <c r="E85" s="35">
        <f t="shared" si="15"/>
        <v>84728</v>
      </c>
      <c r="F85" s="35">
        <f t="shared" si="15"/>
        <v>195000</v>
      </c>
      <c r="G85" s="35">
        <f t="shared" si="15"/>
        <v>195000</v>
      </c>
      <c r="H85" s="35">
        <f t="shared" si="15"/>
        <v>216852</v>
      </c>
      <c r="I85" s="35">
        <f t="shared" si="15"/>
        <v>224922</v>
      </c>
    </row>
    <row r="86" spans="1:9">
      <c r="A86" t="s">
        <v>682</v>
      </c>
      <c r="B86" s="35">
        <v>757</v>
      </c>
      <c r="C86" s="35">
        <v>758</v>
      </c>
      <c r="D86" s="35">
        <v>759</v>
      </c>
      <c r="E86" s="35">
        <v>760</v>
      </c>
      <c r="F86" s="35">
        <v>761</v>
      </c>
      <c r="G86" s="35">
        <v>762</v>
      </c>
      <c r="H86" s="35">
        <v>763</v>
      </c>
      <c r="I86" s="35">
        <v>764</v>
      </c>
    </row>
    <row r="87" spans="1:9">
      <c r="A87" t="s">
        <v>683</v>
      </c>
      <c r="B87" s="35">
        <f t="shared" ref="B87:I87" si="16">B85*B86</f>
        <v>57229200</v>
      </c>
      <c r="C87" s="35">
        <f t="shared" si="16"/>
        <v>57304800</v>
      </c>
      <c r="D87" s="35">
        <f t="shared" si="16"/>
        <v>61941990</v>
      </c>
      <c r="E87" s="35">
        <f t="shared" si="16"/>
        <v>64393280</v>
      </c>
      <c r="F87" s="35">
        <f t="shared" si="16"/>
        <v>148395000</v>
      </c>
      <c r="G87" s="35">
        <f t="shared" si="16"/>
        <v>148590000</v>
      </c>
      <c r="H87" s="35">
        <f t="shared" si="16"/>
        <v>165458076</v>
      </c>
      <c r="I87" s="35">
        <f t="shared" si="16"/>
        <v>171840408</v>
      </c>
    </row>
    <row r="88" spans="1:9">
      <c r="A88" t="s">
        <v>684</v>
      </c>
      <c r="B88" s="35">
        <f t="shared" ref="B88:I88" si="17">B87/1000</f>
        <v>57229.2</v>
      </c>
      <c r="C88" s="35">
        <f t="shared" si="17"/>
        <v>57304.800000000003</v>
      </c>
      <c r="D88" s="35">
        <f t="shared" si="17"/>
        <v>61941.99</v>
      </c>
      <c r="E88" s="35">
        <f t="shared" si="17"/>
        <v>64393.279999999999</v>
      </c>
      <c r="F88" s="35">
        <f t="shared" si="17"/>
        <v>148395</v>
      </c>
      <c r="G88" s="35">
        <f t="shared" si="17"/>
        <v>148590</v>
      </c>
      <c r="H88" s="35">
        <f t="shared" si="17"/>
        <v>165458.076</v>
      </c>
      <c r="I88" s="35">
        <f t="shared" si="17"/>
        <v>171840.408</v>
      </c>
    </row>
    <row r="90" spans="1:9" ht="15" thickBot="1"/>
    <row r="91" spans="1:9" ht="26.5" thickBot="1">
      <c r="A91" s="434" t="s">
        <v>705</v>
      </c>
      <c r="B91" s="417" t="s">
        <v>612</v>
      </c>
      <c r="C91" s="417" t="s">
        <v>647</v>
      </c>
      <c r="D91" s="417" t="s">
        <v>638</v>
      </c>
      <c r="E91" s="417" t="s">
        <v>639</v>
      </c>
      <c r="F91" s="439" t="s">
        <v>719</v>
      </c>
      <c r="G91" s="417" t="s">
        <v>720</v>
      </c>
      <c r="H91" s="417" t="s">
        <v>723</v>
      </c>
      <c r="I91" s="417" t="s">
        <v>724</v>
      </c>
    </row>
    <row r="92" spans="1:9">
      <c r="A92" t="s">
        <v>685</v>
      </c>
      <c r="B92" s="35">
        <f t="shared" ref="B92:I92" si="18">B88</f>
        <v>57229.2</v>
      </c>
      <c r="C92" s="35">
        <f t="shared" si="18"/>
        <v>57304.800000000003</v>
      </c>
      <c r="D92" s="35">
        <f t="shared" si="18"/>
        <v>61941.99</v>
      </c>
      <c r="E92" s="35">
        <f t="shared" si="18"/>
        <v>64393.279999999999</v>
      </c>
      <c r="F92" s="35">
        <f t="shared" si="18"/>
        <v>148395</v>
      </c>
      <c r="G92" s="35">
        <f t="shared" si="18"/>
        <v>148590</v>
      </c>
      <c r="H92" s="35">
        <f t="shared" si="18"/>
        <v>165458.076</v>
      </c>
      <c r="I92" s="35">
        <f t="shared" si="18"/>
        <v>171840.408</v>
      </c>
    </row>
    <row r="93" spans="1:9">
      <c r="A93" t="s">
        <v>686</v>
      </c>
      <c r="B93" s="35">
        <f t="shared" ref="B93:I94" si="19">B79</f>
        <v>3522.9918240000002</v>
      </c>
      <c r="C93" s="35">
        <f t="shared" si="19"/>
        <v>3522.9918240000002</v>
      </c>
      <c r="D93" s="35">
        <f t="shared" si="19"/>
        <v>4184.8872576000003</v>
      </c>
      <c r="E93" s="35">
        <f t="shared" si="19"/>
        <v>4142.1843263999999</v>
      </c>
      <c r="F93" s="35">
        <f t="shared" si="19"/>
        <v>13483.450526400002</v>
      </c>
      <c r="G93" s="35">
        <f t="shared" si="19"/>
        <v>13483.450526400002</v>
      </c>
      <c r="H93" s="35">
        <f t="shared" si="19"/>
        <v>15533.191224000002</v>
      </c>
      <c r="I93" s="35">
        <f t="shared" si="19"/>
        <v>13755.6817128</v>
      </c>
    </row>
    <row r="94" spans="1:9">
      <c r="A94" t="s">
        <v>687</v>
      </c>
      <c r="B94" s="35">
        <f t="shared" si="19"/>
        <v>0</v>
      </c>
      <c r="C94" s="35">
        <f t="shared" si="19"/>
        <v>0</v>
      </c>
      <c r="D94" s="35">
        <f t="shared" si="19"/>
        <v>69.451676666666685</v>
      </c>
      <c r="E94" s="35">
        <f t="shared" si="19"/>
        <v>188.81737322222222</v>
      </c>
      <c r="F94" s="35">
        <f t="shared" si="19"/>
        <v>0</v>
      </c>
      <c r="G94" s="35">
        <f t="shared" si="19"/>
        <v>0</v>
      </c>
      <c r="H94" s="35">
        <f t="shared" si="19"/>
        <v>419.54015333333331</v>
      </c>
      <c r="I94" s="35">
        <f t="shared" si="19"/>
        <v>1063.981887777778</v>
      </c>
    </row>
    <row r="97" spans="1:9" ht="15" thickBot="1"/>
    <row r="98" spans="1:9" ht="26.5" thickBot="1">
      <c r="A98" s="434" t="s">
        <v>706</v>
      </c>
      <c r="B98" s="417" t="s">
        <v>612</v>
      </c>
      <c r="C98" s="417" t="s">
        <v>647</v>
      </c>
      <c r="D98" s="417" t="s">
        <v>638</v>
      </c>
      <c r="E98" s="417" t="s">
        <v>639</v>
      </c>
      <c r="F98" s="439" t="s">
        <v>719</v>
      </c>
      <c r="G98" s="417" t="s">
        <v>720</v>
      </c>
      <c r="H98" s="417" t="s">
        <v>723</v>
      </c>
      <c r="I98" s="417" t="s">
        <v>724</v>
      </c>
    </row>
    <row r="99" spans="1:9">
      <c r="A99" t="s">
        <v>707</v>
      </c>
      <c r="B99" s="35">
        <f>ROUND($B$92*'Unit conversion'!$B$14*1000,-2)</f>
        <v>76305600</v>
      </c>
      <c r="C99" s="35">
        <f>ROUND($B$92*'Unit conversion'!$B$14*1000,-2)</f>
        <v>76305600</v>
      </c>
      <c r="D99" s="35">
        <f>ROUND($B$92*'Unit conversion'!$B$14*1000,-2)</f>
        <v>76305600</v>
      </c>
      <c r="E99" s="35">
        <f>ROUND($B$92*'Unit conversion'!$B$14*1000,-2)</f>
        <v>76305600</v>
      </c>
      <c r="F99" s="35">
        <f>ROUND($F$92*'Unit conversion'!$B$14*1000,-2)</f>
        <v>197860000</v>
      </c>
      <c r="G99" s="35">
        <f>ROUND($F$92*'Unit conversion'!$B$14*1000,-2)</f>
        <v>197860000</v>
      </c>
      <c r="H99" s="35">
        <f>ROUND($F$92*'Unit conversion'!$B$14*1000,-2)</f>
        <v>197860000</v>
      </c>
      <c r="I99" s="35">
        <f>ROUND($F$92*'Unit conversion'!$B$14*1000,-2)</f>
        <v>197860000</v>
      </c>
    </row>
    <row r="100" spans="1:9">
      <c r="A100" t="s">
        <v>708</v>
      </c>
      <c r="B100" s="35">
        <f>ROUND(B92*1000*'Unit conversion'!$B$14-B99,-2)</f>
        <v>0</v>
      </c>
      <c r="C100" s="35">
        <f>ROUND(C92*1000*'Unit conversion'!$B$14-C99,-2)</f>
        <v>100800</v>
      </c>
      <c r="D100" s="35">
        <f>ROUND(D92*1000*'Unit conversion'!$B$14-D99,-2)</f>
        <v>6283700</v>
      </c>
      <c r="E100" s="35">
        <f>ROUND(E92*1000*'Unit conversion'!$B$14-E99,-2)</f>
        <v>9552100</v>
      </c>
      <c r="F100" s="35">
        <f>ROUND(F92*1000*'Unit conversion'!$B$14-F99,-2)</f>
        <v>0</v>
      </c>
      <c r="G100" s="35">
        <f>ROUND(G92*1000*'Unit conversion'!$B$14-G99,-2)</f>
        <v>260000</v>
      </c>
      <c r="H100" s="35">
        <f>ROUND(H92*1000*'Unit conversion'!$B$14-H99,-2)</f>
        <v>22750800</v>
      </c>
      <c r="I100" s="35">
        <f>ROUND(I92*1000*'Unit conversion'!$B$14-I99,-2)</f>
        <v>31260500</v>
      </c>
    </row>
    <row r="101" spans="1:9">
      <c r="A101" t="s">
        <v>679</v>
      </c>
      <c r="B101">
        <f>ROUND(B93*'Unit conversion'!$B$14*1000,-2)</f>
        <v>4697300</v>
      </c>
      <c r="C101">
        <f>ROUND(C93*'Unit conversion'!$B$14*1000,-2)</f>
        <v>4697300</v>
      </c>
      <c r="D101">
        <f>ROUND(D93*'Unit conversion'!$B$14*1000,-2)</f>
        <v>5579800</v>
      </c>
      <c r="E101">
        <f>ROUND(E93*'Unit conversion'!$B$14*1000,-2)</f>
        <v>5522900</v>
      </c>
      <c r="F101">
        <f>ROUND(F93*'Unit conversion'!$B$14*1000,-2)</f>
        <v>17977900</v>
      </c>
      <c r="G101">
        <f>ROUND(G93*'Unit conversion'!$B$14*1000,-2)</f>
        <v>17977900</v>
      </c>
      <c r="H101">
        <f>ROUND(H93*'Unit conversion'!$B$14*1000,-2)</f>
        <v>20710900</v>
      </c>
      <c r="I101">
        <f>ROUND(I93*'Unit conversion'!$B$14*1000,-2)</f>
        <v>18340900</v>
      </c>
    </row>
    <row r="102" spans="1:9">
      <c r="A102" t="s">
        <v>296</v>
      </c>
      <c r="B102">
        <f>ROUND(B94*'Unit conversion'!$B$14*1000,-2)</f>
        <v>0</v>
      </c>
      <c r="C102">
        <f>ROUND(C94*'Unit conversion'!$B$14*1000,-2)</f>
        <v>0</v>
      </c>
      <c r="D102">
        <f>ROUND(D94*'Unit conversion'!$B$14*1000,-2)</f>
        <v>92600</v>
      </c>
      <c r="E102">
        <f>ROUND(E94*'Unit conversion'!$B$14*1000,-2)</f>
        <v>251800</v>
      </c>
      <c r="F102">
        <f>ROUND(F94*'Unit conversion'!$B$14*1000,-2)</f>
        <v>0</v>
      </c>
      <c r="G102">
        <f>ROUND(G94*'Unit conversion'!$B$14*1000,-2)</f>
        <v>0</v>
      </c>
      <c r="H102">
        <f>ROUND(H94*'Unit conversion'!$B$14*1000,-2)</f>
        <v>559400</v>
      </c>
      <c r="I102">
        <f>ROUND(I94*'Unit conversion'!$B$14*1000,-2)</f>
        <v>1418600</v>
      </c>
    </row>
    <row r="104" spans="1:9">
      <c r="A104" t="s">
        <v>327</v>
      </c>
      <c r="B104">
        <v>0.03</v>
      </c>
    </row>
    <row r="105" spans="1:9">
      <c r="A105" t="s">
        <v>688</v>
      </c>
      <c r="B105">
        <v>20</v>
      </c>
    </row>
    <row r="109" spans="1:9" ht="15.5">
      <c r="A109" s="430" t="s">
        <v>689</v>
      </c>
    </row>
    <row r="110" spans="1:9">
      <c r="A110" t="s">
        <v>685</v>
      </c>
      <c r="B110" s="35">
        <f>B92*($B$104/(1-(1+$B$104)^(-$B$105)))</f>
        <v>3846.701173202172</v>
      </c>
      <c r="C110" s="35">
        <f t="shared" ref="C110:I110" si="20">C92*($B$104/(1-(1+$B$104)^(-$B$105)))</f>
        <v>3851.7826806964949</v>
      </c>
      <c r="D110" s="35">
        <f t="shared" si="20"/>
        <v>4163.4746878075739</v>
      </c>
      <c r="E110" s="35">
        <f t="shared" si="20"/>
        <v>4328.2398796826792</v>
      </c>
      <c r="F110" s="35">
        <f t="shared" si="20"/>
        <v>9974.4749288359144</v>
      </c>
      <c r="G110" s="35">
        <f t="shared" si="20"/>
        <v>9987.581991817302</v>
      </c>
      <c r="H110" s="35">
        <f t="shared" si="20"/>
        <v>11121.3816559549</v>
      </c>
      <c r="I110" s="35">
        <f t="shared" si="20"/>
        <v>11550.374617452977</v>
      </c>
    </row>
    <row r="111" spans="1:9">
      <c r="A111" t="s">
        <v>686</v>
      </c>
      <c r="B111" s="35">
        <f t="shared" ref="B111:I112" si="21">B93*($B$104/(1-(1+$B$104)^(-$B$105)))</f>
        <v>236.80038830810952</v>
      </c>
      <c r="C111" s="35">
        <f t="shared" si="21"/>
        <v>236.80038830810952</v>
      </c>
      <c r="D111" s="35">
        <f t="shared" si="21"/>
        <v>281.29015823266343</v>
      </c>
      <c r="E111" s="35">
        <f t="shared" si="21"/>
        <v>278.41985049559543</v>
      </c>
      <c r="F111" s="35">
        <f t="shared" si="21"/>
        <v>906.29966797921918</v>
      </c>
      <c r="G111" s="35">
        <f t="shared" si="21"/>
        <v>906.29966797921918</v>
      </c>
      <c r="H111" s="35">
        <f t="shared" si="21"/>
        <v>1044.074439358483</v>
      </c>
      <c r="I111" s="35">
        <f t="shared" si="21"/>
        <v>924.59787980302758</v>
      </c>
    </row>
    <row r="112" spans="1:9">
      <c r="A112" t="s">
        <v>687</v>
      </c>
      <c r="B112" s="35">
        <f t="shared" si="21"/>
        <v>0</v>
      </c>
      <c r="C112" s="35">
        <f t="shared" si="21"/>
        <v>0</v>
      </c>
      <c r="D112" s="35">
        <f t="shared" si="21"/>
        <v>4.6682435909382738</v>
      </c>
      <c r="E112" s="35">
        <f t="shared" si="21"/>
        <v>12.691493347711912</v>
      </c>
      <c r="F112" s="35">
        <f t="shared" si="21"/>
        <v>0</v>
      </c>
      <c r="G112" s="35">
        <f t="shared" si="21"/>
        <v>0</v>
      </c>
      <c r="H112" s="35">
        <f t="shared" si="21"/>
        <v>28.199688271594788</v>
      </c>
      <c r="I112" s="35">
        <f t="shared" si="21"/>
        <v>71.51629545722534</v>
      </c>
    </row>
    <row r="117" spans="1:1">
      <c r="A117" t="s">
        <v>690</v>
      </c>
    </row>
    <row r="118" spans="1:1">
      <c r="A118" t="s">
        <v>691</v>
      </c>
    </row>
    <row r="119" spans="1:1">
      <c r="A119" t="s">
        <v>692</v>
      </c>
    </row>
    <row r="121" spans="1:1">
      <c r="A121" t="s">
        <v>693</v>
      </c>
    </row>
  </sheetData>
  <mergeCells count="2">
    <mergeCell ref="B23:E23"/>
    <mergeCell ref="F23:I23"/>
  </mergeCells>
  <pageMargins left="0.7" right="0.7" top="0.75" bottom="0.75" header="0.3" footer="0.3"/>
  <pageSetup paperSize="9" orientation="portrait" horizontalDpi="0" verticalDpi="0"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24"/>
  <sheetViews>
    <sheetView tabSelected="1" workbookViewId="0">
      <pane xSplit="1" ySplit="1" topLeftCell="B5" activePane="bottomRight" state="frozen"/>
      <selection pane="topRight" activeCell="B1" sqref="B1"/>
      <selection pane="bottomLeft" activeCell="A2" sqref="A2"/>
      <selection pane="bottomRight" activeCell="G7" sqref="G7"/>
    </sheetView>
  </sheetViews>
  <sheetFormatPr defaultColWidth="8.81640625" defaultRowHeight="14.5"/>
  <cols>
    <col min="1" max="1" width="34.453125" customWidth="1"/>
    <col min="2" max="3" width="11.453125" bestFit="1" customWidth="1"/>
    <col min="4" max="4" width="11.453125" customWidth="1"/>
    <col min="5" max="8" width="11.453125" bestFit="1" customWidth="1"/>
    <col min="9" max="9" width="78.54296875" customWidth="1"/>
    <col min="10" max="11" width="9.54296875" bestFit="1" customWidth="1"/>
  </cols>
  <sheetData>
    <row r="1" spans="1:11">
      <c r="A1" s="39" t="s">
        <v>221</v>
      </c>
      <c r="B1" s="38" t="s">
        <v>10</v>
      </c>
      <c r="C1" s="38" t="s">
        <v>65</v>
      </c>
      <c r="D1" s="38" t="s">
        <v>229</v>
      </c>
      <c r="E1" s="38" t="s">
        <v>66</v>
      </c>
      <c r="F1" s="38" t="s">
        <v>17</v>
      </c>
      <c r="G1" s="38" t="s">
        <v>14</v>
      </c>
      <c r="H1" s="38" t="s">
        <v>20</v>
      </c>
      <c r="I1" s="38" t="s">
        <v>75</v>
      </c>
    </row>
    <row r="2" spans="1:11">
      <c r="A2" s="58" t="s">
        <v>63</v>
      </c>
    </row>
    <row r="3" spans="1:11">
      <c r="A3" s="38" t="s">
        <v>64</v>
      </c>
      <c r="B3" s="137">
        <v>42.21</v>
      </c>
      <c r="C3" s="136">
        <v>46.1</v>
      </c>
      <c r="D3" s="137">
        <v>46.7</v>
      </c>
      <c r="E3" s="137">
        <v>22.7</v>
      </c>
      <c r="F3" s="137">
        <v>22.7</v>
      </c>
      <c r="G3" s="137">
        <v>55.5</v>
      </c>
      <c r="H3" s="137">
        <v>142</v>
      </c>
      <c r="I3" s="38" t="s">
        <v>303</v>
      </c>
      <c r="K3" s="38" t="s">
        <v>184</v>
      </c>
    </row>
    <row r="4" spans="1:11" s="138" customFormat="1">
      <c r="A4" s="109" t="s">
        <v>67</v>
      </c>
      <c r="B4" s="139">
        <v>39.466000000000001</v>
      </c>
      <c r="C4" s="140">
        <v>43.2</v>
      </c>
      <c r="D4" s="139">
        <v>43.6</v>
      </c>
      <c r="E4" s="139">
        <v>20</v>
      </c>
      <c r="F4" s="139">
        <v>20</v>
      </c>
      <c r="G4" s="139">
        <v>50</v>
      </c>
      <c r="H4" s="139">
        <v>120</v>
      </c>
      <c r="I4" s="141" t="s">
        <v>303</v>
      </c>
      <c r="K4" s="111" t="s">
        <v>302</v>
      </c>
    </row>
    <row r="5" spans="1:11" s="138" customFormat="1">
      <c r="A5" s="109" t="s">
        <v>280</v>
      </c>
      <c r="B5" s="110">
        <f>B4/B3</f>
        <v>0.93499170812603649</v>
      </c>
      <c r="C5" s="110">
        <f t="shared" ref="C5:H5" si="0">C4/C3</f>
        <v>0.93709327548806942</v>
      </c>
      <c r="D5" s="110">
        <f t="shared" si="0"/>
        <v>0.93361884368308345</v>
      </c>
      <c r="E5" s="110">
        <f t="shared" si="0"/>
        <v>0.88105726872246704</v>
      </c>
      <c r="F5" s="110">
        <f t="shared" si="0"/>
        <v>0.88105726872246704</v>
      </c>
      <c r="G5" s="110">
        <f t="shared" si="0"/>
        <v>0.90090090090090091</v>
      </c>
      <c r="H5" s="110">
        <f t="shared" si="0"/>
        <v>0.84507042253521125</v>
      </c>
      <c r="I5" s="111"/>
      <c r="K5" s="111"/>
    </row>
    <row r="6" spans="1:11">
      <c r="A6" s="38" t="s">
        <v>70</v>
      </c>
      <c r="B6" s="38">
        <v>0.98699999999999999</v>
      </c>
      <c r="C6" s="38">
        <v>0.86899999999999999</v>
      </c>
      <c r="D6" s="38"/>
      <c r="E6" s="38">
        <f>ROUND(0.78664,3)</f>
        <v>0.78700000000000003</v>
      </c>
      <c r="F6" s="38">
        <f>ROUND(0.78664,3)</f>
        <v>0.78700000000000003</v>
      </c>
      <c r="G6" s="38">
        <v>0.48899999999999999</v>
      </c>
      <c r="H6" s="38">
        <f>71/1000</f>
        <v>7.0999999999999994E-2</v>
      </c>
      <c r="I6" s="38" t="s">
        <v>193</v>
      </c>
    </row>
    <row r="7" spans="1:11">
      <c r="A7" s="38" t="s">
        <v>68</v>
      </c>
      <c r="B7" s="38">
        <f>ROUND(B3*B6,1)</f>
        <v>41.7</v>
      </c>
      <c r="C7" s="38">
        <f>ROUND(C3*C6,1)</f>
        <v>40.1</v>
      </c>
      <c r="D7" s="38"/>
      <c r="E7" s="38">
        <f>ROUND(E3*E6,1)</f>
        <v>17.899999999999999</v>
      </c>
      <c r="F7" s="38">
        <f>ROUND(F3*F6,1)</f>
        <v>17.899999999999999</v>
      </c>
      <c r="G7" s="38">
        <f>ROUND(G3*G6,1)</f>
        <v>27.1</v>
      </c>
      <c r="H7" s="38">
        <f>H3*H6</f>
        <v>10.081999999999999</v>
      </c>
      <c r="I7" s="38" t="s">
        <v>185</v>
      </c>
    </row>
    <row r="8" spans="1:11" s="57" customFormat="1">
      <c r="A8" s="109" t="s">
        <v>69</v>
      </c>
      <c r="B8" s="110">
        <f>ROUND(B4*B6,1)</f>
        <v>39</v>
      </c>
      <c r="C8" s="110">
        <f>ROUND(C4*C6,1)</f>
        <v>37.5</v>
      </c>
      <c r="D8" s="110"/>
      <c r="E8" s="110">
        <f>ROUND(E4*E6,1)</f>
        <v>15.7</v>
      </c>
      <c r="F8" s="110">
        <f>ROUND(F4*F6,1)</f>
        <v>15.7</v>
      </c>
      <c r="G8" s="110">
        <f>ROUND(G4*G6,1)</f>
        <v>24.5</v>
      </c>
      <c r="H8" s="111"/>
      <c r="I8" s="109" t="s">
        <v>185</v>
      </c>
    </row>
    <row r="9" spans="1:11">
      <c r="B9" s="70"/>
      <c r="C9" s="70"/>
      <c r="D9" s="70"/>
      <c r="E9" s="70"/>
      <c r="F9" s="70"/>
      <c r="G9" s="70"/>
      <c r="H9" s="70"/>
    </row>
    <row r="10" spans="1:11" s="108" customFormat="1">
      <c r="A10" s="108" t="s">
        <v>280</v>
      </c>
      <c r="B10" s="122">
        <f>B4/B3</f>
        <v>0.93499170812603649</v>
      </c>
      <c r="C10" s="122">
        <f>C4/C3</f>
        <v>0.93709327548806942</v>
      </c>
      <c r="D10" s="122"/>
      <c r="E10" s="122">
        <f>E4/E3</f>
        <v>0.88105726872246704</v>
      </c>
      <c r="F10" s="122">
        <f>F4/F3</f>
        <v>0.88105726872246704</v>
      </c>
      <c r="G10" s="122">
        <f>G4/G3</f>
        <v>0.90090090090090091</v>
      </c>
      <c r="H10" s="122">
        <f>H4/H3</f>
        <v>0.84507042253521125</v>
      </c>
    </row>
    <row r="11" spans="1:11" s="108" customFormat="1" ht="29">
      <c r="A11" s="108" t="s">
        <v>281</v>
      </c>
      <c r="B11" s="122">
        <f>B10/$C$10</f>
        <v>0.99775735519931208</v>
      </c>
      <c r="C11" s="122">
        <f t="shared" ref="C11:H11" si="1">C10/$C$10</f>
        <v>1</v>
      </c>
      <c r="D11" s="122"/>
      <c r="E11" s="122">
        <f t="shared" si="1"/>
        <v>0.94020231685429934</v>
      </c>
      <c r="F11" s="122">
        <f t="shared" si="1"/>
        <v>0.94020231685429934</v>
      </c>
      <c r="G11" s="122">
        <f t="shared" si="1"/>
        <v>0.961378044711378</v>
      </c>
      <c r="H11" s="122">
        <f t="shared" si="1"/>
        <v>0.90179968701095459</v>
      </c>
    </row>
    <row r="12" spans="1:11">
      <c r="B12" s="70"/>
      <c r="C12" s="70"/>
      <c r="D12" s="70"/>
      <c r="E12" s="70"/>
      <c r="F12" s="70"/>
      <c r="G12" s="70"/>
      <c r="H12" s="70"/>
    </row>
    <row r="13" spans="1:11">
      <c r="A13" s="52" t="s">
        <v>82</v>
      </c>
      <c r="B13" s="70"/>
      <c r="C13" s="70"/>
      <c r="D13" s="70"/>
      <c r="E13" s="70"/>
      <c r="F13" s="70"/>
      <c r="G13" s="70"/>
      <c r="H13" s="70"/>
    </row>
    <row r="14" spans="1:11">
      <c r="A14" s="38" t="s">
        <v>83</v>
      </c>
      <c r="B14" s="38">
        <f>1/0.75</f>
        <v>1.3333333333333333</v>
      </c>
      <c r="C14" s="38" t="s">
        <v>84</v>
      </c>
      <c r="D14" s="38"/>
      <c r="E14" s="70"/>
      <c r="F14" s="70"/>
      <c r="G14" s="70"/>
      <c r="H14" s="70"/>
    </row>
    <row r="15" spans="1:11">
      <c r="A15" s="38" t="s">
        <v>327</v>
      </c>
      <c r="B15" s="38">
        <v>0.05</v>
      </c>
      <c r="C15" s="38" t="s">
        <v>152</v>
      </c>
      <c r="D15" s="38"/>
      <c r="E15" s="70"/>
      <c r="F15" s="70"/>
      <c r="G15" s="70"/>
      <c r="H15" s="70"/>
    </row>
    <row r="16" spans="1:11">
      <c r="A16" s="5" t="s">
        <v>293</v>
      </c>
      <c r="B16">
        <v>8000</v>
      </c>
    </row>
    <row r="18" spans="1:8">
      <c r="A18" t="s">
        <v>528</v>
      </c>
      <c r="B18">
        <f>3.6/1000</f>
        <v>3.5999999999999999E-3</v>
      </c>
      <c r="C18" t="s">
        <v>529</v>
      </c>
    </row>
    <row r="19" spans="1:8">
      <c r="A19" s="58"/>
    </row>
    <row r="20" spans="1:8">
      <c r="A20" s="38"/>
    </row>
    <row r="21" spans="1:8">
      <c r="A21" s="109"/>
    </row>
    <row r="23" spans="1:8" s="108" customFormat="1">
      <c r="B23" s="123"/>
      <c r="C23" s="123"/>
      <c r="D23" s="123"/>
      <c r="E23" s="123"/>
      <c r="F23" s="123"/>
      <c r="G23" s="123"/>
      <c r="H23" s="123"/>
    </row>
    <row r="24" spans="1:8" s="108" customFormat="1">
      <c r="B24" s="123"/>
      <c r="C24" s="123"/>
      <c r="D24" s="123"/>
      <c r="E24" s="123"/>
      <c r="F24" s="123"/>
      <c r="G24" s="123"/>
      <c r="H24" s="123"/>
    </row>
  </sheetData>
  <pageMargins left="0.7" right="0.7" top="0.75" bottom="0.75" header="0.3" footer="0.3"/>
  <pageSetup paperSize="9" orientation="portrait" horizontalDpi="300" verticalDpi="300"/>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N172"/>
  <sheetViews>
    <sheetView topLeftCell="A40" workbookViewId="0">
      <selection activeCell="E59" sqref="E59"/>
    </sheetView>
  </sheetViews>
  <sheetFormatPr defaultColWidth="8.81640625" defaultRowHeight="11.5"/>
  <cols>
    <col min="1" max="1" width="9.81640625" style="5" customWidth="1"/>
    <col min="2" max="3" width="12.453125" style="5" customWidth="1"/>
    <col min="4" max="16384" width="8.81640625" style="5"/>
  </cols>
  <sheetData>
    <row r="1" spans="1:7" s="166" customFormat="1" ht="20" thickBot="1">
      <c r="A1" s="166" t="s">
        <v>389</v>
      </c>
    </row>
    <row r="2" spans="1:7" ht="12.75" customHeight="1" thickTop="1">
      <c r="A2" s="5" t="s">
        <v>352</v>
      </c>
    </row>
    <row r="3" spans="1:7">
      <c r="A3" s="451" t="s">
        <v>353</v>
      </c>
      <c r="B3" s="451"/>
    </row>
    <row r="4" spans="1:7">
      <c r="A4" s="451" t="s">
        <v>354</v>
      </c>
      <c r="B4" s="451"/>
      <c r="C4" s="451"/>
      <c r="D4" s="451"/>
      <c r="E4" s="451"/>
      <c r="F4" s="451"/>
      <c r="G4" s="451"/>
    </row>
    <row r="5" spans="1:7" ht="13">
      <c r="A5" s="167" t="s">
        <v>355</v>
      </c>
      <c r="B5" s="452" t="s">
        <v>356</v>
      </c>
      <c r="C5" s="452"/>
    </row>
    <row r="6" spans="1:7" ht="13">
      <c r="A6" s="167" t="s">
        <v>355</v>
      </c>
      <c r="B6" s="168" t="s">
        <v>357</v>
      </c>
      <c r="C6" s="168" t="s">
        <v>358</v>
      </c>
    </row>
    <row r="7" spans="1:7" ht="13">
      <c r="A7" s="167" t="s">
        <v>359</v>
      </c>
      <c r="B7" s="168" t="s">
        <v>360</v>
      </c>
      <c r="C7" s="168" t="s">
        <v>360</v>
      </c>
    </row>
    <row r="8" spans="1:7">
      <c r="A8" s="5" t="s">
        <v>361</v>
      </c>
      <c r="B8" s="5">
        <v>8.4465000000000003</v>
      </c>
      <c r="C8" s="5">
        <v>9.1717999999999993</v>
      </c>
    </row>
    <row r="9" spans="1:7">
      <c r="A9" s="5" t="s">
        <v>362</v>
      </c>
      <c r="B9" s="5">
        <v>9.2515999999999998</v>
      </c>
      <c r="C9" s="5">
        <v>10.326000000000001</v>
      </c>
    </row>
    <row r="10" spans="1:7">
      <c r="A10" s="5" t="s">
        <v>363</v>
      </c>
      <c r="B10" s="5">
        <v>9.1626999999999992</v>
      </c>
      <c r="C10" s="5">
        <v>9.7242999999999995</v>
      </c>
    </row>
    <row r="11" spans="1:7">
      <c r="A11" s="5" t="s">
        <v>364</v>
      </c>
      <c r="B11" s="5">
        <v>9.125</v>
      </c>
      <c r="C11" s="5">
        <v>8.0893999999999995</v>
      </c>
    </row>
    <row r="12" spans="1:7">
      <c r="A12" s="5" t="s">
        <v>365</v>
      </c>
      <c r="B12" s="5">
        <v>9.1267999999999994</v>
      </c>
      <c r="C12" s="5">
        <v>7.3495999999999997</v>
      </c>
    </row>
    <row r="13" spans="1:7">
      <c r="A13" s="5" t="s">
        <v>366</v>
      </c>
      <c r="B13" s="5">
        <v>9.2849000000000004</v>
      </c>
      <c r="C13" s="5">
        <v>7.4775</v>
      </c>
    </row>
    <row r="14" spans="1:7">
      <c r="A14" s="5" t="s">
        <v>367</v>
      </c>
      <c r="B14" s="5">
        <v>9.2548999999999992</v>
      </c>
      <c r="C14" s="5">
        <v>7.3765999999999998</v>
      </c>
    </row>
    <row r="15" spans="1:7">
      <c r="A15" s="5" t="s">
        <v>368</v>
      </c>
      <c r="B15" s="5">
        <v>9.2481000000000009</v>
      </c>
      <c r="C15" s="5">
        <v>6.7606999999999999</v>
      </c>
    </row>
    <row r="16" spans="1:7">
      <c r="A16" s="5" t="s">
        <v>369</v>
      </c>
      <c r="B16" s="5">
        <v>9.6054999999999993</v>
      </c>
      <c r="C16" s="5">
        <v>6.5808</v>
      </c>
    </row>
    <row r="17" spans="1:5">
      <c r="A17" s="5" t="s">
        <v>370</v>
      </c>
      <c r="B17" s="5">
        <v>10.6213</v>
      </c>
      <c r="C17" s="5">
        <v>7.6456999999999997</v>
      </c>
    </row>
    <row r="18" spans="1:5">
      <c r="A18" s="5" t="s">
        <v>371</v>
      </c>
      <c r="B18" s="5">
        <v>9.5412999999999997</v>
      </c>
      <c r="C18" s="5">
        <v>7.2049000000000003</v>
      </c>
    </row>
    <row r="19" spans="1:5">
      <c r="A19" s="5" t="s">
        <v>372</v>
      </c>
      <c r="B19" s="5">
        <v>9.0335000000000001</v>
      </c>
      <c r="C19" s="5">
        <v>6.4969000000000001</v>
      </c>
    </row>
    <row r="20" spans="1:5">
      <c r="A20" s="5" t="s">
        <v>373</v>
      </c>
      <c r="B20" s="5">
        <v>8.7052999999999994</v>
      </c>
      <c r="C20" s="5">
        <v>6.7754000000000003</v>
      </c>
    </row>
    <row r="21" spans="1:5">
      <c r="A21" s="5" t="s">
        <v>374</v>
      </c>
      <c r="B21" s="5">
        <v>8.6494</v>
      </c>
      <c r="C21" s="5">
        <v>6.5140000000000002</v>
      </c>
    </row>
    <row r="22" spans="1:5">
      <c r="A22" s="5" t="s">
        <v>375</v>
      </c>
      <c r="B22" s="5">
        <v>9.0968</v>
      </c>
      <c r="C22" s="5">
        <v>6.8577000000000004</v>
      </c>
    </row>
    <row r="23" spans="1:5" ht="12.75" customHeight="1"/>
    <row r="24" spans="1:5" ht="13">
      <c r="A24" s="169" t="s">
        <v>376</v>
      </c>
    </row>
    <row r="25" spans="1:5" ht="12.75" customHeight="1"/>
    <row r="26" spans="1:5" ht="13">
      <c r="A26" s="450" t="s">
        <v>377</v>
      </c>
      <c r="B26" s="451"/>
      <c r="C26" s="451"/>
      <c r="D26" s="451"/>
      <c r="E26" s="451"/>
    </row>
    <row r="27" spans="1:5">
      <c r="A27" s="451" t="s">
        <v>378</v>
      </c>
      <c r="B27" s="451"/>
      <c r="C27" s="451"/>
      <c r="D27" s="451"/>
      <c r="E27" s="451"/>
    </row>
    <row r="28" spans="1:5">
      <c r="A28" s="451" t="s">
        <v>379</v>
      </c>
      <c r="B28" s="451"/>
      <c r="C28" s="451"/>
      <c r="D28" s="451"/>
      <c r="E28" s="451"/>
    </row>
    <row r="29" spans="1:5" ht="12.75" customHeight="1"/>
    <row r="30" spans="1:5" ht="13">
      <c r="A30" s="450" t="s">
        <v>380</v>
      </c>
      <c r="B30" s="451"/>
      <c r="C30" s="451"/>
      <c r="D30" s="451"/>
      <c r="E30" s="451"/>
    </row>
    <row r="31" spans="1:5">
      <c r="A31" s="451" t="s">
        <v>381</v>
      </c>
      <c r="B31" s="451"/>
      <c r="C31" s="451"/>
      <c r="D31" s="451"/>
      <c r="E31" s="451"/>
    </row>
    <row r="32" spans="1:5">
      <c r="A32" s="451" t="s">
        <v>379</v>
      </c>
      <c r="B32" s="451"/>
      <c r="C32" s="451"/>
      <c r="D32" s="451"/>
      <c r="E32" s="451"/>
    </row>
    <row r="34" spans="1:5" ht="20" thickBot="1">
      <c r="A34" s="166" t="s">
        <v>382</v>
      </c>
      <c r="B34" s="166"/>
      <c r="C34" s="166"/>
      <c r="D34" s="166"/>
      <c r="E34" s="166"/>
    </row>
    <row r="35" spans="1:5" ht="12.75" customHeight="1" thickTop="1">
      <c r="A35" s="170" t="s">
        <v>383</v>
      </c>
    </row>
    <row r="36" spans="1:5" ht="12.75" customHeight="1">
      <c r="A36" s="5" t="s">
        <v>384</v>
      </c>
      <c r="B36" s="5" t="s">
        <v>385</v>
      </c>
    </row>
    <row r="37" spans="1:5" ht="12.75" customHeight="1">
      <c r="A37" s="5" t="s">
        <v>361</v>
      </c>
      <c r="B37" s="5">
        <v>89.69</v>
      </c>
    </row>
    <row r="38" spans="1:5" ht="12.75" customHeight="1">
      <c r="A38" s="5" t="s">
        <v>362</v>
      </c>
      <c r="B38" s="5">
        <v>91.8</v>
      </c>
    </row>
    <row r="39" spans="1:5" ht="12.75" customHeight="1">
      <c r="A39" s="5" t="s">
        <v>363</v>
      </c>
      <c r="B39" s="5">
        <v>93.86</v>
      </c>
    </row>
    <row r="40" spans="1:5" ht="12.75" customHeight="1">
      <c r="A40" s="5" t="s">
        <v>364</v>
      </c>
      <c r="B40" s="5">
        <v>95.81</v>
      </c>
    </row>
    <row r="41" spans="1:5" ht="12.75" customHeight="1">
      <c r="A41" s="5" t="s">
        <v>365</v>
      </c>
      <c r="B41" s="5">
        <v>97.86</v>
      </c>
    </row>
    <row r="42" spans="1:5" ht="12.75" customHeight="1">
      <c r="A42" s="5" t="s">
        <v>366</v>
      </c>
      <c r="B42" s="5">
        <v>100</v>
      </c>
    </row>
    <row r="43" spans="1:5" ht="12.75" customHeight="1">
      <c r="A43" s="5" t="s">
        <v>367</v>
      </c>
      <c r="B43" s="5">
        <v>102.18</v>
      </c>
    </row>
    <row r="44" spans="1:5" ht="12.75" customHeight="1">
      <c r="A44" s="5" t="s">
        <v>368</v>
      </c>
      <c r="B44" s="5">
        <v>104.36</v>
      </c>
    </row>
    <row r="45" spans="1:5" ht="12.75" customHeight="1">
      <c r="A45" s="5" t="s">
        <v>369</v>
      </c>
      <c r="B45" s="5">
        <v>107.78</v>
      </c>
    </row>
    <row r="46" spans="1:5" ht="12.75" customHeight="1">
      <c r="A46" s="5" t="s">
        <v>370</v>
      </c>
      <c r="B46" s="5">
        <v>108.09</v>
      </c>
    </row>
    <row r="47" spans="1:5" ht="12.75" customHeight="1">
      <c r="A47" s="5" t="s">
        <v>371</v>
      </c>
      <c r="B47" s="5">
        <v>109.84</v>
      </c>
    </row>
    <row r="48" spans="1:5" ht="12.75" customHeight="1">
      <c r="A48" s="5" t="s">
        <v>372</v>
      </c>
      <c r="B48" s="5">
        <v>112.83</v>
      </c>
    </row>
    <row r="49" spans="1:3" ht="12.75" customHeight="1">
      <c r="A49" s="5" t="s">
        <v>373</v>
      </c>
      <c r="B49" s="5">
        <v>115.64</v>
      </c>
    </row>
    <row r="50" spans="1:3" ht="12.75" customHeight="1">
      <c r="A50" s="5" t="s">
        <v>374</v>
      </c>
      <c r="B50" s="5">
        <v>117.2</v>
      </c>
      <c r="C50" s="182" t="s">
        <v>539</v>
      </c>
    </row>
    <row r="51" spans="1:3" ht="12.75" customHeight="1">
      <c r="A51" s="5" t="s">
        <v>375</v>
      </c>
      <c r="B51" s="5">
        <v>117.71</v>
      </c>
      <c r="C51" s="31">
        <v>100.01</v>
      </c>
    </row>
    <row r="52" spans="1:3" s="182" customFormat="1" ht="12.75" customHeight="1">
      <c r="A52" s="182" t="s">
        <v>536</v>
      </c>
      <c r="B52" s="31">
        <f>C52*$B$51/$C$51</f>
        <v>117.69823017698229</v>
      </c>
      <c r="C52" s="182">
        <v>100</v>
      </c>
    </row>
    <row r="53" spans="1:3" s="182" customFormat="1" ht="12.75" customHeight="1">
      <c r="A53" s="182" t="s">
        <v>537</v>
      </c>
      <c r="B53" s="31">
        <f>C53*$B$51/$C$51</f>
        <v>117.99247575242475</v>
      </c>
      <c r="C53" s="182">
        <v>100.25</v>
      </c>
    </row>
    <row r="54" spans="1:3" ht="12.75" customHeight="1">
      <c r="A54" s="182" t="s">
        <v>538</v>
      </c>
      <c r="B54" s="31">
        <f>C54*$B$51/$C$51</f>
        <v>120.01688531146884</v>
      </c>
      <c r="C54" s="182">
        <v>101.97</v>
      </c>
    </row>
    <row r="55" spans="1:3" ht="12.75" customHeight="1"/>
    <row r="56" spans="1:3" ht="12.75" customHeight="1">
      <c r="A56" s="5" t="s">
        <v>386</v>
      </c>
      <c r="B56" s="31">
        <f>B47/B52</f>
        <v>0.93323408376518568</v>
      </c>
      <c r="C56" s="5" t="s">
        <v>387</v>
      </c>
    </row>
    <row r="57" spans="1:3" ht="12.75" customHeight="1">
      <c r="A57" s="5" t="s">
        <v>387</v>
      </c>
      <c r="B57" s="31">
        <f>'[3]Unit conversion'!B6</f>
        <v>1.3242793099140862</v>
      </c>
      <c r="C57" s="5" t="s">
        <v>388</v>
      </c>
    </row>
    <row r="58" spans="1:3" ht="12.75" customHeight="1">
      <c r="A58" s="5" t="s">
        <v>386</v>
      </c>
      <c r="B58" s="31">
        <f>B56*B57</f>
        <v>1.2358625884368646</v>
      </c>
      <c r="C58" s="5" t="s">
        <v>388</v>
      </c>
    </row>
    <row r="59" spans="1:3" ht="12.75" customHeight="1">
      <c r="A59" s="5" t="s">
        <v>388</v>
      </c>
      <c r="B59" s="31">
        <f>1/B58</f>
        <v>0.80915144560271324</v>
      </c>
      <c r="C59" s="5" t="s">
        <v>386</v>
      </c>
    </row>
    <row r="60" spans="1:3">
      <c r="A60" s="5" t="s">
        <v>388</v>
      </c>
      <c r="B60" s="31">
        <f>N68/N75</f>
        <v>1.1241149062626115</v>
      </c>
      <c r="C60" s="5" t="s">
        <v>405</v>
      </c>
    </row>
    <row r="61" spans="1:3" s="182" customFormat="1">
      <c r="A61" s="182" t="s">
        <v>540</v>
      </c>
      <c r="B61" s="31">
        <f>B52/B54</f>
        <v>0.98068059233107785</v>
      </c>
      <c r="C61" s="182" t="s">
        <v>541</v>
      </c>
    </row>
    <row r="62" spans="1:3" s="182" customFormat="1">
      <c r="A62" s="182" t="s">
        <v>542</v>
      </c>
      <c r="B62" s="31">
        <f>B47/B54</f>
        <v>0.91520455405039303</v>
      </c>
      <c r="C62" s="182" t="s">
        <v>543</v>
      </c>
    </row>
    <row r="64" spans="1:3" ht="31">
      <c r="A64" s="176" t="s">
        <v>404</v>
      </c>
    </row>
    <row r="65" spans="1:14">
      <c r="A65" s="5" t="s">
        <v>390</v>
      </c>
    </row>
    <row r="66" spans="1:14" ht="14.5">
      <c r="A66" s="171" t="s">
        <v>384</v>
      </c>
      <c r="B66" s="171" t="s">
        <v>391</v>
      </c>
      <c r="C66" s="171" t="s">
        <v>392</v>
      </c>
      <c r="D66" s="171" t="s">
        <v>393</v>
      </c>
      <c r="E66" s="171" t="s">
        <v>394</v>
      </c>
      <c r="F66" s="171" t="s">
        <v>395</v>
      </c>
      <c r="G66" s="171" t="s">
        <v>396</v>
      </c>
      <c r="H66" s="171" t="s">
        <v>397</v>
      </c>
      <c r="I66" s="171" t="s">
        <v>398</v>
      </c>
      <c r="J66" s="171" t="s">
        <v>399</v>
      </c>
      <c r="K66" s="171" t="s">
        <v>400</v>
      </c>
      <c r="L66" s="171" t="s">
        <v>401</v>
      </c>
      <c r="M66" s="171" t="s">
        <v>402</v>
      </c>
      <c r="N66" s="171" t="s">
        <v>403</v>
      </c>
    </row>
    <row r="67" spans="1:14">
      <c r="A67" s="172">
        <v>2018</v>
      </c>
      <c r="B67" s="173">
        <v>247.86699999999999</v>
      </c>
      <c r="C67" s="173">
        <v>248.99100000000001</v>
      </c>
      <c r="D67" s="173"/>
      <c r="E67" s="173"/>
      <c r="F67" s="173"/>
      <c r="G67" s="173"/>
      <c r="H67" s="173"/>
      <c r="I67" s="173"/>
      <c r="J67" s="173"/>
      <c r="K67" s="173"/>
      <c r="L67" s="173"/>
      <c r="M67" s="173"/>
      <c r="N67" s="173"/>
    </row>
    <row r="68" spans="1:14">
      <c r="A68" s="174">
        <v>2017</v>
      </c>
      <c r="B68" s="175">
        <v>242.839</v>
      </c>
      <c r="C68" s="175">
        <v>243.60300000000001</v>
      </c>
      <c r="D68" s="175">
        <v>243.80099999999999</v>
      </c>
      <c r="E68" s="175">
        <v>244.524</v>
      </c>
      <c r="F68" s="175">
        <v>244.733</v>
      </c>
      <c r="G68" s="175">
        <v>244.95500000000001</v>
      </c>
      <c r="H68" s="175">
        <v>244.786</v>
      </c>
      <c r="I68" s="175">
        <v>245.51900000000001</v>
      </c>
      <c r="J68" s="175">
        <v>246.81899999999999</v>
      </c>
      <c r="K68" s="175">
        <v>246.66300000000001</v>
      </c>
      <c r="L68" s="175">
        <v>246.66900000000001</v>
      </c>
      <c r="M68" s="175">
        <v>246.524</v>
      </c>
      <c r="N68" s="175">
        <v>245.12</v>
      </c>
    </row>
    <row r="69" spans="1:14">
      <c r="A69" s="172">
        <v>2016</v>
      </c>
      <c r="B69" s="173">
        <v>236.916</v>
      </c>
      <c r="C69" s="173">
        <v>237.11099999999999</v>
      </c>
      <c r="D69" s="173">
        <v>238.13200000000001</v>
      </c>
      <c r="E69" s="173">
        <v>239.261</v>
      </c>
      <c r="F69" s="173">
        <v>240.22900000000001</v>
      </c>
      <c r="G69" s="173">
        <v>241.018</v>
      </c>
      <c r="H69" s="173">
        <v>240.62799999999999</v>
      </c>
      <c r="I69" s="173">
        <v>240.84899999999999</v>
      </c>
      <c r="J69" s="173">
        <v>241.428</v>
      </c>
      <c r="K69" s="173">
        <v>241.72900000000001</v>
      </c>
      <c r="L69" s="173">
        <v>241.35300000000001</v>
      </c>
      <c r="M69" s="173">
        <v>241.43199999999999</v>
      </c>
      <c r="N69" s="173">
        <v>240.00800000000001</v>
      </c>
    </row>
    <row r="70" spans="1:14">
      <c r="A70" s="174">
        <v>2015</v>
      </c>
      <c r="B70" s="175">
        <v>233.70699999999999</v>
      </c>
      <c r="C70" s="175">
        <v>234.72200000000001</v>
      </c>
      <c r="D70" s="175">
        <v>236.119</v>
      </c>
      <c r="E70" s="175">
        <v>236.59899999999999</v>
      </c>
      <c r="F70" s="175">
        <v>237.80500000000001</v>
      </c>
      <c r="G70" s="175">
        <v>238.63800000000001</v>
      </c>
      <c r="H70" s="175">
        <v>238.654</v>
      </c>
      <c r="I70" s="175">
        <v>238.316</v>
      </c>
      <c r="J70" s="175">
        <v>237.94499999999999</v>
      </c>
      <c r="K70" s="175">
        <v>237.83799999999999</v>
      </c>
      <c r="L70" s="175">
        <v>237.33600000000001</v>
      </c>
      <c r="M70" s="175">
        <v>236.52500000000001</v>
      </c>
      <c r="N70" s="175">
        <v>237.017</v>
      </c>
    </row>
    <row r="71" spans="1:14">
      <c r="A71" s="172">
        <v>2014</v>
      </c>
      <c r="B71" s="173">
        <v>233.916</v>
      </c>
      <c r="C71" s="173">
        <v>234.78100000000001</v>
      </c>
      <c r="D71" s="173">
        <v>236.29300000000001</v>
      </c>
      <c r="E71" s="173">
        <v>237.072</v>
      </c>
      <c r="F71" s="173">
        <v>237.9</v>
      </c>
      <c r="G71" s="173">
        <v>238.34299999999999</v>
      </c>
      <c r="H71" s="173">
        <v>238.25</v>
      </c>
      <c r="I71" s="173">
        <v>237.852</v>
      </c>
      <c r="J71" s="173">
        <v>238.03100000000001</v>
      </c>
      <c r="K71" s="173">
        <v>237.43299999999999</v>
      </c>
      <c r="L71" s="173">
        <v>236.15100000000001</v>
      </c>
      <c r="M71" s="173">
        <v>234.81200000000001</v>
      </c>
      <c r="N71" s="173">
        <v>236.73599999999999</v>
      </c>
    </row>
    <row r="72" spans="1:14">
      <c r="A72" s="174">
        <v>2013</v>
      </c>
      <c r="B72" s="175">
        <v>230.28</v>
      </c>
      <c r="C72" s="175">
        <v>232.166</v>
      </c>
      <c r="D72" s="175">
        <v>232.773</v>
      </c>
      <c r="E72" s="175">
        <v>232.53100000000001</v>
      </c>
      <c r="F72" s="175">
        <v>232.94499999999999</v>
      </c>
      <c r="G72" s="175">
        <v>233.50399999999999</v>
      </c>
      <c r="H72" s="175">
        <v>233.596</v>
      </c>
      <c r="I72" s="175">
        <v>233.87700000000001</v>
      </c>
      <c r="J72" s="175">
        <v>234.149</v>
      </c>
      <c r="K72" s="175">
        <v>233.54599999999999</v>
      </c>
      <c r="L72" s="175">
        <v>233.06899999999999</v>
      </c>
      <c r="M72" s="175">
        <v>233.04900000000001</v>
      </c>
      <c r="N72" s="175">
        <v>232.95699999999999</v>
      </c>
    </row>
    <row r="73" spans="1:14">
      <c r="A73" s="172">
        <v>2012</v>
      </c>
      <c r="B73" s="173">
        <v>226.66499999999999</v>
      </c>
      <c r="C73" s="173">
        <v>227.66300000000001</v>
      </c>
      <c r="D73" s="173">
        <v>229.392</v>
      </c>
      <c r="E73" s="173">
        <v>230.08500000000001</v>
      </c>
      <c r="F73" s="173">
        <v>229.815</v>
      </c>
      <c r="G73" s="173">
        <v>229.47800000000001</v>
      </c>
      <c r="H73" s="173">
        <v>229.10400000000001</v>
      </c>
      <c r="I73" s="173">
        <v>230.37899999999999</v>
      </c>
      <c r="J73" s="173">
        <v>231.40700000000001</v>
      </c>
      <c r="K73" s="173">
        <v>231.31700000000001</v>
      </c>
      <c r="L73" s="173">
        <v>230.221</v>
      </c>
      <c r="M73" s="173">
        <v>229.601</v>
      </c>
      <c r="N73" s="173">
        <v>229.59399999999999</v>
      </c>
    </row>
    <row r="74" spans="1:14">
      <c r="A74" s="174">
        <v>2011</v>
      </c>
      <c r="B74" s="175">
        <v>220.22300000000001</v>
      </c>
      <c r="C74" s="175">
        <v>221.309</v>
      </c>
      <c r="D74" s="175">
        <v>223.46700000000001</v>
      </c>
      <c r="E74" s="175">
        <v>224.90600000000001</v>
      </c>
      <c r="F74" s="175">
        <v>225.964</v>
      </c>
      <c r="G74" s="175">
        <v>225.72200000000001</v>
      </c>
      <c r="H74" s="175">
        <v>225.922</v>
      </c>
      <c r="I74" s="175">
        <v>226.54499999999999</v>
      </c>
      <c r="J74" s="175">
        <v>226.88900000000001</v>
      </c>
      <c r="K74" s="175">
        <v>226.42099999999999</v>
      </c>
      <c r="L74" s="175">
        <v>226.23</v>
      </c>
      <c r="M74" s="175">
        <v>225.672</v>
      </c>
      <c r="N74" s="175">
        <v>224.93899999999999</v>
      </c>
    </row>
    <row r="75" spans="1:14">
      <c r="A75" s="172">
        <v>2010</v>
      </c>
      <c r="B75" s="173">
        <v>216.68700000000001</v>
      </c>
      <c r="C75" s="173">
        <v>216.74100000000001</v>
      </c>
      <c r="D75" s="173">
        <v>217.631</v>
      </c>
      <c r="E75" s="173">
        <v>218.00899999999999</v>
      </c>
      <c r="F75" s="173">
        <v>218.178</v>
      </c>
      <c r="G75" s="173">
        <v>217.965</v>
      </c>
      <c r="H75" s="173">
        <v>218.011</v>
      </c>
      <c r="I75" s="173">
        <v>218.31200000000001</v>
      </c>
      <c r="J75" s="173">
        <v>218.43899999999999</v>
      </c>
      <c r="K75" s="173">
        <v>218.71100000000001</v>
      </c>
      <c r="L75" s="173">
        <v>218.803</v>
      </c>
      <c r="M75" s="173">
        <v>219.179</v>
      </c>
      <c r="N75" s="173">
        <v>218.05600000000001</v>
      </c>
    </row>
    <row r="76" spans="1:14">
      <c r="A76" s="174">
        <v>2009</v>
      </c>
      <c r="B76" s="175">
        <v>211.143</v>
      </c>
      <c r="C76" s="175">
        <v>212.19300000000001</v>
      </c>
      <c r="D76" s="175">
        <v>212.709</v>
      </c>
      <c r="E76" s="175">
        <v>213.24</v>
      </c>
      <c r="F76" s="175">
        <v>213.85599999999999</v>
      </c>
      <c r="G76" s="175">
        <v>215.69300000000001</v>
      </c>
      <c r="H76" s="175">
        <v>215.351</v>
      </c>
      <c r="I76" s="175">
        <v>215.834</v>
      </c>
      <c r="J76" s="175">
        <v>215.96899999999999</v>
      </c>
      <c r="K76" s="175">
        <v>216.17699999999999</v>
      </c>
      <c r="L76" s="175">
        <v>216.33</v>
      </c>
      <c r="M76" s="175">
        <v>215.94900000000001</v>
      </c>
      <c r="N76" s="175">
        <v>214.53700000000001</v>
      </c>
    </row>
    <row r="77" spans="1:14">
      <c r="A77" s="172">
        <v>2008</v>
      </c>
      <c r="B77" s="173">
        <v>211.08</v>
      </c>
      <c r="C77" s="173">
        <v>211.69300000000001</v>
      </c>
      <c r="D77" s="173">
        <v>213.52799999999999</v>
      </c>
      <c r="E77" s="173">
        <v>214.82300000000001</v>
      </c>
      <c r="F77" s="173">
        <v>216.63200000000001</v>
      </c>
      <c r="G77" s="173">
        <v>218.815</v>
      </c>
      <c r="H77" s="173">
        <v>219.964</v>
      </c>
      <c r="I77" s="173">
        <v>219.08600000000001</v>
      </c>
      <c r="J77" s="173">
        <v>218.78299999999999</v>
      </c>
      <c r="K77" s="173">
        <v>216.57300000000001</v>
      </c>
      <c r="L77" s="173">
        <v>212.42500000000001</v>
      </c>
      <c r="M77" s="173">
        <v>210.22800000000001</v>
      </c>
      <c r="N77" s="173">
        <v>215.303</v>
      </c>
    </row>
    <row r="78" spans="1:14">
      <c r="A78" s="174">
        <v>2007</v>
      </c>
      <c r="B78" s="175">
        <v>202.416</v>
      </c>
      <c r="C78" s="175">
        <v>203.499</v>
      </c>
      <c r="D78" s="175">
        <v>205.352</v>
      </c>
      <c r="E78" s="175">
        <v>206.68600000000001</v>
      </c>
      <c r="F78" s="175">
        <v>207.94900000000001</v>
      </c>
      <c r="G78" s="175">
        <v>208.352</v>
      </c>
      <c r="H78" s="175">
        <v>208.29900000000001</v>
      </c>
      <c r="I78" s="175">
        <v>207.917</v>
      </c>
      <c r="J78" s="175">
        <v>208.49</v>
      </c>
      <c r="K78" s="175">
        <v>208.93600000000001</v>
      </c>
      <c r="L78" s="175">
        <v>210.17699999999999</v>
      </c>
      <c r="M78" s="175">
        <v>210.036</v>
      </c>
      <c r="N78" s="175">
        <v>207.34200000000001</v>
      </c>
    </row>
    <row r="79" spans="1:14">
      <c r="A79" s="172">
        <v>2006</v>
      </c>
      <c r="B79" s="173">
        <v>198.3</v>
      </c>
      <c r="C79" s="173">
        <v>198.7</v>
      </c>
      <c r="D79" s="173">
        <v>199.8</v>
      </c>
      <c r="E79" s="173">
        <v>201.5</v>
      </c>
      <c r="F79" s="173">
        <v>202.5</v>
      </c>
      <c r="G79" s="173">
        <v>202.9</v>
      </c>
      <c r="H79" s="173">
        <v>203.5</v>
      </c>
      <c r="I79" s="173">
        <v>203.9</v>
      </c>
      <c r="J79" s="173">
        <v>202.9</v>
      </c>
      <c r="K79" s="173">
        <v>201.8</v>
      </c>
      <c r="L79" s="173">
        <v>201.5</v>
      </c>
      <c r="M79" s="173">
        <v>201.8</v>
      </c>
      <c r="N79" s="173">
        <v>201.6</v>
      </c>
    </row>
    <row r="80" spans="1:14">
      <c r="A80" s="174">
        <v>2005</v>
      </c>
      <c r="B80" s="175">
        <v>190.7</v>
      </c>
      <c r="C80" s="175">
        <v>191.8</v>
      </c>
      <c r="D80" s="175">
        <v>193.3</v>
      </c>
      <c r="E80" s="175">
        <v>194.6</v>
      </c>
      <c r="F80" s="175">
        <v>194.4</v>
      </c>
      <c r="G80" s="175">
        <v>194.5</v>
      </c>
      <c r="H80" s="175">
        <v>195.4</v>
      </c>
      <c r="I80" s="175">
        <v>196.4</v>
      </c>
      <c r="J80" s="175">
        <v>198.8</v>
      </c>
      <c r="K80" s="175">
        <v>199.2</v>
      </c>
      <c r="L80" s="175">
        <v>197.6</v>
      </c>
      <c r="M80" s="175">
        <v>196.8</v>
      </c>
      <c r="N80" s="175">
        <v>195.3</v>
      </c>
    </row>
    <row r="81" spans="1:14">
      <c r="A81" s="172">
        <v>2004</v>
      </c>
      <c r="B81" s="173">
        <v>185.2</v>
      </c>
      <c r="C81" s="173">
        <v>186.2</v>
      </c>
      <c r="D81" s="173">
        <v>187.4</v>
      </c>
      <c r="E81" s="173">
        <v>188</v>
      </c>
      <c r="F81" s="173">
        <v>189.1</v>
      </c>
      <c r="G81" s="173">
        <v>189.7</v>
      </c>
      <c r="H81" s="173">
        <v>189.4</v>
      </c>
      <c r="I81" s="173">
        <v>189.5</v>
      </c>
      <c r="J81" s="173">
        <v>189.9</v>
      </c>
      <c r="K81" s="173">
        <v>190.9</v>
      </c>
      <c r="L81" s="173">
        <v>191</v>
      </c>
      <c r="M81" s="173">
        <v>190.3</v>
      </c>
      <c r="N81" s="173">
        <v>188.9</v>
      </c>
    </row>
    <row r="82" spans="1:14">
      <c r="A82" s="174">
        <v>2003</v>
      </c>
      <c r="B82" s="175">
        <v>181.7</v>
      </c>
      <c r="C82" s="175">
        <v>183.1</v>
      </c>
      <c r="D82" s="175">
        <v>184.2</v>
      </c>
      <c r="E82" s="175">
        <v>183.8</v>
      </c>
      <c r="F82" s="175">
        <v>183.5</v>
      </c>
      <c r="G82" s="175">
        <v>183.7</v>
      </c>
      <c r="H82" s="175">
        <v>183.9</v>
      </c>
      <c r="I82" s="175">
        <v>184.6</v>
      </c>
      <c r="J82" s="175">
        <v>185.2</v>
      </c>
      <c r="K82" s="175">
        <v>185</v>
      </c>
      <c r="L82" s="175">
        <v>184.5</v>
      </c>
      <c r="M82" s="175">
        <v>184.3</v>
      </c>
      <c r="N82" s="175">
        <v>183.96</v>
      </c>
    </row>
    <row r="83" spans="1:14">
      <c r="A83" s="172">
        <v>2002</v>
      </c>
      <c r="B83" s="173">
        <v>177.1</v>
      </c>
      <c r="C83" s="173">
        <v>177.8</v>
      </c>
      <c r="D83" s="173">
        <v>178.8</v>
      </c>
      <c r="E83" s="173">
        <v>179.8</v>
      </c>
      <c r="F83" s="173">
        <v>179.8</v>
      </c>
      <c r="G83" s="173">
        <v>179.9</v>
      </c>
      <c r="H83" s="173">
        <v>180.1</v>
      </c>
      <c r="I83" s="173">
        <v>180.7</v>
      </c>
      <c r="J83" s="173">
        <v>181</v>
      </c>
      <c r="K83" s="173">
        <v>181.3</v>
      </c>
      <c r="L83" s="173">
        <v>181.3</v>
      </c>
      <c r="M83" s="173">
        <v>180.9</v>
      </c>
      <c r="N83" s="173">
        <v>179.88</v>
      </c>
    </row>
    <row r="84" spans="1:14">
      <c r="A84" s="174">
        <v>2001</v>
      </c>
      <c r="B84" s="175">
        <v>175.1</v>
      </c>
      <c r="C84" s="175">
        <v>175.8</v>
      </c>
      <c r="D84" s="175">
        <v>176.2</v>
      </c>
      <c r="E84" s="175">
        <v>176.9</v>
      </c>
      <c r="F84" s="175">
        <v>177.7</v>
      </c>
      <c r="G84" s="175">
        <v>178</v>
      </c>
      <c r="H84" s="175">
        <v>177.5</v>
      </c>
      <c r="I84" s="175">
        <v>177.5</v>
      </c>
      <c r="J84" s="175">
        <v>178.3</v>
      </c>
      <c r="K84" s="175">
        <v>177.7</v>
      </c>
      <c r="L84" s="175">
        <v>177.4</v>
      </c>
      <c r="M84" s="175">
        <v>176.7</v>
      </c>
      <c r="N84" s="175">
        <v>177.1</v>
      </c>
    </row>
    <row r="85" spans="1:14">
      <c r="A85" s="172">
        <v>2000</v>
      </c>
      <c r="B85" s="173">
        <v>168.8</v>
      </c>
      <c r="C85" s="173">
        <v>169.8</v>
      </c>
      <c r="D85" s="173">
        <v>171.2</v>
      </c>
      <c r="E85" s="173">
        <v>171.3</v>
      </c>
      <c r="F85" s="173">
        <v>171.5</v>
      </c>
      <c r="G85" s="173">
        <v>172.4</v>
      </c>
      <c r="H85" s="173">
        <v>172.8</v>
      </c>
      <c r="I85" s="173">
        <v>172.8</v>
      </c>
      <c r="J85" s="173">
        <v>173.7</v>
      </c>
      <c r="K85" s="173">
        <v>174</v>
      </c>
      <c r="L85" s="173">
        <v>174.1</v>
      </c>
      <c r="M85" s="173">
        <v>174</v>
      </c>
      <c r="N85" s="173">
        <v>172.2</v>
      </c>
    </row>
    <row r="86" spans="1:14">
      <c r="A86" s="174">
        <v>1999</v>
      </c>
      <c r="B86" s="175">
        <v>164.3</v>
      </c>
      <c r="C86" s="175">
        <v>164.5</v>
      </c>
      <c r="D86" s="175">
        <v>165</v>
      </c>
      <c r="E86" s="175">
        <v>166.2</v>
      </c>
      <c r="F86" s="175">
        <v>166.2</v>
      </c>
      <c r="G86" s="175">
        <v>166.2</v>
      </c>
      <c r="H86" s="175">
        <v>166.7</v>
      </c>
      <c r="I86" s="175">
        <v>167.1</v>
      </c>
      <c r="J86" s="175">
        <v>167.9</v>
      </c>
      <c r="K86" s="175">
        <v>168.2</v>
      </c>
      <c r="L86" s="175">
        <v>168.3</v>
      </c>
      <c r="M86" s="175">
        <v>168.3</v>
      </c>
      <c r="N86" s="175">
        <v>166.6</v>
      </c>
    </row>
    <row r="87" spans="1:14">
      <c r="A87" s="172">
        <v>1998</v>
      </c>
      <c r="B87" s="173">
        <v>161.6</v>
      </c>
      <c r="C87" s="173">
        <v>161.9</v>
      </c>
      <c r="D87" s="173">
        <v>162.19999999999999</v>
      </c>
      <c r="E87" s="173">
        <v>162.5</v>
      </c>
      <c r="F87" s="173">
        <v>162.80000000000001</v>
      </c>
      <c r="G87" s="173">
        <v>163</v>
      </c>
      <c r="H87" s="173">
        <v>163.19999999999999</v>
      </c>
      <c r="I87" s="173">
        <v>163.4</v>
      </c>
      <c r="J87" s="173">
        <v>163.6</v>
      </c>
      <c r="K87" s="173">
        <v>164</v>
      </c>
      <c r="L87" s="173">
        <v>164</v>
      </c>
      <c r="M87" s="173">
        <v>163.9</v>
      </c>
      <c r="N87" s="173">
        <v>163</v>
      </c>
    </row>
    <row r="88" spans="1:14">
      <c r="A88" s="174">
        <v>1997</v>
      </c>
      <c r="B88" s="175">
        <v>159.1</v>
      </c>
      <c r="C88" s="175">
        <v>159.6</v>
      </c>
      <c r="D88" s="175">
        <v>160</v>
      </c>
      <c r="E88" s="175">
        <v>160.19999999999999</v>
      </c>
      <c r="F88" s="175">
        <v>160.1</v>
      </c>
      <c r="G88" s="175">
        <v>160.30000000000001</v>
      </c>
      <c r="H88" s="175">
        <v>160.5</v>
      </c>
      <c r="I88" s="175">
        <v>160.80000000000001</v>
      </c>
      <c r="J88" s="175">
        <v>161.19999999999999</v>
      </c>
      <c r="K88" s="175">
        <v>161.6</v>
      </c>
      <c r="L88" s="175">
        <v>161.5</v>
      </c>
      <c r="M88" s="175">
        <v>161.30000000000001</v>
      </c>
      <c r="N88" s="175">
        <v>160.5</v>
      </c>
    </row>
    <row r="89" spans="1:14">
      <c r="A89" s="172">
        <v>1996</v>
      </c>
      <c r="B89" s="173">
        <v>154.4</v>
      </c>
      <c r="C89" s="173">
        <v>154.9</v>
      </c>
      <c r="D89" s="173">
        <v>155.69999999999999</v>
      </c>
      <c r="E89" s="173">
        <v>156.30000000000001</v>
      </c>
      <c r="F89" s="173">
        <v>156.6</v>
      </c>
      <c r="G89" s="173">
        <v>156.69999999999999</v>
      </c>
      <c r="H89" s="173">
        <v>157</v>
      </c>
      <c r="I89" s="173">
        <v>157.30000000000001</v>
      </c>
      <c r="J89" s="173">
        <v>157.80000000000001</v>
      </c>
      <c r="K89" s="173">
        <v>158.30000000000001</v>
      </c>
      <c r="L89" s="173">
        <v>158.6</v>
      </c>
      <c r="M89" s="173">
        <v>158.6</v>
      </c>
      <c r="N89" s="173">
        <v>156.9</v>
      </c>
    </row>
    <row r="90" spans="1:14">
      <c r="A90" s="174">
        <v>1995</v>
      </c>
      <c r="B90" s="175">
        <v>150.30000000000001</v>
      </c>
      <c r="C90" s="175">
        <v>150.9</v>
      </c>
      <c r="D90" s="175">
        <v>151.4</v>
      </c>
      <c r="E90" s="175">
        <v>151.9</v>
      </c>
      <c r="F90" s="175">
        <v>152.19999999999999</v>
      </c>
      <c r="G90" s="175">
        <v>152.5</v>
      </c>
      <c r="H90" s="175">
        <v>152.5</v>
      </c>
      <c r="I90" s="175">
        <v>152.9</v>
      </c>
      <c r="J90" s="175">
        <v>153.19999999999999</v>
      </c>
      <c r="K90" s="175">
        <v>153.69999999999999</v>
      </c>
      <c r="L90" s="175">
        <v>153.6</v>
      </c>
      <c r="M90" s="175">
        <v>153.5</v>
      </c>
      <c r="N90" s="175">
        <v>152.4</v>
      </c>
    </row>
    <row r="91" spans="1:14">
      <c r="A91" s="172">
        <v>1994</v>
      </c>
      <c r="B91" s="173">
        <v>146.19999999999999</v>
      </c>
      <c r="C91" s="173">
        <v>146.69999999999999</v>
      </c>
      <c r="D91" s="173">
        <v>147.19999999999999</v>
      </c>
      <c r="E91" s="173">
        <v>147.4</v>
      </c>
      <c r="F91" s="173">
        <v>147.5</v>
      </c>
      <c r="G91" s="173">
        <v>148</v>
      </c>
      <c r="H91" s="173">
        <v>148.4</v>
      </c>
      <c r="I91" s="173">
        <v>149</v>
      </c>
      <c r="J91" s="173">
        <v>149.4</v>
      </c>
      <c r="K91" s="173">
        <v>149.5</v>
      </c>
      <c r="L91" s="173">
        <v>149.69999999999999</v>
      </c>
      <c r="M91" s="173">
        <v>149.69999999999999</v>
      </c>
      <c r="N91" s="173">
        <v>148.19999999999999</v>
      </c>
    </row>
    <row r="92" spans="1:14">
      <c r="A92" s="174">
        <v>1993</v>
      </c>
      <c r="B92" s="175">
        <v>142.6</v>
      </c>
      <c r="C92" s="175">
        <v>143.1</v>
      </c>
      <c r="D92" s="175">
        <v>143.6</v>
      </c>
      <c r="E92" s="175">
        <v>144</v>
      </c>
      <c r="F92" s="175">
        <v>144.19999999999999</v>
      </c>
      <c r="G92" s="175">
        <v>144.4</v>
      </c>
      <c r="H92" s="175">
        <v>144.4</v>
      </c>
      <c r="I92" s="175">
        <v>144.80000000000001</v>
      </c>
      <c r="J92" s="175">
        <v>145.1</v>
      </c>
      <c r="K92" s="175">
        <v>145.69999999999999</v>
      </c>
      <c r="L92" s="175">
        <v>145.80000000000001</v>
      </c>
      <c r="M92" s="175">
        <v>145.80000000000001</v>
      </c>
      <c r="N92" s="175">
        <v>144.5</v>
      </c>
    </row>
    <row r="93" spans="1:14">
      <c r="A93" s="172">
        <v>1992</v>
      </c>
      <c r="B93" s="173">
        <v>138.1</v>
      </c>
      <c r="C93" s="173">
        <v>138.6</v>
      </c>
      <c r="D93" s="173">
        <v>139.30000000000001</v>
      </c>
      <c r="E93" s="173">
        <v>139.5</v>
      </c>
      <c r="F93" s="173">
        <v>139.69999999999999</v>
      </c>
      <c r="G93" s="173">
        <v>140.19999999999999</v>
      </c>
      <c r="H93" s="173">
        <v>140.5</v>
      </c>
      <c r="I93" s="173">
        <v>140.9</v>
      </c>
      <c r="J93" s="173">
        <v>141.30000000000001</v>
      </c>
      <c r="K93" s="173">
        <v>141.80000000000001</v>
      </c>
      <c r="L93" s="173">
        <v>142</v>
      </c>
      <c r="M93" s="173">
        <v>141.9</v>
      </c>
      <c r="N93" s="173">
        <v>140.30000000000001</v>
      </c>
    </row>
    <row r="94" spans="1:14">
      <c r="A94" s="174">
        <v>1991</v>
      </c>
      <c r="B94" s="175">
        <v>134.6</v>
      </c>
      <c r="C94" s="175">
        <v>134.80000000000001</v>
      </c>
      <c r="D94" s="175">
        <v>135</v>
      </c>
      <c r="E94" s="175">
        <v>135.19999999999999</v>
      </c>
      <c r="F94" s="175">
        <v>135.6</v>
      </c>
      <c r="G94" s="175">
        <v>136</v>
      </c>
      <c r="H94" s="175">
        <v>136.19999999999999</v>
      </c>
      <c r="I94" s="175">
        <v>136.6</v>
      </c>
      <c r="J94" s="175">
        <v>137.19999999999999</v>
      </c>
      <c r="K94" s="175">
        <v>137.4</v>
      </c>
      <c r="L94" s="175">
        <v>137.80000000000001</v>
      </c>
      <c r="M94" s="175">
        <v>137.9</v>
      </c>
      <c r="N94" s="175">
        <v>136.19999999999999</v>
      </c>
    </row>
    <row r="95" spans="1:14">
      <c r="A95" s="172">
        <v>1990</v>
      </c>
      <c r="B95" s="173">
        <v>127.4</v>
      </c>
      <c r="C95" s="173">
        <v>128</v>
      </c>
      <c r="D95" s="173">
        <v>128.69999999999999</v>
      </c>
      <c r="E95" s="173">
        <v>128.9</v>
      </c>
      <c r="F95" s="173">
        <v>129.19999999999999</v>
      </c>
      <c r="G95" s="173">
        <v>129.9</v>
      </c>
      <c r="H95" s="173">
        <v>130.4</v>
      </c>
      <c r="I95" s="173">
        <v>131.6</v>
      </c>
      <c r="J95" s="173">
        <v>132.69999999999999</v>
      </c>
      <c r="K95" s="173">
        <v>133.5</v>
      </c>
      <c r="L95" s="173">
        <v>133.80000000000001</v>
      </c>
      <c r="M95" s="173">
        <v>133.80000000000001</v>
      </c>
      <c r="N95" s="173">
        <v>130.69999999999999</v>
      </c>
    </row>
    <row r="96" spans="1:14">
      <c r="A96" s="174">
        <v>1989</v>
      </c>
      <c r="B96" s="175">
        <v>121.1</v>
      </c>
      <c r="C96" s="175">
        <v>121.6</v>
      </c>
      <c r="D96" s="175">
        <v>122.3</v>
      </c>
      <c r="E96" s="175">
        <v>123.1</v>
      </c>
      <c r="F96" s="175">
        <v>123.8</v>
      </c>
      <c r="G96" s="175">
        <v>124.1</v>
      </c>
      <c r="H96" s="175">
        <v>124.4</v>
      </c>
      <c r="I96" s="175">
        <v>124.6</v>
      </c>
      <c r="J96" s="175">
        <v>125</v>
      </c>
      <c r="K96" s="175">
        <v>125.6</v>
      </c>
      <c r="L96" s="175">
        <v>125.9</v>
      </c>
      <c r="M96" s="175">
        <v>126.1</v>
      </c>
      <c r="N96" s="175">
        <v>124</v>
      </c>
    </row>
    <row r="97" spans="1:14">
      <c r="A97" s="172">
        <v>1988</v>
      </c>
      <c r="B97" s="173">
        <v>115.7</v>
      </c>
      <c r="C97" s="173">
        <v>116</v>
      </c>
      <c r="D97" s="173">
        <v>116.5</v>
      </c>
      <c r="E97" s="173">
        <v>117.1</v>
      </c>
      <c r="F97" s="173">
        <v>117.5</v>
      </c>
      <c r="G97" s="173">
        <v>118</v>
      </c>
      <c r="H97" s="173">
        <v>118.5</v>
      </c>
      <c r="I97" s="173">
        <v>119</v>
      </c>
      <c r="J97" s="173">
        <v>119.8</v>
      </c>
      <c r="K97" s="173">
        <v>120.2</v>
      </c>
      <c r="L97" s="173">
        <v>120.3</v>
      </c>
      <c r="M97" s="173">
        <v>120.5</v>
      </c>
      <c r="N97" s="173">
        <v>118.3</v>
      </c>
    </row>
    <row r="98" spans="1:14">
      <c r="A98" s="174">
        <v>1987</v>
      </c>
      <c r="B98" s="175">
        <v>111.2</v>
      </c>
      <c r="C98" s="175">
        <v>111.6</v>
      </c>
      <c r="D98" s="175">
        <v>112.1</v>
      </c>
      <c r="E98" s="175">
        <v>112.7</v>
      </c>
      <c r="F98" s="175">
        <v>113.1</v>
      </c>
      <c r="G98" s="175">
        <v>113.5</v>
      </c>
      <c r="H98" s="175">
        <v>113.8</v>
      </c>
      <c r="I98" s="175">
        <v>114.4</v>
      </c>
      <c r="J98" s="175">
        <v>115</v>
      </c>
      <c r="K98" s="175">
        <v>115.3</v>
      </c>
      <c r="L98" s="175">
        <v>115.4</v>
      </c>
      <c r="M98" s="175">
        <v>115.4</v>
      </c>
      <c r="N98" s="175">
        <v>113.6</v>
      </c>
    </row>
    <row r="99" spans="1:14">
      <c r="A99" s="172">
        <v>1986</v>
      </c>
      <c r="B99" s="173">
        <v>109.6</v>
      </c>
      <c r="C99" s="173">
        <v>109.3</v>
      </c>
      <c r="D99" s="173">
        <v>108.8</v>
      </c>
      <c r="E99" s="173">
        <v>108.6</v>
      </c>
      <c r="F99" s="173">
        <v>108.9</v>
      </c>
      <c r="G99" s="173">
        <v>109.5</v>
      </c>
      <c r="H99" s="173">
        <v>109.5</v>
      </c>
      <c r="I99" s="173">
        <v>109.7</v>
      </c>
      <c r="J99" s="173">
        <v>110.2</v>
      </c>
      <c r="K99" s="173">
        <v>110.3</v>
      </c>
      <c r="L99" s="173">
        <v>110.4</v>
      </c>
      <c r="M99" s="173">
        <v>110.5</v>
      </c>
      <c r="N99" s="173">
        <v>109.6</v>
      </c>
    </row>
    <row r="100" spans="1:14">
      <c r="A100" s="174">
        <v>1985</v>
      </c>
      <c r="B100" s="175">
        <v>105.5</v>
      </c>
      <c r="C100" s="175">
        <v>106</v>
      </c>
      <c r="D100" s="175">
        <v>106.4</v>
      </c>
      <c r="E100" s="175">
        <v>106.9</v>
      </c>
      <c r="F100" s="175">
        <v>107.3</v>
      </c>
      <c r="G100" s="175">
        <v>107.6</v>
      </c>
      <c r="H100" s="175">
        <v>107.8</v>
      </c>
      <c r="I100" s="175">
        <v>108</v>
      </c>
      <c r="J100" s="175">
        <v>108.3</v>
      </c>
      <c r="K100" s="175">
        <v>108.7</v>
      </c>
      <c r="L100" s="175">
        <v>109</v>
      </c>
      <c r="M100" s="175">
        <v>109.3</v>
      </c>
      <c r="N100" s="175">
        <v>107.6</v>
      </c>
    </row>
    <row r="101" spans="1:14">
      <c r="A101" s="172">
        <v>1984</v>
      </c>
      <c r="B101" s="173">
        <v>101.9</v>
      </c>
      <c r="C101" s="173">
        <v>102.4</v>
      </c>
      <c r="D101" s="173">
        <v>102.6</v>
      </c>
      <c r="E101" s="173">
        <v>103.1</v>
      </c>
      <c r="F101" s="173">
        <v>103.4</v>
      </c>
      <c r="G101" s="173">
        <v>103.7</v>
      </c>
      <c r="H101" s="173">
        <v>104.1</v>
      </c>
      <c r="I101" s="173">
        <v>104.5</v>
      </c>
      <c r="J101" s="173">
        <v>105</v>
      </c>
      <c r="K101" s="173">
        <v>105.3</v>
      </c>
      <c r="L101" s="173">
        <v>105.3</v>
      </c>
      <c r="M101" s="173">
        <v>105.3</v>
      </c>
      <c r="N101" s="173">
        <v>103.9</v>
      </c>
    </row>
    <row r="102" spans="1:14">
      <c r="A102" s="174">
        <v>1983</v>
      </c>
      <c r="B102" s="175">
        <v>97.8</v>
      </c>
      <c r="C102" s="175">
        <v>97.9</v>
      </c>
      <c r="D102" s="175">
        <v>97.9</v>
      </c>
      <c r="E102" s="175">
        <v>98.6</v>
      </c>
      <c r="F102" s="175">
        <v>99.2</v>
      </c>
      <c r="G102" s="175">
        <v>99.5</v>
      </c>
      <c r="H102" s="175">
        <v>99.9</v>
      </c>
      <c r="I102" s="175">
        <v>100.2</v>
      </c>
      <c r="J102" s="175">
        <v>100.7</v>
      </c>
      <c r="K102" s="175">
        <v>101</v>
      </c>
      <c r="L102" s="175">
        <v>101.2</v>
      </c>
      <c r="M102" s="175">
        <v>101.3</v>
      </c>
      <c r="N102" s="175">
        <v>99.6</v>
      </c>
    </row>
    <row r="103" spans="1:14">
      <c r="A103" s="172">
        <v>1982</v>
      </c>
      <c r="B103" s="173">
        <v>94.3</v>
      </c>
      <c r="C103" s="173">
        <v>94.6</v>
      </c>
      <c r="D103" s="173">
        <v>94.5</v>
      </c>
      <c r="E103" s="173">
        <v>94.9</v>
      </c>
      <c r="F103" s="173">
        <v>95.8</v>
      </c>
      <c r="G103" s="173">
        <v>97</v>
      </c>
      <c r="H103" s="173">
        <v>97.5</v>
      </c>
      <c r="I103" s="173">
        <v>97.7</v>
      </c>
      <c r="J103" s="173">
        <v>97.9</v>
      </c>
      <c r="K103" s="173">
        <v>98.2</v>
      </c>
      <c r="L103" s="173">
        <v>98</v>
      </c>
      <c r="M103" s="173">
        <v>97.6</v>
      </c>
      <c r="N103" s="173">
        <v>96.5</v>
      </c>
    </row>
    <row r="104" spans="1:14">
      <c r="A104" s="174">
        <v>1981</v>
      </c>
      <c r="B104" s="175">
        <v>87</v>
      </c>
      <c r="C104" s="175">
        <v>87.9</v>
      </c>
      <c r="D104" s="175">
        <v>88.5</v>
      </c>
      <c r="E104" s="175">
        <v>89.1</v>
      </c>
      <c r="F104" s="175">
        <v>89.8</v>
      </c>
      <c r="G104" s="175">
        <v>90.6</v>
      </c>
      <c r="H104" s="175">
        <v>91.6</v>
      </c>
      <c r="I104" s="175">
        <v>92.3</v>
      </c>
      <c r="J104" s="175">
        <v>93.2</v>
      </c>
      <c r="K104" s="175">
        <v>93.4</v>
      </c>
      <c r="L104" s="175">
        <v>93.7</v>
      </c>
      <c r="M104" s="175">
        <v>94</v>
      </c>
      <c r="N104" s="175">
        <v>90.9</v>
      </c>
    </row>
    <row r="105" spans="1:14">
      <c r="A105" s="172">
        <v>1980</v>
      </c>
      <c r="B105" s="173">
        <v>77.8</v>
      </c>
      <c r="C105" s="173">
        <v>78.900000000000006</v>
      </c>
      <c r="D105" s="173">
        <v>80.099999999999994</v>
      </c>
      <c r="E105" s="173">
        <v>81</v>
      </c>
      <c r="F105" s="173">
        <v>81.8</v>
      </c>
      <c r="G105" s="173">
        <v>82.7</v>
      </c>
      <c r="H105" s="173">
        <v>82.7</v>
      </c>
      <c r="I105" s="173">
        <v>83.3</v>
      </c>
      <c r="J105" s="173">
        <v>84</v>
      </c>
      <c r="K105" s="173">
        <v>84.8</v>
      </c>
      <c r="L105" s="173">
        <v>85.5</v>
      </c>
      <c r="M105" s="173">
        <v>86.3</v>
      </c>
      <c r="N105" s="173">
        <v>82.4</v>
      </c>
    </row>
    <row r="106" spans="1:14">
      <c r="A106" s="174">
        <v>1979</v>
      </c>
      <c r="B106" s="175">
        <v>68.3</v>
      </c>
      <c r="C106" s="175">
        <v>69.099999999999994</v>
      </c>
      <c r="D106" s="175">
        <v>69.8</v>
      </c>
      <c r="E106" s="175">
        <v>70.599999999999994</v>
      </c>
      <c r="F106" s="175">
        <v>71.5</v>
      </c>
      <c r="G106" s="175">
        <v>72.3</v>
      </c>
      <c r="H106" s="175">
        <v>73.099999999999994</v>
      </c>
      <c r="I106" s="175">
        <v>73.8</v>
      </c>
      <c r="J106" s="175">
        <v>74.599999999999994</v>
      </c>
      <c r="K106" s="175">
        <v>75.2</v>
      </c>
      <c r="L106" s="175">
        <v>75.900000000000006</v>
      </c>
      <c r="M106" s="175">
        <v>76.7</v>
      </c>
      <c r="N106" s="175">
        <v>72.599999999999994</v>
      </c>
    </row>
    <row r="107" spans="1:14">
      <c r="A107" s="172">
        <v>1978</v>
      </c>
      <c r="B107" s="173">
        <v>62.5</v>
      </c>
      <c r="C107" s="173">
        <v>62.9</v>
      </c>
      <c r="D107" s="173">
        <v>63.4</v>
      </c>
      <c r="E107" s="173">
        <v>63.9</v>
      </c>
      <c r="F107" s="173">
        <v>64.5</v>
      </c>
      <c r="G107" s="173">
        <v>65.2</v>
      </c>
      <c r="H107" s="173">
        <v>65.7</v>
      </c>
      <c r="I107" s="173">
        <v>66</v>
      </c>
      <c r="J107" s="173">
        <v>66.5</v>
      </c>
      <c r="K107" s="173">
        <v>67.099999999999994</v>
      </c>
      <c r="L107" s="173">
        <v>67.400000000000006</v>
      </c>
      <c r="M107" s="173">
        <v>67.7</v>
      </c>
      <c r="N107" s="173">
        <v>65.2</v>
      </c>
    </row>
    <row r="108" spans="1:14">
      <c r="A108" s="174">
        <v>1977</v>
      </c>
      <c r="B108" s="175">
        <v>58.5</v>
      </c>
      <c r="C108" s="175">
        <v>59.1</v>
      </c>
      <c r="D108" s="175">
        <v>59.5</v>
      </c>
      <c r="E108" s="175">
        <v>60</v>
      </c>
      <c r="F108" s="175">
        <v>60.3</v>
      </c>
      <c r="G108" s="175">
        <v>60.7</v>
      </c>
      <c r="H108" s="175">
        <v>61</v>
      </c>
      <c r="I108" s="175">
        <v>61.2</v>
      </c>
      <c r="J108" s="175">
        <v>61.4</v>
      </c>
      <c r="K108" s="175">
        <v>61.6</v>
      </c>
      <c r="L108" s="175">
        <v>61.9</v>
      </c>
      <c r="M108" s="175">
        <v>62.1</v>
      </c>
      <c r="N108" s="175">
        <v>60.6</v>
      </c>
    </row>
    <row r="109" spans="1:14">
      <c r="A109" s="172">
        <v>1976</v>
      </c>
      <c r="B109" s="173">
        <v>55.6</v>
      </c>
      <c r="C109" s="173">
        <v>55.8</v>
      </c>
      <c r="D109" s="173">
        <v>55.9</v>
      </c>
      <c r="E109" s="173">
        <v>56.1</v>
      </c>
      <c r="F109" s="173">
        <v>56.5</v>
      </c>
      <c r="G109" s="173">
        <v>56.8</v>
      </c>
      <c r="H109" s="173">
        <v>57.1</v>
      </c>
      <c r="I109" s="173">
        <v>57.4</v>
      </c>
      <c r="J109" s="173">
        <v>57.6</v>
      </c>
      <c r="K109" s="173">
        <v>57.9</v>
      </c>
      <c r="L109" s="173">
        <v>58</v>
      </c>
      <c r="M109" s="173">
        <v>58.2</v>
      </c>
      <c r="N109" s="173">
        <v>56.9</v>
      </c>
    </row>
    <row r="110" spans="1:14">
      <c r="A110" s="174">
        <v>1975</v>
      </c>
      <c r="B110" s="175">
        <v>52.1</v>
      </c>
      <c r="C110" s="175">
        <v>52.5</v>
      </c>
      <c r="D110" s="175">
        <v>52.7</v>
      </c>
      <c r="E110" s="175">
        <v>52.9</v>
      </c>
      <c r="F110" s="175">
        <v>53.2</v>
      </c>
      <c r="G110" s="175">
        <v>53.6</v>
      </c>
      <c r="H110" s="175">
        <v>54.2</v>
      </c>
      <c r="I110" s="175">
        <v>54.3</v>
      </c>
      <c r="J110" s="175">
        <v>54.6</v>
      </c>
      <c r="K110" s="175">
        <v>54.9</v>
      </c>
      <c r="L110" s="175">
        <v>55.3</v>
      </c>
      <c r="M110" s="175">
        <v>55.5</v>
      </c>
      <c r="N110" s="175">
        <v>53.8</v>
      </c>
    </row>
    <row r="111" spans="1:14">
      <c r="A111" s="172">
        <v>1974</v>
      </c>
      <c r="B111" s="173">
        <v>46.6</v>
      </c>
      <c r="C111" s="173">
        <v>47.2</v>
      </c>
      <c r="D111" s="173">
        <v>47.8</v>
      </c>
      <c r="E111" s="173">
        <v>48</v>
      </c>
      <c r="F111" s="173">
        <v>48.6</v>
      </c>
      <c r="G111" s="173">
        <v>49</v>
      </c>
      <c r="H111" s="173">
        <v>49.4</v>
      </c>
      <c r="I111" s="173">
        <v>50</v>
      </c>
      <c r="J111" s="173">
        <v>50.6</v>
      </c>
      <c r="K111" s="173">
        <v>51.1</v>
      </c>
      <c r="L111" s="173">
        <v>51.5</v>
      </c>
      <c r="M111" s="173">
        <v>51.9</v>
      </c>
      <c r="N111" s="173">
        <v>49.3</v>
      </c>
    </row>
    <row r="112" spans="1:14">
      <c r="A112" s="174">
        <v>1973</v>
      </c>
      <c r="B112" s="175">
        <v>42.6</v>
      </c>
      <c r="C112" s="175">
        <v>42.9</v>
      </c>
      <c r="D112" s="175">
        <v>43.3</v>
      </c>
      <c r="E112" s="175">
        <v>43.6</v>
      </c>
      <c r="F112" s="175">
        <v>43.9</v>
      </c>
      <c r="G112" s="175">
        <v>44.2</v>
      </c>
      <c r="H112" s="175">
        <v>44.3</v>
      </c>
      <c r="I112" s="175">
        <v>45.1</v>
      </c>
      <c r="J112" s="175">
        <v>45.2</v>
      </c>
      <c r="K112" s="175">
        <v>45.6</v>
      </c>
      <c r="L112" s="175">
        <v>45.9</v>
      </c>
      <c r="M112" s="175">
        <v>46.2</v>
      </c>
      <c r="N112" s="175">
        <v>44.4</v>
      </c>
    </row>
    <row r="113" spans="1:14">
      <c r="A113" s="172">
        <v>1972</v>
      </c>
      <c r="B113" s="173">
        <v>41.1</v>
      </c>
      <c r="C113" s="173">
        <v>41.3</v>
      </c>
      <c r="D113" s="173">
        <v>41.4</v>
      </c>
      <c r="E113" s="173">
        <v>41.5</v>
      </c>
      <c r="F113" s="173">
        <v>41.6</v>
      </c>
      <c r="G113" s="173">
        <v>41.7</v>
      </c>
      <c r="H113" s="173">
        <v>41.9</v>
      </c>
      <c r="I113" s="173">
        <v>42</v>
      </c>
      <c r="J113" s="173">
        <v>42.1</v>
      </c>
      <c r="K113" s="173">
        <v>42.3</v>
      </c>
      <c r="L113" s="173">
        <v>42.4</v>
      </c>
      <c r="M113" s="173">
        <v>42.5</v>
      </c>
      <c r="N113" s="173">
        <v>41.8</v>
      </c>
    </row>
    <row r="114" spans="1:14">
      <c r="A114" s="174">
        <v>1971</v>
      </c>
      <c r="B114" s="175">
        <v>39.799999999999997</v>
      </c>
      <c r="C114" s="175">
        <v>39.9</v>
      </c>
      <c r="D114" s="175">
        <v>40</v>
      </c>
      <c r="E114" s="175">
        <v>40.1</v>
      </c>
      <c r="F114" s="175">
        <v>40.299999999999997</v>
      </c>
      <c r="G114" s="175">
        <v>40.6</v>
      </c>
      <c r="H114" s="175">
        <v>40.700000000000003</v>
      </c>
      <c r="I114" s="175">
        <v>40.799999999999997</v>
      </c>
      <c r="J114" s="175">
        <v>40.799999999999997</v>
      </c>
      <c r="K114" s="175">
        <v>40.9</v>
      </c>
      <c r="L114" s="175">
        <v>40.9</v>
      </c>
      <c r="M114" s="175">
        <v>41.1</v>
      </c>
      <c r="N114" s="175">
        <v>40.5</v>
      </c>
    </row>
    <row r="115" spans="1:14">
      <c r="A115" s="172">
        <v>1970</v>
      </c>
      <c r="B115" s="173">
        <v>37.799999999999997</v>
      </c>
      <c r="C115" s="173">
        <v>38</v>
      </c>
      <c r="D115" s="173">
        <v>38.200000000000003</v>
      </c>
      <c r="E115" s="173">
        <v>38.5</v>
      </c>
      <c r="F115" s="173">
        <v>38.6</v>
      </c>
      <c r="G115" s="173">
        <v>38.799999999999997</v>
      </c>
      <c r="H115" s="173">
        <v>39</v>
      </c>
      <c r="I115" s="173">
        <v>39</v>
      </c>
      <c r="J115" s="173">
        <v>39.200000000000003</v>
      </c>
      <c r="K115" s="173">
        <v>39.4</v>
      </c>
      <c r="L115" s="173">
        <v>39.6</v>
      </c>
      <c r="M115" s="173">
        <v>39.799999999999997</v>
      </c>
      <c r="N115" s="173">
        <v>38.799999999999997</v>
      </c>
    </row>
    <row r="116" spans="1:14">
      <c r="A116" s="174">
        <v>1969</v>
      </c>
      <c r="B116" s="175">
        <v>35.6</v>
      </c>
      <c r="C116" s="175">
        <v>35.799999999999997</v>
      </c>
      <c r="D116" s="175">
        <v>36.1</v>
      </c>
      <c r="E116" s="175">
        <v>36.299999999999997</v>
      </c>
      <c r="F116" s="175">
        <v>36.4</v>
      </c>
      <c r="G116" s="175">
        <v>36.6</v>
      </c>
      <c r="H116" s="175">
        <v>36.799999999999997</v>
      </c>
      <c r="I116" s="175">
        <v>37</v>
      </c>
      <c r="J116" s="175">
        <v>37.1</v>
      </c>
      <c r="K116" s="175">
        <v>37.299999999999997</v>
      </c>
      <c r="L116" s="175">
        <v>37.5</v>
      </c>
      <c r="M116" s="175">
        <v>37.700000000000003</v>
      </c>
      <c r="N116" s="175">
        <v>36.700000000000003</v>
      </c>
    </row>
    <row r="117" spans="1:14">
      <c r="A117" s="172">
        <v>1968</v>
      </c>
      <c r="B117" s="173">
        <v>34.1</v>
      </c>
      <c r="C117" s="173">
        <v>34.200000000000003</v>
      </c>
      <c r="D117" s="173">
        <v>34.299999999999997</v>
      </c>
      <c r="E117" s="173">
        <v>34.4</v>
      </c>
      <c r="F117" s="173">
        <v>34.5</v>
      </c>
      <c r="G117" s="173">
        <v>34.700000000000003</v>
      </c>
      <c r="H117" s="173">
        <v>34.9</v>
      </c>
      <c r="I117" s="173">
        <v>35</v>
      </c>
      <c r="J117" s="173">
        <v>35.1</v>
      </c>
      <c r="K117" s="173">
        <v>35.299999999999997</v>
      </c>
      <c r="L117" s="173">
        <v>35.4</v>
      </c>
      <c r="M117" s="173">
        <v>35.5</v>
      </c>
      <c r="N117" s="173">
        <v>34.799999999999997</v>
      </c>
    </row>
    <row r="118" spans="1:14">
      <c r="A118" s="174">
        <v>1967</v>
      </c>
      <c r="B118" s="175">
        <v>32.9</v>
      </c>
      <c r="C118" s="175">
        <v>32.9</v>
      </c>
      <c r="D118" s="175">
        <v>33</v>
      </c>
      <c r="E118" s="175">
        <v>33.1</v>
      </c>
      <c r="F118" s="175">
        <v>33.200000000000003</v>
      </c>
      <c r="G118" s="175">
        <v>33.299999999999997</v>
      </c>
      <c r="H118" s="175">
        <v>33.4</v>
      </c>
      <c r="I118" s="175">
        <v>33.5</v>
      </c>
      <c r="J118" s="175">
        <v>33.6</v>
      </c>
      <c r="K118" s="175">
        <v>33.700000000000003</v>
      </c>
      <c r="L118" s="175">
        <v>33.799999999999997</v>
      </c>
      <c r="M118" s="175">
        <v>33.9</v>
      </c>
      <c r="N118" s="175">
        <v>33.4</v>
      </c>
    </row>
    <row r="119" spans="1:14">
      <c r="A119" s="172">
        <v>1966</v>
      </c>
      <c r="B119" s="173">
        <v>31.8</v>
      </c>
      <c r="C119" s="173">
        <v>32</v>
      </c>
      <c r="D119" s="173">
        <v>32.1</v>
      </c>
      <c r="E119" s="173">
        <v>32.299999999999997</v>
      </c>
      <c r="F119" s="173">
        <v>32.299999999999997</v>
      </c>
      <c r="G119" s="173">
        <v>32.4</v>
      </c>
      <c r="H119" s="173">
        <v>32.5</v>
      </c>
      <c r="I119" s="173">
        <v>32.700000000000003</v>
      </c>
      <c r="J119" s="173">
        <v>32.700000000000003</v>
      </c>
      <c r="K119" s="173">
        <v>32.9</v>
      </c>
      <c r="L119" s="173">
        <v>32.9</v>
      </c>
      <c r="M119" s="173">
        <v>32.9</v>
      </c>
      <c r="N119" s="173">
        <v>32.4</v>
      </c>
    </row>
    <row r="120" spans="1:14">
      <c r="A120" s="174">
        <v>1965</v>
      </c>
      <c r="B120" s="175">
        <v>31.2</v>
      </c>
      <c r="C120" s="175">
        <v>31.2</v>
      </c>
      <c r="D120" s="175">
        <v>31.3</v>
      </c>
      <c r="E120" s="175">
        <v>31.4</v>
      </c>
      <c r="F120" s="175">
        <v>31.4</v>
      </c>
      <c r="G120" s="175">
        <v>31.6</v>
      </c>
      <c r="H120" s="175">
        <v>31.6</v>
      </c>
      <c r="I120" s="175">
        <v>31.6</v>
      </c>
      <c r="J120" s="175">
        <v>31.6</v>
      </c>
      <c r="K120" s="175">
        <v>31.7</v>
      </c>
      <c r="L120" s="175">
        <v>31.7</v>
      </c>
      <c r="M120" s="175">
        <v>31.8</v>
      </c>
      <c r="N120" s="175">
        <v>31.5</v>
      </c>
    </row>
    <row r="121" spans="1:14">
      <c r="A121" s="172">
        <v>1964</v>
      </c>
      <c r="B121" s="173">
        <v>30.9</v>
      </c>
      <c r="C121" s="173">
        <v>30.9</v>
      </c>
      <c r="D121" s="173">
        <v>30.9</v>
      </c>
      <c r="E121" s="173">
        <v>30.9</v>
      </c>
      <c r="F121" s="173">
        <v>30.9</v>
      </c>
      <c r="G121" s="173">
        <v>31</v>
      </c>
      <c r="H121" s="173">
        <v>31.1</v>
      </c>
      <c r="I121" s="173">
        <v>31</v>
      </c>
      <c r="J121" s="173">
        <v>31.1</v>
      </c>
      <c r="K121" s="173">
        <v>31.1</v>
      </c>
      <c r="L121" s="173">
        <v>31.2</v>
      </c>
      <c r="M121" s="173">
        <v>31.2</v>
      </c>
      <c r="N121" s="173">
        <v>31</v>
      </c>
    </row>
    <row r="122" spans="1:14">
      <c r="A122" s="174">
        <v>1963</v>
      </c>
      <c r="B122" s="175">
        <v>30.4</v>
      </c>
      <c r="C122" s="175">
        <v>30.4</v>
      </c>
      <c r="D122" s="175">
        <v>30.5</v>
      </c>
      <c r="E122" s="175">
        <v>30.5</v>
      </c>
      <c r="F122" s="175">
        <v>30.5</v>
      </c>
      <c r="G122" s="175">
        <v>30.6</v>
      </c>
      <c r="H122" s="175">
        <v>30.7</v>
      </c>
      <c r="I122" s="175">
        <v>30.7</v>
      </c>
      <c r="J122" s="175">
        <v>30.7</v>
      </c>
      <c r="K122" s="175">
        <v>30.8</v>
      </c>
      <c r="L122" s="175">
        <v>30.8</v>
      </c>
      <c r="M122" s="175">
        <v>30.9</v>
      </c>
      <c r="N122" s="175">
        <v>30.6</v>
      </c>
    </row>
    <row r="123" spans="1:14">
      <c r="A123" s="172">
        <v>1962</v>
      </c>
      <c r="B123" s="173">
        <v>30</v>
      </c>
      <c r="C123" s="173">
        <v>30.1</v>
      </c>
      <c r="D123" s="173">
        <v>30.1</v>
      </c>
      <c r="E123" s="173">
        <v>30.2</v>
      </c>
      <c r="F123" s="173">
        <v>30.2</v>
      </c>
      <c r="G123" s="173">
        <v>30.2</v>
      </c>
      <c r="H123" s="173">
        <v>30.3</v>
      </c>
      <c r="I123" s="173">
        <v>30.3</v>
      </c>
      <c r="J123" s="173">
        <v>30.4</v>
      </c>
      <c r="K123" s="173">
        <v>30.4</v>
      </c>
      <c r="L123" s="173">
        <v>30.4</v>
      </c>
      <c r="M123" s="173">
        <v>30.4</v>
      </c>
      <c r="N123" s="173">
        <v>30.2</v>
      </c>
    </row>
    <row r="124" spans="1:14">
      <c r="A124" s="174">
        <v>1961</v>
      </c>
      <c r="B124" s="175">
        <v>29.8</v>
      </c>
      <c r="C124" s="175">
        <v>29.8</v>
      </c>
      <c r="D124" s="175">
        <v>29.8</v>
      </c>
      <c r="E124" s="175">
        <v>29.8</v>
      </c>
      <c r="F124" s="175">
        <v>29.8</v>
      </c>
      <c r="G124" s="175">
        <v>29.8</v>
      </c>
      <c r="H124" s="175">
        <v>30</v>
      </c>
      <c r="I124" s="175">
        <v>29.9</v>
      </c>
      <c r="J124" s="175">
        <v>30</v>
      </c>
      <c r="K124" s="175">
        <v>30</v>
      </c>
      <c r="L124" s="175">
        <v>30</v>
      </c>
      <c r="M124" s="175">
        <v>30</v>
      </c>
      <c r="N124" s="175">
        <v>29.9</v>
      </c>
    </row>
    <row r="125" spans="1:14">
      <c r="A125" s="172">
        <v>1960</v>
      </c>
      <c r="B125" s="173">
        <v>29.3</v>
      </c>
      <c r="C125" s="173">
        <v>29.4</v>
      </c>
      <c r="D125" s="173">
        <v>29.4</v>
      </c>
      <c r="E125" s="173">
        <v>29.5</v>
      </c>
      <c r="F125" s="173">
        <v>29.5</v>
      </c>
      <c r="G125" s="173">
        <v>29.6</v>
      </c>
      <c r="H125" s="173">
        <v>29.6</v>
      </c>
      <c r="I125" s="173">
        <v>29.6</v>
      </c>
      <c r="J125" s="173">
        <v>29.6</v>
      </c>
      <c r="K125" s="173">
        <v>29.8</v>
      </c>
      <c r="L125" s="173">
        <v>29.8</v>
      </c>
      <c r="M125" s="173">
        <v>29.8</v>
      </c>
      <c r="N125" s="173">
        <v>29.6</v>
      </c>
    </row>
    <row r="126" spans="1:14">
      <c r="A126" s="174">
        <v>1959</v>
      </c>
      <c r="B126" s="175">
        <v>29</v>
      </c>
      <c r="C126" s="175">
        <v>28.9</v>
      </c>
      <c r="D126" s="175">
        <v>28.9</v>
      </c>
      <c r="E126" s="175">
        <v>29</v>
      </c>
      <c r="F126" s="175">
        <v>29</v>
      </c>
      <c r="G126" s="175">
        <v>29.1</v>
      </c>
      <c r="H126" s="175">
        <v>29.2</v>
      </c>
      <c r="I126" s="175">
        <v>29.2</v>
      </c>
      <c r="J126" s="175">
        <v>29.3</v>
      </c>
      <c r="K126" s="175">
        <v>29.4</v>
      </c>
      <c r="L126" s="175">
        <v>29.4</v>
      </c>
      <c r="M126" s="175">
        <v>29.4</v>
      </c>
      <c r="N126" s="175">
        <v>29.1</v>
      </c>
    </row>
    <row r="127" spans="1:14">
      <c r="A127" s="172">
        <v>1958</v>
      </c>
      <c r="B127" s="173">
        <v>28.6</v>
      </c>
      <c r="C127" s="173">
        <v>28.6</v>
      </c>
      <c r="D127" s="173">
        <v>28.8</v>
      </c>
      <c r="E127" s="173">
        <v>28.9</v>
      </c>
      <c r="F127" s="173">
        <v>28.9</v>
      </c>
      <c r="G127" s="173">
        <v>28.9</v>
      </c>
      <c r="H127" s="173">
        <v>29</v>
      </c>
      <c r="I127" s="173">
        <v>28.9</v>
      </c>
      <c r="J127" s="173">
        <v>28.9</v>
      </c>
      <c r="K127" s="173">
        <v>28.9</v>
      </c>
      <c r="L127" s="173">
        <v>29</v>
      </c>
      <c r="M127" s="173">
        <v>28.9</v>
      </c>
      <c r="N127" s="173">
        <v>28.9</v>
      </c>
    </row>
    <row r="128" spans="1:14">
      <c r="A128" s="174">
        <v>1957</v>
      </c>
      <c r="B128" s="175">
        <v>27.6</v>
      </c>
      <c r="C128" s="175">
        <v>27.7</v>
      </c>
      <c r="D128" s="175">
        <v>27.8</v>
      </c>
      <c r="E128" s="175">
        <v>27.9</v>
      </c>
      <c r="F128" s="175">
        <v>28</v>
      </c>
      <c r="G128" s="175">
        <v>28.1</v>
      </c>
      <c r="H128" s="175">
        <v>28.3</v>
      </c>
      <c r="I128" s="175">
        <v>28.3</v>
      </c>
      <c r="J128" s="175">
        <v>28.3</v>
      </c>
      <c r="K128" s="175">
        <v>28.3</v>
      </c>
      <c r="L128" s="175">
        <v>28.4</v>
      </c>
      <c r="M128" s="175">
        <v>28.4</v>
      </c>
      <c r="N128" s="175">
        <v>28.1</v>
      </c>
    </row>
    <row r="129" spans="1:14">
      <c r="A129" s="172">
        <v>1956</v>
      </c>
      <c r="B129" s="173">
        <v>26.8</v>
      </c>
      <c r="C129" s="173">
        <v>26.8</v>
      </c>
      <c r="D129" s="173">
        <v>26.8</v>
      </c>
      <c r="E129" s="173">
        <v>26.9</v>
      </c>
      <c r="F129" s="173">
        <v>27</v>
      </c>
      <c r="G129" s="173">
        <v>27.2</v>
      </c>
      <c r="H129" s="173">
        <v>27.4</v>
      </c>
      <c r="I129" s="173">
        <v>27.3</v>
      </c>
      <c r="J129" s="173">
        <v>27.4</v>
      </c>
      <c r="K129" s="173">
        <v>27.5</v>
      </c>
      <c r="L129" s="173">
        <v>27.5</v>
      </c>
      <c r="M129" s="173">
        <v>27.6</v>
      </c>
      <c r="N129" s="173">
        <v>27.2</v>
      </c>
    </row>
    <row r="130" spans="1:14">
      <c r="A130" s="174">
        <v>1955</v>
      </c>
      <c r="B130" s="175">
        <v>26.7</v>
      </c>
      <c r="C130" s="175">
        <v>26.7</v>
      </c>
      <c r="D130" s="175">
        <v>26.7</v>
      </c>
      <c r="E130" s="175">
        <v>26.7</v>
      </c>
      <c r="F130" s="175">
        <v>26.7</v>
      </c>
      <c r="G130" s="175">
        <v>26.7</v>
      </c>
      <c r="H130" s="175">
        <v>26.8</v>
      </c>
      <c r="I130" s="175">
        <v>26.8</v>
      </c>
      <c r="J130" s="175">
        <v>26.9</v>
      </c>
      <c r="K130" s="175">
        <v>26.9</v>
      </c>
      <c r="L130" s="175">
        <v>26.9</v>
      </c>
      <c r="M130" s="175">
        <v>26.8</v>
      </c>
      <c r="N130" s="175">
        <v>26.8</v>
      </c>
    </row>
    <row r="131" spans="1:14">
      <c r="A131" s="172">
        <v>1954</v>
      </c>
      <c r="B131" s="173">
        <v>26.9</v>
      </c>
      <c r="C131" s="173">
        <v>26.9</v>
      </c>
      <c r="D131" s="173">
        <v>26.9</v>
      </c>
      <c r="E131" s="173">
        <v>26.8</v>
      </c>
      <c r="F131" s="173">
        <v>26.9</v>
      </c>
      <c r="G131" s="173">
        <v>26.9</v>
      </c>
      <c r="H131" s="173">
        <v>26.9</v>
      </c>
      <c r="I131" s="173">
        <v>26.9</v>
      </c>
      <c r="J131" s="173">
        <v>26.8</v>
      </c>
      <c r="K131" s="173">
        <v>26.8</v>
      </c>
      <c r="L131" s="173">
        <v>26.8</v>
      </c>
      <c r="M131" s="173">
        <v>26.7</v>
      </c>
      <c r="N131" s="173">
        <v>26.9</v>
      </c>
    </row>
    <row r="132" spans="1:14">
      <c r="A132" s="174">
        <v>1953</v>
      </c>
      <c r="B132" s="175">
        <v>26.6</v>
      </c>
      <c r="C132" s="175">
        <v>26.5</v>
      </c>
      <c r="D132" s="175">
        <v>26.6</v>
      </c>
      <c r="E132" s="175">
        <v>26.6</v>
      </c>
      <c r="F132" s="175">
        <v>26.7</v>
      </c>
      <c r="G132" s="175">
        <v>26.8</v>
      </c>
      <c r="H132" s="175">
        <v>26.8</v>
      </c>
      <c r="I132" s="175">
        <v>26.9</v>
      </c>
      <c r="J132" s="175">
        <v>26.9</v>
      </c>
      <c r="K132" s="175">
        <v>27</v>
      </c>
      <c r="L132" s="175">
        <v>26.9</v>
      </c>
      <c r="M132" s="175">
        <v>26.9</v>
      </c>
      <c r="N132" s="175">
        <v>26.7</v>
      </c>
    </row>
    <row r="133" spans="1:14">
      <c r="A133" s="172">
        <v>1952</v>
      </c>
      <c r="B133" s="173">
        <v>26.5</v>
      </c>
      <c r="C133" s="173">
        <v>26.3</v>
      </c>
      <c r="D133" s="173">
        <v>26.3</v>
      </c>
      <c r="E133" s="173">
        <v>26.4</v>
      </c>
      <c r="F133" s="173">
        <v>26.4</v>
      </c>
      <c r="G133" s="173">
        <v>26.5</v>
      </c>
      <c r="H133" s="173">
        <v>26.7</v>
      </c>
      <c r="I133" s="173">
        <v>26.7</v>
      </c>
      <c r="J133" s="173">
        <v>26.7</v>
      </c>
      <c r="K133" s="173">
        <v>26.7</v>
      </c>
      <c r="L133" s="173">
        <v>26.7</v>
      </c>
      <c r="M133" s="173">
        <v>26.7</v>
      </c>
      <c r="N133" s="173">
        <v>26.5</v>
      </c>
    </row>
    <row r="134" spans="1:14">
      <c r="A134" s="174">
        <v>1951</v>
      </c>
      <c r="B134" s="175">
        <v>25.4</v>
      </c>
      <c r="C134" s="175">
        <v>25.7</v>
      </c>
      <c r="D134" s="175">
        <v>25.8</v>
      </c>
      <c r="E134" s="175">
        <v>25.8</v>
      </c>
      <c r="F134" s="175">
        <v>25.9</v>
      </c>
      <c r="G134" s="175">
        <v>25.9</v>
      </c>
      <c r="H134" s="175">
        <v>25.9</v>
      </c>
      <c r="I134" s="175">
        <v>25.9</v>
      </c>
      <c r="J134" s="175">
        <v>26.1</v>
      </c>
      <c r="K134" s="175">
        <v>26.2</v>
      </c>
      <c r="L134" s="175">
        <v>26.4</v>
      </c>
      <c r="M134" s="175">
        <v>26.5</v>
      </c>
      <c r="N134" s="175">
        <v>26</v>
      </c>
    </row>
    <row r="135" spans="1:14">
      <c r="A135" s="172">
        <v>1950</v>
      </c>
      <c r="B135" s="173">
        <v>23.5</v>
      </c>
      <c r="C135" s="173">
        <v>23.5</v>
      </c>
      <c r="D135" s="173">
        <v>23.6</v>
      </c>
      <c r="E135" s="173">
        <v>23.6</v>
      </c>
      <c r="F135" s="173">
        <v>23.7</v>
      </c>
      <c r="G135" s="173">
        <v>23.8</v>
      </c>
      <c r="H135" s="173">
        <v>24.1</v>
      </c>
      <c r="I135" s="173">
        <v>24.3</v>
      </c>
      <c r="J135" s="173">
        <v>24.4</v>
      </c>
      <c r="K135" s="173">
        <v>24.6</v>
      </c>
      <c r="L135" s="173">
        <v>24.7</v>
      </c>
      <c r="M135" s="173">
        <v>25</v>
      </c>
      <c r="N135" s="173">
        <v>24.1</v>
      </c>
    </row>
    <row r="136" spans="1:14">
      <c r="A136" s="174">
        <v>1949</v>
      </c>
      <c r="B136" s="175">
        <v>24</v>
      </c>
      <c r="C136" s="175">
        <v>23.8</v>
      </c>
      <c r="D136" s="175">
        <v>23.8</v>
      </c>
      <c r="E136" s="175">
        <v>23.9</v>
      </c>
      <c r="F136" s="175">
        <v>23.8</v>
      </c>
      <c r="G136" s="175">
        <v>23.9</v>
      </c>
      <c r="H136" s="175">
        <v>23.7</v>
      </c>
      <c r="I136" s="175">
        <v>23.8</v>
      </c>
      <c r="J136" s="175">
        <v>23.9</v>
      </c>
      <c r="K136" s="175">
        <v>23.7</v>
      </c>
      <c r="L136" s="175">
        <v>23.8</v>
      </c>
      <c r="M136" s="175">
        <v>23.6</v>
      </c>
      <c r="N136" s="175">
        <v>23.8</v>
      </c>
    </row>
    <row r="137" spans="1:14">
      <c r="A137" s="172">
        <v>1948</v>
      </c>
      <c r="B137" s="173">
        <v>23.7</v>
      </c>
      <c r="C137" s="173">
        <v>23.5</v>
      </c>
      <c r="D137" s="173">
        <v>23.4</v>
      </c>
      <c r="E137" s="173">
        <v>23.8</v>
      </c>
      <c r="F137" s="173">
        <v>23.9</v>
      </c>
      <c r="G137" s="173">
        <v>24.1</v>
      </c>
      <c r="H137" s="173">
        <v>24.4</v>
      </c>
      <c r="I137" s="173">
        <v>24.5</v>
      </c>
      <c r="J137" s="173">
        <v>24.5</v>
      </c>
      <c r="K137" s="173">
        <v>24.4</v>
      </c>
      <c r="L137" s="173">
        <v>24.2</v>
      </c>
      <c r="M137" s="173">
        <v>24.1</v>
      </c>
      <c r="N137" s="173">
        <v>24.1</v>
      </c>
    </row>
    <row r="138" spans="1:14">
      <c r="A138" s="174">
        <v>1947</v>
      </c>
      <c r="B138" s="175">
        <v>21.5</v>
      </c>
      <c r="C138" s="175">
        <v>21.5</v>
      </c>
      <c r="D138" s="175">
        <v>21.9</v>
      </c>
      <c r="E138" s="175">
        <v>21.9</v>
      </c>
      <c r="F138" s="175">
        <v>21.9</v>
      </c>
      <c r="G138" s="175">
        <v>22</v>
      </c>
      <c r="H138" s="175">
        <v>22.2</v>
      </c>
      <c r="I138" s="175">
        <v>22.5</v>
      </c>
      <c r="J138" s="175">
        <v>23</v>
      </c>
      <c r="K138" s="175">
        <v>23</v>
      </c>
      <c r="L138" s="175">
        <v>23.1</v>
      </c>
      <c r="M138" s="175">
        <v>23.4</v>
      </c>
      <c r="N138" s="175">
        <v>22.3</v>
      </c>
    </row>
    <row r="139" spans="1:14">
      <c r="A139" s="172">
        <v>1946</v>
      </c>
      <c r="B139" s="173">
        <v>18.2</v>
      </c>
      <c r="C139" s="173">
        <v>18.100000000000001</v>
      </c>
      <c r="D139" s="173">
        <v>18.3</v>
      </c>
      <c r="E139" s="173">
        <v>18.399999999999999</v>
      </c>
      <c r="F139" s="173">
        <v>18.5</v>
      </c>
      <c r="G139" s="173">
        <v>18.7</v>
      </c>
      <c r="H139" s="173">
        <v>19.8</v>
      </c>
      <c r="I139" s="173">
        <v>20.2</v>
      </c>
      <c r="J139" s="173">
        <v>20.399999999999999</v>
      </c>
      <c r="K139" s="173">
        <v>20.8</v>
      </c>
      <c r="L139" s="173">
        <v>21.3</v>
      </c>
      <c r="M139" s="173">
        <v>21.5</v>
      </c>
      <c r="N139" s="173">
        <v>19.5</v>
      </c>
    </row>
    <row r="140" spans="1:14">
      <c r="A140" s="174">
        <v>1945</v>
      </c>
      <c r="B140" s="175">
        <v>17.8</v>
      </c>
      <c r="C140" s="175">
        <v>17.8</v>
      </c>
      <c r="D140" s="175">
        <v>17.8</v>
      </c>
      <c r="E140" s="175">
        <v>17.8</v>
      </c>
      <c r="F140" s="175">
        <v>17.899999999999999</v>
      </c>
      <c r="G140" s="175">
        <v>18.100000000000001</v>
      </c>
      <c r="H140" s="175">
        <v>18.100000000000001</v>
      </c>
      <c r="I140" s="175">
        <v>18.100000000000001</v>
      </c>
      <c r="J140" s="175">
        <v>18.100000000000001</v>
      </c>
      <c r="K140" s="175">
        <v>18.100000000000001</v>
      </c>
      <c r="L140" s="175">
        <v>18.100000000000001</v>
      </c>
      <c r="M140" s="175">
        <v>18.2</v>
      </c>
      <c r="N140" s="175">
        <v>18</v>
      </c>
    </row>
    <row r="141" spans="1:14">
      <c r="A141" s="172">
        <v>1944</v>
      </c>
      <c r="B141" s="173">
        <v>17.399999999999999</v>
      </c>
      <c r="C141" s="173">
        <v>17.399999999999999</v>
      </c>
      <c r="D141" s="173">
        <v>17.399999999999999</v>
      </c>
      <c r="E141" s="173">
        <v>17.5</v>
      </c>
      <c r="F141" s="173">
        <v>17.5</v>
      </c>
      <c r="G141" s="173">
        <v>17.600000000000001</v>
      </c>
      <c r="H141" s="173">
        <v>17.7</v>
      </c>
      <c r="I141" s="173">
        <v>17.7</v>
      </c>
      <c r="J141" s="173">
        <v>17.7</v>
      </c>
      <c r="K141" s="173">
        <v>17.7</v>
      </c>
      <c r="L141" s="173">
        <v>17.7</v>
      </c>
      <c r="M141" s="173">
        <v>17.8</v>
      </c>
      <c r="N141" s="173">
        <v>17.600000000000001</v>
      </c>
    </row>
    <row r="142" spans="1:14">
      <c r="A142" s="174">
        <v>1943</v>
      </c>
      <c r="B142" s="175">
        <v>16.899999999999999</v>
      </c>
      <c r="C142" s="175">
        <v>16.899999999999999</v>
      </c>
      <c r="D142" s="175">
        <v>17.2</v>
      </c>
      <c r="E142" s="175">
        <v>17.399999999999999</v>
      </c>
      <c r="F142" s="175">
        <v>17.5</v>
      </c>
      <c r="G142" s="175">
        <v>17.5</v>
      </c>
      <c r="H142" s="175">
        <v>17.399999999999999</v>
      </c>
      <c r="I142" s="175">
        <v>17.3</v>
      </c>
      <c r="J142" s="175">
        <v>17.399999999999999</v>
      </c>
      <c r="K142" s="175">
        <v>17.399999999999999</v>
      </c>
      <c r="L142" s="175">
        <v>17.399999999999999</v>
      </c>
      <c r="M142" s="175">
        <v>17.399999999999999</v>
      </c>
      <c r="N142" s="175">
        <v>17.3</v>
      </c>
    </row>
    <row r="143" spans="1:14">
      <c r="A143" s="172">
        <v>1942</v>
      </c>
      <c r="B143" s="173">
        <v>15.7</v>
      </c>
      <c r="C143" s="173">
        <v>15.8</v>
      </c>
      <c r="D143" s="173">
        <v>16</v>
      </c>
      <c r="E143" s="173">
        <v>16.100000000000001</v>
      </c>
      <c r="F143" s="173">
        <v>16.3</v>
      </c>
      <c r="G143" s="173">
        <v>16.3</v>
      </c>
      <c r="H143" s="173">
        <v>16.399999999999999</v>
      </c>
      <c r="I143" s="173">
        <v>16.5</v>
      </c>
      <c r="J143" s="173">
        <v>16.5</v>
      </c>
      <c r="K143" s="173">
        <v>16.7</v>
      </c>
      <c r="L143" s="173">
        <v>16.8</v>
      </c>
      <c r="M143" s="173">
        <v>16.899999999999999</v>
      </c>
      <c r="N143" s="173">
        <v>16.3</v>
      </c>
    </row>
    <row r="144" spans="1:14">
      <c r="A144" s="174">
        <v>1941</v>
      </c>
      <c r="B144" s="175">
        <v>14.1</v>
      </c>
      <c r="C144" s="175">
        <v>14.1</v>
      </c>
      <c r="D144" s="175">
        <v>14.2</v>
      </c>
      <c r="E144" s="175">
        <v>14.3</v>
      </c>
      <c r="F144" s="175">
        <v>14.4</v>
      </c>
      <c r="G144" s="175">
        <v>14.7</v>
      </c>
      <c r="H144" s="175">
        <v>14.7</v>
      </c>
      <c r="I144" s="175">
        <v>14.9</v>
      </c>
      <c r="J144" s="175">
        <v>15.1</v>
      </c>
      <c r="K144" s="175">
        <v>15.3</v>
      </c>
      <c r="L144" s="175">
        <v>15.4</v>
      </c>
      <c r="M144" s="175">
        <v>15.5</v>
      </c>
      <c r="N144" s="175">
        <v>14.7</v>
      </c>
    </row>
    <row r="145" spans="1:14">
      <c r="A145" s="172">
        <v>1940</v>
      </c>
      <c r="B145" s="173">
        <v>13.9</v>
      </c>
      <c r="C145" s="173">
        <v>14</v>
      </c>
      <c r="D145" s="173">
        <v>14</v>
      </c>
      <c r="E145" s="173">
        <v>14</v>
      </c>
      <c r="F145" s="173">
        <v>14</v>
      </c>
      <c r="G145" s="173">
        <v>14.1</v>
      </c>
      <c r="H145" s="173">
        <v>14</v>
      </c>
      <c r="I145" s="173">
        <v>14</v>
      </c>
      <c r="J145" s="173">
        <v>14</v>
      </c>
      <c r="K145" s="173">
        <v>14</v>
      </c>
      <c r="L145" s="173">
        <v>14</v>
      </c>
      <c r="M145" s="173">
        <v>14.1</v>
      </c>
      <c r="N145" s="173">
        <v>14</v>
      </c>
    </row>
    <row r="146" spans="1:14">
      <c r="A146" s="174">
        <v>1939</v>
      </c>
      <c r="B146" s="175">
        <v>14</v>
      </c>
      <c r="C146" s="175">
        <v>13.9</v>
      </c>
      <c r="D146" s="175">
        <v>13.9</v>
      </c>
      <c r="E146" s="175">
        <v>13.8</v>
      </c>
      <c r="F146" s="175">
        <v>13.8</v>
      </c>
      <c r="G146" s="175">
        <v>13.8</v>
      </c>
      <c r="H146" s="175">
        <v>13.8</v>
      </c>
      <c r="I146" s="175">
        <v>13.8</v>
      </c>
      <c r="J146" s="175">
        <v>14.1</v>
      </c>
      <c r="K146" s="175">
        <v>14</v>
      </c>
      <c r="L146" s="175">
        <v>14</v>
      </c>
      <c r="M146" s="175">
        <v>14</v>
      </c>
      <c r="N146" s="175">
        <v>13.9</v>
      </c>
    </row>
    <row r="147" spans="1:14">
      <c r="A147" s="172">
        <v>1938</v>
      </c>
      <c r="B147" s="173">
        <v>14.2</v>
      </c>
      <c r="C147" s="173">
        <v>14.1</v>
      </c>
      <c r="D147" s="173">
        <v>14.1</v>
      </c>
      <c r="E147" s="173">
        <v>14.2</v>
      </c>
      <c r="F147" s="173">
        <v>14.1</v>
      </c>
      <c r="G147" s="173">
        <v>14.1</v>
      </c>
      <c r="H147" s="173">
        <v>14.1</v>
      </c>
      <c r="I147" s="173">
        <v>14.1</v>
      </c>
      <c r="J147" s="173">
        <v>14.1</v>
      </c>
      <c r="K147" s="173">
        <v>14</v>
      </c>
      <c r="L147" s="173">
        <v>14</v>
      </c>
      <c r="M147" s="173">
        <v>14</v>
      </c>
      <c r="N147" s="173">
        <v>14.1</v>
      </c>
    </row>
    <row r="148" spans="1:14">
      <c r="A148" s="174">
        <v>1937</v>
      </c>
      <c r="B148" s="175">
        <v>14.1</v>
      </c>
      <c r="C148" s="175">
        <v>14.1</v>
      </c>
      <c r="D148" s="175">
        <v>14.2</v>
      </c>
      <c r="E148" s="175">
        <v>14.3</v>
      </c>
      <c r="F148" s="175">
        <v>14.4</v>
      </c>
      <c r="G148" s="175">
        <v>14.4</v>
      </c>
      <c r="H148" s="175">
        <v>14.5</v>
      </c>
      <c r="I148" s="175">
        <v>14.5</v>
      </c>
      <c r="J148" s="175">
        <v>14.6</v>
      </c>
      <c r="K148" s="175">
        <v>14.6</v>
      </c>
      <c r="L148" s="175">
        <v>14.5</v>
      </c>
      <c r="M148" s="175">
        <v>14.4</v>
      </c>
      <c r="N148" s="175">
        <v>14.4</v>
      </c>
    </row>
    <row r="149" spans="1:14">
      <c r="A149" s="172">
        <v>1936</v>
      </c>
      <c r="B149" s="173">
        <v>13.8</v>
      </c>
      <c r="C149" s="173">
        <v>13.8</v>
      </c>
      <c r="D149" s="173">
        <v>13.7</v>
      </c>
      <c r="E149" s="173">
        <v>13.7</v>
      </c>
      <c r="F149" s="173">
        <v>13.7</v>
      </c>
      <c r="G149" s="173">
        <v>13.8</v>
      </c>
      <c r="H149" s="173">
        <v>13.9</v>
      </c>
      <c r="I149" s="173">
        <v>14</v>
      </c>
      <c r="J149" s="173">
        <v>14</v>
      </c>
      <c r="K149" s="173">
        <v>14</v>
      </c>
      <c r="L149" s="173">
        <v>14</v>
      </c>
      <c r="M149" s="173">
        <v>14</v>
      </c>
      <c r="N149" s="173">
        <v>13.9</v>
      </c>
    </row>
    <row r="150" spans="1:14">
      <c r="A150" s="174">
        <v>1935</v>
      </c>
      <c r="B150" s="175">
        <v>13.6</v>
      </c>
      <c r="C150" s="175">
        <v>13.7</v>
      </c>
      <c r="D150" s="175">
        <v>13.7</v>
      </c>
      <c r="E150" s="175">
        <v>13.8</v>
      </c>
      <c r="F150" s="175">
        <v>13.8</v>
      </c>
      <c r="G150" s="175">
        <v>13.7</v>
      </c>
      <c r="H150" s="175">
        <v>13.7</v>
      </c>
      <c r="I150" s="175">
        <v>13.7</v>
      </c>
      <c r="J150" s="175">
        <v>13.7</v>
      </c>
      <c r="K150" s="175">
        <v>13.7</v>
      </c>
      <c r="L150" s="175">
        <v>13.8</v>
      </c>
      <c r="M150" s="175">
        <v>13.8</v>
      </c>
      <c r="N150" s="175">
        <v>13.7</v>
      </c>
    </row>
    <row r="151" spans="1:14">
      <c r="A151" s="172">
        <v>1934</v>
      </c>
      <c r="B151" s="173">
        <v>13.2</v>
      </c>
      <c r="C151" s="173">
        <v>13.3</v>
      </c>
      <c r="D151" s="173">
        <v>13.3</v>
      </c>
      <c r="E151" s="173">
        <v>13.3</v>
      </c>
      <c r="F151" s="173">
        <v>13.3</v>
      </c>
      <c r="G151" s="173">
        <v>13.4</v>
      </c>
      <c r="H151" s="173">
        <v>13.4</v>
      </c>
      <c r="I151" s="173">
        <v>13.4</v>
      </c>
      <c r="J151" s="173">
        <v>13.6</v>
      </c>
      <c r="K151" s="173">
        <v>13.5</v>
      </c>
      <c r="L151" s="173">
        <v>13.5</v>
      </c>
      <c r="M151" s="173">
        <v>13.4</v>
      </c>
      <c r="N151" s="173">
        <v>13.4</v>
      </c>
    </row>
    <row r="152" spans="1:14">
      <c r="A152" s="174">
        <v>1933</v>
      </c>
      <c r="B152" s="175">
        <v>12.9</v>
      </c>
      <c r="C152" s="175">
        <v>12.7</v>
      </c>
      <c r="D152" s="175">
        <v>12.6</v>
      </c>
      <c r="E152" s="175">
        <v>12.6</v>
      </c>
      <c r="F152" s="175">
        <v>12.6</v>
      </c>
      <c r="G152" s="175">
        <v>12.7</v>
      </c>
      <c r="H152" s="175">
        <v>13.1</v>
      </c>
      <c r="I152" s="175">
        <v>13.2</v>
      </c>
      <c r="J152" s="175">
        <v>13.2</v>
      </c>
      <c r="K152" s="175">
        <v>13.2</v>
      </c>
      <c r="L152" s="175">
        <v>13.2</v>
      </c>
      <c r="M152" s="175">
        <v>13.2</v>
      </c>
      <c r="N152" s="175">
        <v>13</v>
      </c>
    </row>
    <row r="153" spans="1:14">
      <c r="A153" s="172">
        <v>1932</v>
      </c>
      <c r="B153" s="173">
        <v>14.3</v>
      </c>
      <c r="C153" s="173">
        <v>14.1</v>
      </c>
      <c r="D153" s="173">
        <v>14</v>
      </c>
      <c r="E153" s="173">
        <v>13.9</v>
      </c>
      <c r="F153" s="173">
        <v>13.7</v>
      </c>
      <c r="G153" s="173">
        <v>13.6</v>
      </c>
      <c r="H153" s="173">
        <v>13.6</v>
      </c>
      <c r="I153" s="173">
        <v>13.5</v>
      </c>
      <c r="J153" s="173">
        <v>13.4</v>
      </c>
      <c r="K153" s="173">
        <v>13.3</v>
      </c>
      <c r="L153" s="173">
        <v>13.2</v>
      </c>
      <c r="M153" s="173">
        <v>13.1</v>
      </c>
      <c r="N153" s="173">
        <v>13.7</v>
      </c>
    </row>
    <row r="154" spans="1:14">
      <c r="A154" s="174">
        <v>1931</v>
      </c>
      <c r="B154" s="175">
        <v>15.9</v>
      </c>
      <c r="C154" s="175">
        <v>15.7</v>
      </c>
      <c r="D154" s="175">
        <v>15.6</v>
      </c>
      <c r="E154" s="175">
        <v>15.5</v>
      </c>
      <c r="F154" s="175">
        <v>15.3</v>
      </c>
      <c r="G154" s="175">
        <v>15.1</v>
      </c>
      <c r="H154" s="175">
        <v>15.1</v>
      </c>
      <c r="I154" s="175">
        <v>15.1</v>
      </c>
      <c r="J154" s="175">
        <v>15</v>
      </c>
      <c r="K154" s="175">
        <v>14.9</v>
      </c>
      <c r="L154" s="175">
        <v>14.7</v>
      </c>
      <c r="M154" s="175">
        <v>14.6</v>
      </c>
      <c r="N154" s="175">
        <v>15.2</v>
      </c>
    </row>
    <row r="155" spans="1:14">
      <c r="A155" s="172">
        <v>1930</v>
      </c>
      <c r="B155" s="173">
        <v>17.100000000000001</v>
      </c>
      <c r="C155" s="173">
        <v>17</v>
      </c>
      <c r="D155" s="173">
        <v>16.899999999999999</v>
      </c>
      <c r="E155" s="173">
        <v>17</v>
      </c>
      <c r="F155" s="173">
        <v>16.899999999999999</v>
      </c>
      <c r="G155" s="173">
        <v>16.8</v>
      </c>
      <c r="H155" s="173">
        <v>16.600000000000001</v>
      </c>
      <c r="I155" s="173">
        <v>16.5</v>
      </c>
      <c r="J155" s="173">
        <v>16.600000000000001</v>
      </c>
      <c r="K155" s="173">
        <v>16.5</v>
      </c>
      <c r="L155" s="173">
        <v>16.399999999999999</v>
      </c>
      <c r="M155" s="173">
        <v>16.100000000000001</v>
      </c>
      <c r="N155" s="173">
        <v>16.7</v>
      </c>
    </row>
    <row r="156" spans="1:14">
      <c r="A156" s="174">
        <v>1929</v>
      </c>
      <c r="B156" s="175">
        <v>17.100000000000001</v>
      </c>
      <c r="C156" s="175">
        <v>17.100000000000001</v>
      </c>
      <c r="D156" s="175">
        <v>17</v>
      </c>
      <c r="E156" s="175">
        <v>16.899999999999999</v>
      </c>
      <c r="F156" s="175">
        <v>17</v>
      </c>
      <c r="G156" s="175">
        <v>17.100000000000001</v>
      </c>
      <c r="H156" s="175">
        <v>17.3</v>
      </c>
      <c r="I156" s="175">
        <v>17.3</v>
      </c>
      <c r="J156" s="175">
        <v>17.3</v>
      </c>
      <c r="K156" s="175">
        <v>17.3</v>
      </c>
      <c r="L156" s="175">
        <v>17.3</v>
      </c>
      <c r="M156" s="175">
        <v>17.2</v>
      </c>
      <c r="N156" s="175">
        <v>17.100000000000001</v>
      </c>
    </row>
    <row r="157" spans="1:14">
      <c r="A157" s="172">
        <v>1928</v>
      </c>
      <c r="B157" s="173">
        <v>17.3</v>
      </c>
      <c r="C157" s="173">
        <v>17.100000000000001</v>
      </c>
      <c r="D157" s="173">
        <v>17.100000000000001</v>
      </c>
      <c r="E157" s="173">
        <v>17.100000000000001</v>
      </c>
      <c r="F157" s="173">
        <v>17.2</v>
      </c>
      <c r="G157" s="173">
        <v>17.100000000000001</v>
      </c>
      <c r="H157" s="173">
        <v>17.100000000000001</v>
      </c>
      <c r="I157" s="173">
        <v>17.100000000000001</v>
      </c>
      <c r="J157" s="173">
        <v>17.3</v>
      </c>
      <c r="K157" s="173">
        <v>17.2</v>
      </c>
      <c r="L157" s="173">
        <v>17.2</v>
      </c>
      <c r="M157" s="173">
        <v>17.100000000000001</v>
      </c>
      <c r="N157" s="173">
        <v>17.100000000000001</v>
      </c>
    </row>
    <row r="158" spans="1:14">
      <c r="A158" s="174">
        <v>1927</v>
      </c>
      <c r="B158" s="175">
        <v>17.5</v>
      </c>
      <c r="C158" s="175">
        <v>17.399999999999999</v>
      </c>
      <c r="D158" s="175">
        <v>17.3</v>
      </c>
      <c r="E158" s="175">
        <v>17.3</v>
      </c>
      <c r="F158" s="175">
        <v>17.399999999999999</v>
      </c>
      <c r="G158" s="175">
        <v>17.600000000000001</v>
      </c>
      <c r="H158" s="175">
        <v>17.3</v>
      </c>
      <c r="I158" s="175">
        <v>17.2</v>
      </c>
      <c r="J158" s="175">
        <v>17.3</v>
      </c>
      <c r="K158" s="175">
        <v>17.399999999999999</v>
      </c>
      <c r="L158" s="175">
        <v>17.3</v>
      </c>
      <c r="M158" s="175">
        <v>17.3</v>
      </c>
      <c r="N158" s="175">
        <v>17.399999999999999</v>
      </c>
    </row>
    <row r="159" spans="1:14">
      <c r="A159" s="172">
        <v>1926</v>
      </c>
      <c r="B159" s="173">
        <v>17.899999999999999</v>
      </c>
      <c r="C159" s="173">
        <v>17.899999999999999</v>
      </c>
      <c r="D159" s="173">
        <v>17.8</v>
      </c>
      <c r="E159" s="173">
        <v>17.899999999999999</v>
      </c>
      <c r="F159" s="173">
        <v>17.8</v>
      </c>
      <c r="G159" s="173">
        <v>17.7</v>
      </c>
      <c r="H159" s="173">
        <v>17.5</v>
      </c>
      <c r="I159" s="173">
        <v>17.399999999999999</v>
      </c>
      <c r="J159" s="173">
        <v>17.5</v>
      </c>
      <c r="K159" s="173">
        <v>17.600000000000001</v>
      </c>
      <c r="L159" s="173">
        <v>17.7</v>
      </c>
      <c r="M159" s="173">
        <v>17.7</v>
      </c>
      <c r="N159" s="173">
        <v>17.7</v>
      </c>
    </row>
    <row r="160" spans="1:14">
      <c r="A160" s="174">
        <v>1925</v>
      </c>
      <c r="B160" s="175">
        <v>17.3</v>
      </c>
      <c r="C160" s="175">
        <v>17.2</v>
      </c>
      <c r="D160" s="175">
        <v>17.3</v>
      </c>
      <c r="E160" s="175">
        <v>17.2</v>
      </c>
      <c r="F160" s="175">
        <v>17.3</v>
      </c>
      <c r="G160" s="175">
        <v>17.5</v>
      </c>
      <c r="H160" s="175">
        <v>17.7</v>
      </c>
      <c r="I160" s="175">
        <v>17.7</v>
      </c>
      <c r="J160" s="175">
        <v>17.7</v>
      </c>
      <c r="K160" s="175">
        <v>17.7</v>
      </c>
      <c r="L160" s="175">
        <v>18</v>
      </c>
      <c r="M160" s="175">
        <v>17.899999999999999</v>
      </c>
      <c r="N160" s="175">
        <v>17.5</v>
      </c>
    </row>
    <row r="161" spans="1:14">
      <c r="A161" s="172">
        <v>1924</v>
      </c>
      <c r="B161" s="173">
        <v>17.3</v>
      </c>
      <c r="C161" s="173">
        <v>17.2</v>
      </c>
      <c r="D161" s="173">
        <v>17.100000000000001</v>
      </c>
      <c r="E161" s="173">
        <v>17</v>
      </c>
      <c r="F161" s="173">
        <v>17</v>
      </c>
      <c r="G161" s="173">
        <v>17</v>
      </c>
      <c r="H161" s="173">
        <v>17.100000000000001</v>
      </c>
      <c r="I161" s="173">
        <v>17</v>
      </c>
      <c r="J161" s="173">
        <v>17.100000000000001</v>
      </c>
      <c r="K161" s="173">
        <v>17.2</v>
      </c>
      <c r="L161" s="173">
        <v>17.2</v>
      </c>
      <c r="M161" s="173">
        <v>17.3</v>
      </c>
      <c r="N161" s="173">
        <v>17.100000000000001</v>
      </c>
    </row>
    <row r="162" spans="1:14">
      <c r="A162" s="174">
        <v>1923</v>
      </c>
      <c r="B162" s="175">
        <v>16.8</v>
      </c>
      <c r="C162" s="175">
        <v>16.8</v>
      </c>
      <c r="D162" s="175">
        <v>16.8</v>
      </c>
      <c r="E162" s="175">
        <v>16.899999999999999</v>
      </c>
      <c r="F162" s="175">
        <v>16.899999999999999</v>
      </c>
      <c r="G162" s="175">
        <v>17</v>
      </c>
      <c r="H162" s="175">
        <v>17.2</v>
      </c>
      <c r="I162" s="175">
        <v>17.100000000000001</v>
      </c>
      <c r="J162" s="175">
        <v>17.2</v>
      </c>
      <c r="K162" s="175">
        <v>17.3</v>
      </c>
      <c r="L162" s="175">
        <v>17.3</v>
      </c>
      <c r="M162" s="175">
        <v>17.3</v>
      </c>
      <c r="N162" s="175">
        <v>17.100000000000001</v>
      </c>
    </row>
    <row r="163" spans="1:14">
      <c r="A163" s="172">
        <v>1922</v>
      </c>
      <c r="B163" s="173">
        <v>16.899999999999999</v>
      </c>
      <c r="C163" s="173">
        <v>16.899999999999999</v>
      </c>
      <c r="D163" s="173">
        <v>16.7</v>
      </c>
      <c r="E163" s="173">
        <v>16.7</v>
      </c>
      <c r="F163" s="173">
        <v>16.7</v>
      </c>
      <c r="G163" s="173">
        <v>16.7</v>
      </c>
      <c r="H163" s="173">
        <v>16.8</v>
      </c>
      <c r="I163" s="173">
        <v>16.600000000000001</v>
      </c>
      <c r="J163" s="173">
        <v>16.600000000000001</v>
      </c>
      <c r="K163" s="173">
        <v>16.7</v>
      </c>
      <c r="L163" s="173">
        <v>16.8</v>
      </c>
      <c r="M163" s="173">
        <v>16.899999999999999</v>
      </c>
      <c r="N163" s="173">
        <v>16.8</v>
      </c>
    </row>
    <row r="164" spans="1:14">
      <c r="A164" s="174">
        <v>1921</v>
      </c>
      <c r="B164" s="175">
        <v>19</v>
      </c>
      <c r="C164" s="175">
        <v>18.399999999999999</v>
      </c>
      <c r="D164" s="175">
        <v>18.3</v>
      </c>
      <c r="E164" s="175">
        <v>18.100000000000001</v>
      </c>
      <c r="F164" s="175">
        <v>17.7</v>
      </c>
      <c r="G164" s="175">
        <v>17.600000000000001</v>
      </c>
      <c r="H164" s="175">
        <v>17.7</v>
      </c>
      <c r="I164" s="175">
        <v>17.7</v>
      </c>
      <c r="J164" s="175">
        <v>17.5</v>
      </c>
      <c r="K164" s="175">
        <v>17.5</v>
      </c>
      <c r="L164" s="175">
        <v>17.399999999999999</v>
      </c>
      <c r="M164" s="175">
        <v>17.3</v>
      </c>
      <c r="N164" s="175">
        <v>17.899999999999999</v>
      </c>
    </row>
    <row r="165" spans="1:14">
      <c r="A165" s="172">
        <v>1920</v>
      </c>
      <c r="B165" s="173">
        <v>19.3</v>
      </c>
      <c r="C165" s="173">
        <v>19.5</v>
      </c>
      <c r="D165" s="173">
        <v>19.7</v>
      </c>
      <c r="E165" s="173">
        <v>20.3</v>
      </c>
      <c r="F165" s="173">
        <v>20.6</v>
      </c>
      <c r="G165" s="173">
        <v>20.9</v>
      </c>
      <c r="H165" s="173">
        <v>20.8</v>
      </c>
      <c r="I165" s="173">
        <v>20.3</v>
      </c>
      <c r="J165" s="173">
        <v>20</v>
      </c>
      <c r="K165" s="173">
        <v>19.899999999999999</v>
      </c>
      <c r="L165" s="173">
        <v>19.8</v>
      </c>
      <c r="M165" s="173">
        <v>19.399999999999999</v>
      </c>
      <c r="N165" s="173">
        <v>20</v>
      </c>
    </row>
    <row r="166" spans="1:14">
      <c r="A166" s="174">
        <v>1919</v>
      </c>
      <c r="B166" s="175">
        <v>16.5</v>
      </c>
      <c r="C166" s="175">
        <v>16.2</v>
      </c>
      <c r="D166" s="175">
        <v>16.399999999999999</v>
      </c>
      <c r="E166" s="175">
        <v>16.7</v>
      </c>
      <c r="F166" s="175">
        <v>16.899999999999999</v>
      </c>
      <c r="G166" s="175">
        <v>16.899999999999999</v>
      </c>
      <c r="H166" s="175">
        <v>17.399999999999999</v>
      </c>
      <c r="I166" s="175">
        <v>17.7</v>
      </c>
      <c r="J166" s="175">
        <v>17.8</v>
      </c>
      <c r="K166" s="175">
        <v>18.100000000000001</v>
      </c>
      <c r="L166" s="175">
        <v>18.5</v>
      </c>
      <c r="M166" s="175">
        <v>18.899999999999999</v>
      </c>
      <c r="N166" s="175">
        <v>17.3</v>
      </c>
    </row>
    <row r="167" spans="1:14">
      <c r="A167" s="172">
        <v>1918</v>
      </c>
      <c r="B167" s="173">
        <v>14</v>
      </c>
      <c r="C167" s="173">
        <v>14.1</v>
      </c>
      <c r="D167" s="173">
        <v>14</v>
      </c>
      <c r="E167" s="173">
        <v>14.2</v>
      </c>
      <c r="F167" s="173">
        <v>14.5</v>
      </c>
      <c r="G167" s="173">
        <v>14.7</v>
      </c>
      <c r="H167" s="173">
        <v>15.1</v>
      </c>
      <c r="I167" s="173">
        <v>15.4</v>
      </c>
      <c r="J167" s="173">
        <v>15.7</v>
      </c>
      <c r="K167" s="173">
        <v>16</v>
      </c>
      <c r="L167" s="173">
        <v>16.3</v>
      </c>
      <c r="M167" s="173">
        <v>16.5</v>
      </c>
      <c r="N167" s="173">
        <v>15.1</v>
      </c>
    </row>
    <row r="168" spans="1:14">
      <c r="A168" s="174">
        <v>1917</v>
      </c>
      <c r="B168" s="175">
        <v>11.7</v>
      </c>
      <c r="C168" s="175">
        <v>12</v>
      </c>
      <c r="D168" s="175">
        <v>12</v>
      </c>
      <c r="E168" s="175">
        <v>12.6</v>
      </c>
      <c r="F168" s="175">
        <v>12.8</v>
      </c>
      <c r="G168" s="175">
        <v>13</v>
      </c>
      <c r="H168" s="175">
        <v>12.8</v>
      </c>
      <c r="I168" s="175">
        <v>13</v>
      </c>
      <c r="J168" s="175">
        <v>13.3</v>
      </c>
      <c r="K168" s="175">
        <v>13.5</v>
      </c>
      <c r="L168" s="175">
        <v>13.5</v>
      </c>
      <c r="M168" s="175">
        <v>13.7</v>
      </c>
      <c r="N168" s="175">
        <v>12.8</v>
      </c>
    </row>
    <row r="169" spans="1:14">
      <c r="A169" s="172">
        <v>1916</v>
      </c>
      <c r="B169" s="173">
        <v>10.4</v>
      </c>
      <c r="C169" s="173">
        <v>10.4</v>
      </c>
      <c r="D169" s="173">
        <v>10.5</v>
      </c>
      <c r="E169" s="173">
        <v>10.6</v>
      </c>
      <c r="F169" s="173">
        <v>10.7</v>
      </c>
      <c r="G169" s="173">
        <v>10.8</v>
      </c>
      <c r="H169" s="173">
        <v>10.8</v>
      </c>
      <c r="I169" s="173">
        <v>10.9</v>
      </c>
      <c r="J169" s="173">
        <v>11.1</v>
      </c>
      <c r="K169" s="173">
        <v>11.3</v>
      </c>
      <c r="L169" s="173">
        <v>11.5</v>
      </c>
      <c r="M169" s="173">
        <v>11.6</v>
      </c>
      <c r="N169" s="173">
        <v>10.9</v>
      </c>
    </row>
    <row r="170" spans="1:14">
      <c r="A170" s="174">
        <v>1915</v>
      </c>
      <c r="B170" s="175">
        <v>10.1</v>
      </c>
      <c r="C170" s="175">
        <v>10</v>
      </c>
      <c r="D170" s="175">
        <v>9.9</v>
      </c>
      <c r="E170" s="175">
        <v>10</v>
      </c>
      <c r="F170" s="175">
        <v>10.1</v>
      </c>
      <c r="G170" s="175">
        <v>10.1</v>
      </c>
      <c r="H170" s="175">
        <v>10.1</v>
      </c>
      <c r="I170" s="175">
        <v>10.1</v>
      </c>
      <c r="J170" s="175">
        <v>10.1</v>
      </c>
      <c r="K170" s="175">
        <v>10.199999999999999</v>
      </c>
      <c r="L170" s="175">
        <v>10.3</v>
      </c>
      <c r="M170" s="175">
        <v>10.3</v>
      </c>
      <c r="N170" s="175">
        <v>10.1</v>
      </c>
    </row>
    <row r="171" spans="1:14">
      <c r="A171" s="172">
        <v>1914</v>
      </c>
      <c r="B171" s="173">
        <v>10</v>
      </c>
      <c r="C171" s="173">
        <v>9.9</v>
      </c>
      <c r="D171" s="173">
        <v>9.9</v>
      </c>
      <c r="E171" s="173">
        <v>9.8000000000000007</v>
      </c>
      <c r="F171" s="173">
        <v>9.9</v>
      </c>
      <c r="G171" s="173">
        <v>9.9</v>
      </c>
      <c r="H171" s="173">
        <v>10</v>
      </c>
      <c r="I171" s="173">
        <v>10.199999999999999</v>
      </c>
      <c r="J171" s="173">
        <v>10.199999999999999</v>
      </c>
      <c r="K171" s="173">
        <v>10.1</v>
      </c>
      <c r="L171" s="173">
        <v>10.199999999999999</v>
      </c>
      <c r="M171" s="173">
        <v>10.1</v>
      </c>
      <c r="N171" s="173">
        <v>10</v>
      </c>
    </row>
    <row r="172" spans="1:14">
      <c r="A172" s="174">
        <v>1913</v>
      </c>
      <c r="B172" s="175">
        <v>9.8000000000000007</v>
      </c>
      <c r="C172" s="175">
        <v>9.8000000000000007</v>
      </c>
      <c r="D172" s="175">
        <v>9.8000000000000007</v>
      </c>
      <c r="E172" s="175">
        <v>9.8000000000000007</v>
      </c>
      <c r="F172" s="175">
        <v>9.6999999999999993</v>
      </c>
      <c r="G172" s="175">
        <v>9.8000000000000007</v>
      </c>
      <c r="H172" s="175">
        <v>9.9</v>
      </c>
      <c r="I172" s="175">
        <v>9.9</v>
      </c>
      <c r="J172" s="175">
        <v>10</v>
      </c>
      <c r="K172" s="175">
        <v>10</v>
      </c>
      <c r="L172" s="175">
        <v>10.1</v>
      </c>
      <c r="M172" s="175">
        <v>10</v>
      </c>
      <c r="N172" s="175">
        <v>9.9</v>
      </c>
    </row>
  </sheetData>
  <mergeCells count="9">
    <mergeCell ref="A30:E30"/>
    <mergeCell ref="A31:E31"/>
    <mergeCell ref="A32:E32"/>
    <mergeCell ref="A3:B3"/>
    <mergeCell ref="A4:G4"/>
    <mergeCell ref="B5:C5"/>
    <mergeCell ref="A26:E26"/>
    <mergeCell ref="A27:E27"/>
    <mergeCell ref="A28:E28"/>
  </mergeCells>
  <hyperlinks>
    <hyperlink ref="A66" r:id="rId1" display="javascript:__doPostBack('GridView1','Sort$DataYear')" xr:uid="{00000000-0004-0000-0B00-000000000000}"/>
    <hyperlink ref="B66" r:id="rId2" display="javascript:__doPostBack('GridView1','Sort$January')" xr:uid="{00000000-0004-0000-0B00-000001000000}"/>
    <hyperlink ref="C66" r:id="rId3" display="javascript:__doPostBack('GridView1','Sort$February')" xr:uid="{00000000-0004-0000-0B00-000002000000}"/>
    <hyperlink ref="D66" r:id="rId4" display="javascript:__doPostBack('GridView1','Sort$March')" xr:uid="{00000000-0004-0000-0B00-000003000000}"/>
    <hyperlink ref="E66" r:id="rId5" display="javascript:__doPostBack('GridView1','Sort$April')" xr:uid="{00000000-0004-0000-0B00-000004000000}"/>
    <hyperlink ref="F66" r:id="rId6" display="javascript:__doPostBack('GridView1','Sort$May')" xr:uid="{00000000-0004-0000-0B00-000005000000}"/>
    <hyperlink ref="G66" r:id="rId7" display="javascript:__doPostBack('GridView1','Sort$June')" xr:uid="{00000000-0004-0000-0B00-000006000000}"/>
    <hyperlink ref="H66" r:id="rId8" display="javascript:__doPostBack('GridView1','Sort$July')" xr:uid="{00000000-0004-0000-0B00-000007000000}"/>
    <hyperlink ref="I66" r:id="rId9" display="javascript:__doPostBack('GridView1','Sort$August')" xr:uid="{00000000-0004-0000-0B00-000008000000}"/>
    <hyperlink ref="J66" r:id="rId10" display="javascript:__doPostBack('GridView1','Sort$September')" xr:uid="{00000000-0004-0000-0B00-000009000000}"/>
    <hyperlink ref="K66" r:id="rId11" display="javascript:__doPostBack('GridView1','Sort$October')" xr:uid="{00000000-0004-0000-0B00-00000A000000}"/>
    <hyperlink ref="L66" r:id="rId12" display="javascript:__doPostBack('GridView1','Sort$November')" xr:uid="{00000000-0004-0000-0B00-00000B000000}"/>
    <hyperlink ref="M66" r:id="rId13" display="javascript:__doPostBack('GridView1','Sort$December')" xr:uid="{00000000-0004-0000-0B00-00000C000000}"/>
    <hyperlink ref="N66" r:id="rId14" display="javascript:__doPostBack('GridView1','Sort$Ave.')" xr:uid="{00000000-0004-0000-0B00-00000D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3"/>
  <sheetViews>
    <sheetView workbookViewId="0">
      <pane ySplit="1" topLeftCell="A2" activePane="bottomLeft" state="frozen"/>
      <selection pane="bottomLeft" activeCell="A6" sqref="A6"/>
    </sheetView>
  </sheetViews>
  <sheetFormatPr defaultColWidth="8.81640625" defaultRowHeight="14.5"/>
  <cols>
    <col min="1" max="1" width="26.453125" bestFit="1" customWidth="1"/>
    <col min="2" max="2" width="131.81640625" bestFit="1" customWidth="1"/>
    <col min="3" max="3" width="7.453125" customWidth="1"/>
  </cols>
  <sheetData>
    <row r="1" spans="1:2" s="39" customFormat="1">
      <c r="A1" s="39" t="s">
        <v>178</v>
      </c>
      <c r="B1" s="39" t="s">
        <v>179</v>
      </c>
    </row>
    <row r="2" spans="1:2">
      <c r="A2" t="s">
        <v>176</v>
      </c>
      <c r="B2" s="62" t="s">
        <v>177</v>
      </c>
    </row>
    <row r="3" spans="1:2">
      <c r="A3" t="s">
        <v>232</v>
      </c>
      <c r="B3" t="s">
        <v>233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
  <sheetViews>
    <sheetView workbookViewId="0">
      <selection activeCell="S33" sqref="S33"/>
    </sheetView>
  </sheetViews>
  <sheetFormatPr defaultColWidth="8.81640625" defaultRowHeight="14.5"/>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O39"/>
  <sheetViews>
    <sheetView topLeftCell="A31" workbookViewId="0">
      <selection activeCell="G52" sqref="G52"/>
    </sheetView>
  </sheetViews>
  <sheetFormatPr defaultColWidth="8.81640625" defaultRowHeight="14.5"/>
  <cols>
    <col min="1" max="1" width="46.453125" bestFit="1" customWidth="1"/>
    <col min="2" max="2" width="14.453125" customWidth="1"/>
    <col min="3" max="3" width="13" customWidth="1"/>
    <col min="4" max="4" width="14.453125" customWidth="1"/>
    <col min="5" max="14" width="10" bestFit="1" customWidth="1"/>
    <col min="15" max="15" width="60" bestFit="1" customWidth="1"/>
  </cols>
  <sheetData>
    <row r="1" spans="1:15" ht="26.5">
      <c r="A1" s="1"/>
      <c r="B1" s="118" t="s">
        <v>0</v>
      </c>
      <c r="C1" s="119" t="s">
        <v>60</v>
      </c>
      <c r="D1" s="119" t="s">
        <v>61</v>
      </c>
      <c r="E1" s="119" t="s">
        <v>1</v>
      </c>
      <c r="F1" s="119" t="s">
        <v>2</v>
      </c>
      <c r="G1" s="119" t="s">
        <v>3</v>
      </c>
      <c r="H1" s="120" t="s">
        <v>4</v>
      </c>
      <c r="I1" s="118" t="s">
        <v>5</v>
      </c>
      <c r="J1" s="119" t="s">
        <v>62</v>
      </c>
      <c r="K1" s="119" t="s">
        <v>6</v>
      </c>
      <c r="L1" s="119" t="s">
        <v>188</v>
      </c>
      <c r="M1" s="119" t="s">
        <v>7</v>
      </c>
      <c r="N1" s="120" t="s">
        <v>8</v>
      </c>
      <c r="O1" s="1" t="s">
        <v>75</v>
      </c>
    </row>
    <row r="2" spans="1:15">
      <c r="A2" s="6" t="s">
        <v>308</v>
      </c>
      <c r="B2" s="41"/>
      <c r="C2" s="42"/>
      <c r="D2" s="42"/>
      <c r="E2" s="42"/>
      <c r="F2" s="42"/>
      <c r="G2" s="42"/>
      <c r="H2" s="43"/>
      <c r="I2" s="41"/>
      <c r="J2" s="42"/>
      <c r="K2" s="42"/>
      <c r="L2" s="42"/>
      <c r="M2" s="42"/>
      <c r="N2" s="43"/>
      <c r="O2" s="88"/>
    </row>
    <row r="3" spans="1:15">
      <c r="A3" s="10" t="s">
        <v>306</v>
      </c>
      <c r="B3" s="144">
        <v>0.4</v>
      </c>
      <c r="C3" s="145">
        <v>0.4</v>
      </c>
      <c r="D3" s="145">
        <v>0.4</v>
      </c>
      <c r="E3" s="145">
        <f>$D$3</f>
        <v>0.4</v>
      </c>
      <c r="F3" s="145">
        <f>$D$3</f>
        <v>0.4</v>
      </c>
      <c r="G3" s="145">
        <f>$D$3</f>
        <v>0.4</v>
      </c>
      <c r="H3" s="146">
        <f>$D$3</f>
        <v>0.4</v>
      </c>
      <c r="I3" s="144">
        <f>'Base data for vehicles'!F80</f>
        <v>0.45</v>
      </c>
      <c r="J3" s="145">
        <f>I3</f>
        <v>0.45</v>
      </c>
      <c r="K3" s="145">
        <f>J3</f>
        <v>0.45</v>
      </c>
      <c r="L3" s="145">
        <f>K3</f>
        <v>0.45</v>
      </c>
      <c r="M3" s="145">
        <f>L3</f>
        <v>0.45</v>
      </c>
      <c r="N3" s="145">
        <f>M3</f>
        <v>0.45</v>
      </c>
      <c r="O3" s="88"/>
    </row>
    <row r="4" spans="1:15">
      <c r="A4" s="10" t="s">
        <v>307</v>
      </c>
      <c r="B4" s="144">
        <f>B3*'Unit conversion'!$B$5</f>
        <v>0.37399668325041463</v>
      </c>
      <c r="C4" s="145">
        <f>C3*'Unit conversion'!$B$5</f>
        <v>0.37399668325041463</v>
      </c>
      <c r="D4" s="145">
        <f>D3*'Unit conversion'!$C$5</f>
        <v>0.37483731019522781</v>
      </c>
      <c r="E4" s="145">
        <f>E3*'Unit conversion'!$E$5</f>
        <v>0.35242290748898686</v>
      </c>
      <c r="F4" s="145">
        <f>F3*'Unit conversion'!$F$5</f>
        <v>0.35242290748898686</v>
      </c>
      <c r="G4" s="145">
        <f>G3*'Unit conversion'!$G$5</f>
        <v>0.3603603603603604</v>
      </c>
      <c r="H4" s="146">
        <f>H3*'Unit conversion'!$H$5</f>
        <v>0.3380281690140845</v>
      </c>
      <c r="I4" s="144">
        <f>I3*'Unit conversion'!$B$5</f>
        <v>0.42074626865671644</v>
      </c>
      <c r="J4" s="145">
        <f>J3*'Unit conversion'!$C$5</f>
        <v>0.42169197396963126</v>
      </c>
      <c r="K4" s="145">
        <f>K3*'Unit conversion'!$E$5</f>
        <v>0.39647577092511016</v>
      </c>
      <c r="L4" s="145">
        <f>L3*'Unit conversion'!$F$5</f>
        <v>0.39647577092511016</v>
      </c>
      <c r="M4" s="145">
        <f>M3*'Unit conversion'!$G$5</f>
        <v>0.40540540540540543</v>
      </c>
      <c r="N4" s="146">
        <f>N3*'Unit conversion'!$H$5</f>
        <v>0.38028169014084506</v>
      </c>
      <c r="O4" s="88"/>
    </row>
    <row r="5" spans="1:15">
      <c r="A5" s="10" t="s">
        <v>311</v>
      </c>
      <c r="B5" s="148">
        <f t="shared" ref="B5:H5" si="0">ROUND(B4/$D$4,2)</f>
        <v>1</v>
      </c>
      <c r="C5" s="147">
        <f t="shared" si="0"/>
        <v>1</v>
      </c>
      <c r="D5" s="147">
        <f t="shared" si="0"/>
        <v>1</v>
      </c>
      <c r="E5" s="147">
        <f t="shared" si="0"/>
        <v>0.94</v>
      </c>
      <c r="F5" s="147">
        <f t="shared" si="0"/>
        <v>0.94</v>
      </c>
      <c r="G5" s="147">
        <f t="shared" si="0"/>
        <v>0.96</v>
      </c>
      <c r="H5" s="149">
        <f t="shared" si="0"/>
        <v>0.9</v>
      </c>
      <c r="I5" s="148">
        <f t="shared" ref="I5:N5" si="1">ROUND(I4/$D$4,2)</f>
        <v>1.1200000000000001</v>
      </c>
      <c r="J5" s="147">
        <f t="shared" si="1"/>
        <v>1.1299999999999999</v>
      </c>
      <c r="K5" s="147">
        <f t="shared" si="1"/>
        <v>1.06</v>
      </c>
      <c r="L5" s="147">
        <f t="shared" si="1"/>
        <v>1.06</v>
      </c>
      <c r="M5" s="147">
        <f t="shared" si="1"/>
        <v>1.08</v>
      </c>
      <c r="N5" s="149">
        <f t="shared" si="1"/>
        <v>1.01</v>
      </c>
      <c r="O5" s="88"/>
    </row>
    <row r="6" spans="1:15">
      <c r="A6" s="6" t="s">
        <v>315</v>
      </c>
      <c r="B6" s="71"/>
      <c r="C6" s="106"/>
      <c r="D6" s="106"/>
      <c r="E6" s="106"/>
      <c r="F6" s="106"/>
      <c r="G6" s="106"/>
      <c r="H6" s="107"/>
      <c r="I6" s="71"/>
      <c r="J6" s="106"/>
      <c r="K6" s="106"/>
      <c r="L6" s="106"/>
      <c r="M6" s="106"/>
      <c r="N6" s="107"/>
      <c r="O6" s="88"/>
    </row>
    <row r="7" spans="1:15">
      <c r="A7" s="10" t="s">
        <v>306</v>
      </c>
      <c r="B7" s="144">
        <v>0.4</v>
      </c>
      <c r="C7" s="145">
        <v>0.4</v>
      </c>
      <c r="D7" s="145">
        <v>0.4</v>
      </c>
      <c r="E7" s="145">
        <v>0.42</v>
      </c>
      <c r="F7" s="145">
        <v>0.42</v>
      </c>
      <c r="G7" s="145">
        <v>0.42</v>
      </c>
      <c r="H7" s="146">
        <v>0.42</v>
      </c>
      <c r="I7" s="144">
        <f t="shared" ref="I7:N7" si="2">0.45</f>
        <v>0.45</v>
      </c>
      <c r="J7" s="145">
        <f t="shared" si="2"/>
        <v>0.45</v>
      </c>
      <c r="K7" s="145">
        <f t="shared" si="2"/>
        <v>0.45</v>
      </c>
      <c r="L7" s="145">
        <f t="shared" si="2"/>
        <v>0.45</v>
      </c>
      <c r="M7" s="145">
        <f t="shared" si="2"/>
        <v>0.45</v>
      </c>
      <c r="N7" s="146">
        <f t="shared" si="2"/>
        <v>0.45</v>
      </c>
      <c r="O7" s="88"/>
    </row>
    <row r="8" spans="1:15">
      <c r="A8" s="10" t="s">
        <v>307</v>
      </c>
      <c r="B8" s="144">
        <f>B7*'Unit conversion'!$B$5</f>
        <v>0.37399668325041463</v>
      </c>
      <c r="C8" s="145">
        <f>C7*'Unit conversion'!$B$5</f>
        <v>0.37399668325041463</v>
      </c>
      <c r="D8" s="145">
        <f>D7*'Unit conversion'!$C$5</f>
        <v>0.37483731019522781</v>
      </c>
      <c r="E8" s="145">
        <f>E7*'Unit conversion'!$E$5</f>
        <v>0.37004405286343617</v>
      </c>
      <c r="F8" s="145">
        <f>F7*'Unit conversion'!$F$5</f>
        <v>0.37004405286343617</v>
      </c>
      <c r="G8" s="145">
        <f>G7*'Unit conversion'!$G$5</f>
        <v>0.37837837837837834</v>
      </c>
      <c r="H8" s="146">
        <f>H7*'Unit conversion'!$H$5</f>
        <v>0.3549295774647887</v>
      </c>
      <c r="I8" s="144">
        <f>I7*'Unit conversion'!$B$5</f>
        <v>0.42074626865671644</v>
      </c>
      <c r="J8" s="145">
        <f>J7/'Unit conversion'!$C$5</f>
        <v>0.48020833333333335</v>
      </c>
      <c r="K8" s="145">
        <f>K7*'Unit conversion'!$E$5</f>
        <v>0.39647577092511016</v>
      </c>
      <c r="L8" s="145">
        <f>L7*'Unit conversion'!$F$5</f>
        <v>0.39647577092511016</v>
      </c>
      <c r="M8" s="145">
        <f>M7*'Unit conversion'!$G$5</f>
        <v>0.40540540540540543</v>
      </c>
      <c r="N8" s="146">
        <f>N7*'Unit conversion'!$H$5</f>
        <v>0.38028169014084506</v>
      </c>
      <c r="O8" s="88"/>
    </row>
    <row r="9" spans="1:15" s="108" customFormat="1">
      <c r="A9" s="10" t="s">
        <v>311</v>
      </c>
      <c r="B9" s="150">
        <f>ROUND(B8/$D$8,2)</f>
        <v>1</v>
      </c>
      <c r="C9" s="143">
        <f>ROUND(C8/$D$8,2)</f>
        <v>1</v>
      </c>
      <c r="D9" s="143">
        <f>ROUND(D8/$D$8,2)</f>
        <v>1</v>
      </c>
      <c r="E9" s="143">
        <f t="shared" ref="E9:N9" si="3">ROUND(E8/$D$8,2)</f>
        <v>0.99</v>
      </c>
      <c r="F9" s="143">
        <f t="shared" si="3"/>
        <v>0.99</v>
      </c>
      <c r="G9" s="143">
        <f t="shared" si="3"/>
        <v>1.01</v>
      </c>
      <c r="H9" s="151">
        <f t="shared" si="3"/>
        <v>0.95</v>
      </c>
      <c r="I9" s="150">
        <f t="shared" si="3"/>
        <v>1.1200000000000001</v>
      </c>
      <c r="J9" s="143">
        <f t="shared" si="3"/>
        <v>1.28</v>
      </c>
      <c r="K9" s="143">
        <f t="shared" si="3"/>
        <v>1.06</v>
      </c>
      <c r="L9" s="143">
        <f t="shared" si="3"/>
        <v>1.06</v>
      </c>
      <c r="M9" s="143">
        <f t="shared" si="3"/>
        <v>1.08</v>
      </c>
      <c r="N9" s="151">
        <f t="shared" si="3"/>
        <v>1.01</v>
      </c>
      <c r="O9" s="88"/>
    </row>
    <row r="10" spans="1:15">
      <c r="A10" s="6" t="s">
        <v>312</v>
      </c>
      <c r="B10" s="71"/>
      <c r="C10" s="106"/>
      <c r="D10" s="106"/>
      <c r="E10" s="106"/>
      <c r="F10" s="106"/>
      <c r="G10" s="106"/>
      <c r="H10" s="107"/>
      <c r="I10" s="71"/>
      <c r="J10" s="106"/>
      <c r="K10" s="106"/>
      <c r="L10" s="106"/>
      <c r="M10" s="106"/>
      <c r="N10" s="107"/>
      <c r="O10" s="88"/>
    </row>
    <row r="11" spans="1:15">
      <c r="A11" s="10" t="s">
        <v>306</v>
      </c>
      <c r="B11" s="144">
        <v>0.43</v>
      </c>
      <c r="C11" s="145">
        <v>0.43</v>
      </c>
      <c r="D11" s="145">
        <v>0.43</v>
      </c>
      <c r="E11" s="145">
        <v>0.45</v>
      </c>
      <c r="F11" s="145">
        <v>0.45</v>
      </c>
      <c r="G11" s="145">
        <v>0.45</v>
      </c>
      <c r="H11" s="146">
        <v>0.45</v>
      </c>
      <c r="I11" s="144">
        <v>0.5</v>
      </c>
      <c r="J11" s="145">
        <v>0.5</v>
      </c>
      <c r="K11" s="145">
        <v>0.5</v>
      </c>
      <c r="L11" s="145">
        <v>0.5</v>
      </c>
      <c r="M11" s="145">
        <v>0.5</v>
      </c>
      <c r="N11" s="146">
        <v>0.5</v>
      </c>
      <c r="O11" s="88"/>
    </row>
    <row r="12" spans="1:15">
      <c r="A12" s="10" t="s">
        <v>307</v>
      </c>
      <c r="B12" s="144">
        <f>B11*'Unit conversion'!$B$5</f>
        <v>0.40204643449419569</v>
      </c>
      <c r="C12" s="145">
        <f>C11*'Unit conversion'!$B$5</f>
        <v>0.40204643449419569</v>
      </c>
      <c r="D12" s="145">
        <f>D11*'Unit conversion'!$C$5</f>
        <v>0.40295010845986984</v>
      </c>
      <c r="E12" s="145">
        <f>E11*'Unit conversion'!$E$5</f>
        <v>0.39647577092511016</v>
      </c>
      <c r="F12" s="145">
        <f>F11*'Unit conversion'!$F$5</f>
        <v>0.39647577092511016</v>
      </c>
      <c r="G12" s="145">
        <f>G11*'Unit conversion'!$G$5</f>
        <v>0.40540540540540543</v>
      </c>
      <c r="H12" s="146">
        <f>H11*'Unit conversion'!$H$5</f>
        <v>0.38028169014084506</v>
      </c>
      <c r="I12" s="144">
        <f>I11*'Unit conversion'!$B$5</f>
        <v>0.46749585406301825</v>
      </c>
      <c r="J12" s="145">
        <f>J11/'Unit conversion'!$C$5</f>
        <v>0.53356481481481477</v>
      </c>
      <c r="K12" s="145">
        <f>K11*'Unit conversion'!$E$5</f>
        <v>0.44052863436123352</v>
      </c>
      <c r="L12" s="145">
        <f>L11*'Unit conversion'!$F$5</f>
        <v>0.44052863436123352</v>
      </c>
      <c r="M12" s="145">
        <f>M11*'Unit conversion'!$G$5</f>
        <v>0.45045045045045046</v>
      </c>
      <c r="N12" s="146">
        <f>N11*'Unit conversion'!$H$5</f>
        <v>0.42253521126760563</v>
      </c>
      <c r="O12" s="88"/>
    </row>
    <row r="13" spans="1:15">
      <c r="A13" s="10" t="s">
        <v>311</v>
      </c>
      <c r="B13" s="150">
        <f>ROUND(B12/$D$12,2)</f>
        <v>1</v>
      </c>
      <c r="C13" s="143">
        <f>ROUND(C12/$D$12,2)</f>
        <v>1</v>
      </c>
      <c r="D13" s="143">
        <f>ROUND(D12/$D$12,2)</f>
        <v>1</v>
      </c>
      <c r="E13" s="143">
        <f t="shared" ref="E13:N13" si="4">ROUND(E12/$D$12,2)</f>
        <v>0.98</v>
      </c>
      <c r="F13" s="143">
        <f t="shared" si="4"/>
        <v>0.98</v>
      </c>
      <c r="G13" s="143">
        <f t="shared" si="4"/>
        <v>1.01</v>
      </c>
      <c r="H13" s="151">
        <f t="shared" si="4"/>
        <v>0.94</v>
      </c>
      <c r="I13" s="150">
        <f t="shared" si="4"/>
        <v>1.1599999999999999</v>
      </c>
      <c r="J13" s="143">
        <f t="shared" si="4"/>
        <v>1.32</v>
      </c>
      <c r="K13" s="143">
        <f t="shared" si="4"/>
        <v>1.0900000000000001</v>
      </c>
      <c r="L13" s="143">
        <f t="shared" si="4"/>
        <v>1.0900000000000001</v>
      </c>
      <c r="M13" s="143">
        <f t="shared" si="4"/>
        <v>1.1200000000000001</v>
      </c>
      <c r="N13" s="151">
        <f t="shared" si="4"/>
        <v>1.05</v>
      </c>
      <c r="O13" s="88"/>
    </row>
    <row r="14" spans="1:15">
      <c r="A14" s="6" t="s">
        <v>313</v>
      </c>
      <c r="B14" s="71"/>
      <c r="C14" s="106"/>
      <c r="D14" s="106"/>
      <c r="E14" s="106"/>
      <c r="F14" s="106"/>
      <c r="G14" s="106"/>
      <c r="H14" s="107"/>
      <c r="I14" s="71"/>
      <c r="J14" s="106"/>
      <c r="K14" s="106"/>
      <c r="L14" s="106"/>
      <c r="M14" s="106"/>
      <c r="N14" s="107"/>
      <c r="O14" s="88"/>
    </row>
    <row r="15" spans="1:15">
      <c r="A15" s="10" t="s">
        <v>306</v>
      </c>
      <c r="B15" s="144">
        <v>0.45</v>
      </c>
      <c r="C15" s="145">
        <v>0.45</v>
      </c>
      <c r="D15" s="145">
        <v>0.45</v>
      </c>
      <c r="E15" s="145">
        <v>0.47</v>
      </c>
      <c r="F15" s="145">
        <v>0.47</v>
      </c>
      <c r="G15" s="145">
        <v>0.47</v>
      </c>
      <c r="H15" s="146">
        <v>0.47</v>
      </c>
      <c r="I15" s="144">
        <v>0.5</v>
      </c>
      <c r="J15" s="145">
        <v>0.5</v>
      </c>
      <c r="K15" s="145">
        <v>0.5</v>
      </c>
      <c r="L15" s="145">
        <v>0.5</v>
      </c>
      <c r="M15" s="145">
        <v>0.5</v>
      </c>
      <c r="N15" s="146">
        <v>0.5</v>
      </c>
      <c r="O15" s="88"/>
    </row>
    <row r="16" spans="1:15">
      <c r="A16" s="10" t="s">
        <v>307</v>
      </c>
      <c r="B16" s="144">
        <f>B15*'Unit conversion'!$B$5</f>
        <v>0.42074626865671644</v>
      </c>
      <c r="C16" s="145">
        <f>C15*'Unit conversion'!$B$5</f>
        <v>0.42074626865671644</v>
      </c>
      <c r="D16" s="145">
        <f>D15*'Unit conversion'!$C$5</f>
        <v>0.42169197396963126</v>
      </c>
      <c r="E16" s="145">
        <f>E15*'Unit conversion'!$E$5</f>
        <v>0.41409691629955947</v>
      </c>
      <c r="F16" s="145">
        <f>F15*'Unit conversion'!$F$5</f>
        <v>0.41409691629955947</v>
      </c>
      <c r="G16" s="145">
        <f>G15*'Unit conversion'!$G$5</f>
        <v>0.42342342342342343</v>
      </c>
      <c r="H16" s="146">
        <f>H15*'Unit conversion'!$H$5</f>
        <v>0.39718309859154927</v>
      </c>
      <c r="I16" s="144">
        <f>I15*'Unit conversion'!$B$5</f>
        <v>0.46749585406301825</v>
      </c>
      <c r="J16" s="145">
        <f>J15/'Unit conversion'!$C$5</f>
        <v>0.53356481481481477</v>
      </c>
      <c r="K16" s="145">
        <f>K15*'Unit conversion'!$E$5</f>
        <v>0.44052863436123352</v>
      </c>
      <c r="L16" s="145">
        <f>L15*'Unit conversion'!$F$5</f>
        <v>0.44052863436123352</v>
      </c>
      <c r="M16" s="145">
        <f>M15*'Unit conversion'!$G$5</f>
        <v>0.45045045045045046</v>
      </c>
      <c r="N16" s="146">
        <f>N15*'Unit conversion'!$H$5</f>
        <v>0.42253521126760563</v>
      </c>
      <c r="O16" s="88"/>
    </row>
    <row r="17" spans="1:15">
      <c r="A17" s="10" t="s">
        <v>311</v>
      </c>
      <c r="B17" s="150">
        <f>ROUND(B16/$D$16,2)</f>
        <v>1</v>
      </c>
      <c r="C17" s="143">
        <f>ROUND(C16/$D$16,2)</f>
        <v>1</v>
      </c>
      <c r="D17" s="143">
        <f>ROUND(D16/$D$16,2)</f>
        <v>1</v>
      </c>
      <c r="E17" s="143">
        <f t="shared" ref="E17:N17" si="5">ROUND(E16/$D$16,2)</f>
        <v>0.98</v>
      </c>
      <c r="F17" s="143">
        <f t="shared" si="5"/>
        <v>0.98</v>
      </c>
      <c r="G17" s="143">
        <f t="shared" si="5"/>
        <v>1</v>
      </c>
      <c r="H17" s="151">
        <f t="shared" si="5"/>
        <v>0.94</v>
      </c>
      <c r="I17" s="150">
        <f t="shared" si="5"/>
        <v>1.1100000000000001</v>
      </c>
      <c r="J17" s="143">
        <f t="shared" si="5"/>
        <v>1.27</v>
      </c>
      <c r="K17" s="143">
        <f t="shared" si="5"/>
        <v>1.04</v>
      </c>
      <c r="L17" s="143">
        <f t="shared" si="5"/>
        <v>1.04</v>
      </c>
      <c r="M17" s="143">
        <f t="shared" si="5"/>
        <v>1.07</v>
      </c>
      <c r="N17" s="151">
        <f t="shared" si="5"/>
        <v>1</v>
      </c>
      <c r="O17" s="88"/>
    </row>
    <row r="18" spans="1:15">
      <c r="A18" s="6" t="s">
        <v>314</v>
      </c>
      <c r="B18" s="71"/>
      <c r="C18" s="106"/>
      <c r="D18" s="106"/>
      <c r="E18" s="106"/>
      <c r="F18" s="106"/>
      <c r="G18" s="106"/>
      <c r="H18" s="107"/>
      <c r="I18" s="71"/>
      <c r="J18" s="106"/>
      <c r="K18" s="106"/>
      <c r="L18" s="106"/>
      <c r="M18" s="106"/>
      <c r="N18" s="107"/>
      <c r="O18" s="88"/>
    </row>
    <row r="19" spans="1:15">
      <c r="A19" s="10" t="s">
        <v>306</v>
      </c>
      <c r="B19" s="144">
        <v>0.48</v>
      </c>
      <c r="C19" s="145">
        <v>0.48</v>
      </c>
      <c r="D19" s="145">
        <v>0.48</v>
      </c>
      <c r="E19" s="145">
        <v>0.5</v>
      </c>
      <c r="F19" s="145">
        <v>0.5</v>
      </c>
      <c r="G19" s="145">
        <v>0.5</v>
      </c>
      <c r="H19" s="146">
        <v>0.5</v>
      </c>
      <c r="I19" s="144">
        <v>0.5</v>
      </c>
      <c r="J19" s="145">
        <v>0.5</v>
      </c>
      <c r="K19" s="145">
        <v>0.5</v>
      </c>
      <c r="L19" s="145">
        <v>0.5</v>
      </c>
      <c r="M19" s="145">
        <v>0.5</v>
      </c>
      <c r="N19" s="146">
        <v>0.5</v>
      </c>
      <c r="O19" s="88"/>
    </row>
    <row r="20" spans="1:15">
      <c r="A20" s="10" t="s">
        <v>307</v>
      </c>
      <c r="B20" s="144">
        <f>B19*'Unit conversion'!$B$5</f>
        <v>0.4487960199004975</v>
      </c>
      <c r="C20" s="145">
        <f>C19*'Unit conversion'!$B$5</f>
        <v>0.4487960199004975</v>
      </c>
      <c r="D20" s="145">
        <f>D19*'Unit conversion'!$C$5</f>
        <v>0.44980477223427329</v>
      </c>
      <c r="E20" s="145">
        <f>E19*'Unit conversion'!$E$5</f>
        <v>0.44052863436123352</v>
      </c>
      <c r="F20" s="145">
        <f>F19*'Unit conversion'!$F$5</f>
        <v>0.44052863436123352</v>
      </c>
      <c r="G20" s="145">
        <f>G19*'Unit conversion'!$G$5</f>
        <v>0.45045045045045046</v>
      </c>
      <c r="H20" s="146">
        <f>H19*'Unit conversion'!$H$5</f>
        <v>0.42253521126760563</v>
      </c>
      <c r="I20" s="144">
        <f>I19*'Unit conversion'!$B$5</f>
        <v>0.46749585406301825</v>
      </c>
      <c r="J20" s="145">
        <f>J19/'Unit conversion'!$C$5</f>
        <v>0.53356481481481477</v>
      </c>
      <c r="K20" s="145">
        <f>K19*'Unit conversion'!$E$5</f>
        <v>0.44052863436123352</v>
      </c>
      <c r="L20" s="145">
        <f>L19*'Unit conversion'!$F$5</f>
        <v>0.44052863436123352</v>
      </c>
      <c r="M20" s="145">
        <f>M19*'Unit conversion'!$G$5</f>
        <v>0.45045045045045046</v>
      </c>
      <c r="N20" s="146">
        <f>N19*'Unit conversion'!$H$5</f>
        <v>0.42253521126760563</v>
      </c>
      <c r="O20" s="88"/>
    </row>
    <row r="21" spans="1:15">
      <c r="A21" s="10" t="s">
        <v>311</v>
      </c>
      <c r="B21" s="152">
        <f>ROUND(B20/$D$20,2)</f>
        <v>1</v>
      </c>
      <c r="C21" s="153">
        <f>ROUND(C20/$D$20,2)</f>
        <v>1</v>
      </c>
      <c r="D21" s="153">
        <f>ROUND(D20/$D$20,2)</f>
        <v>1</v>
      </c>
      <c r="E21" s="153">
        <f t="shared" ref="E21:N21" si="6">ROUND(E20/$D$20,2)</f>
        <v>0.98</v>
      </c>
      <c r="F21" s="153">
        <f t="shared" si="6"/>
        <v>0.98</v>
      </c>
      <c r="G21" s="153">
        <f t="shared" si="6"/>
        <v>1</v>
      </c>
      <c r="H21" s="154">
        <f t="shared" si="6"/>
        <v>0.94</v>
      </c>
      <c r="I21" s="152">
        <f t="shared" si="6"/>
        <v>1.04</v>
      </c>
      <c r="J21" s="153">
        <f t="shared" si="6"/>
        <v>1.19</v>
      </c>
      <c r="K21" s="153">
        <f t="shared" si="6"/>
        <v>0.98</v>
      </c>
      <c r="L21" s="153">
        <f t="shared" si="6"/>
        <v>0.98</v>
      </c>
      <c r="M21" s="153">
        <f t="shared" si="6"/>
        <v>1</v>
      </c>
      <c r="N21" s="154">
        <f t="shared" si="6"/>
        <v>0.94</v>
      </c>
      <c r="O21" s="88"/>
    </row>
    <row r="22" spans="1:15">
      <c r="A22" s="10"/>
    </row>
    <row r="24" spans="1:15">
      <c r="A24" s="453" t="s">
        <v>305</v>
      </c>
      <c r="B24" s="453"/>
      <c r="C24" s="453"/>
      <c r="D24" s="453"/>
    </row>
    <row r="25" spans="1:15">
      <c r="B25" t="s">
        <v>275</v>
      </c>
    </row>
    <row r="26" spans="1:15">
      <c r="B26" t="s">
        <v>276</v>
      </c>
      <c r="C26" t="s">
        <v>277</v>
      </c>
      <c r="D26" t="s">
        <v>278</v>
      </c>
    </row>
    <row r="27" spans="1:15" ht="15" customHeight="1">
      <c r="A27" s="108" t="s">
        <v>279</v>
      </c>
      <c r="B27" s="108">
        <v>175</v>
      </c>
      <c r="C27" s="108">
        <v>185</v>
      </c>
      <c r="D27" s="108">
        <v>195</v>
      </c>
      <c r="J27" t="s">
        <v>71</v>
      </c>
    </row>
    <row r="28" spans="1:15" ht="15" customHeight="1">
      <c r="A28" s="108" t="s">
        <v>310</v>
      </c>
      <c r="B28" s="60">
        <f>1/(B27*'Unit conversion'!$C$3/1000/3.6)</f>
        <v>0.44623489308955677</v>
      </c>
      <c r="C28" s="60">
        <f>1/(C27*'Unit conversion'!$C$3/1000/3.6)</f>
        <v>0.42211408805768891</v>
      </c>
      <c r="D28" s="60">
        <f>1/(D27*'Unit conversion'!$C$3/1000/3.6)</f>
        <v>0.4004672117470382</v>
      </c>
    </row>
    <row r="29" spans="1:15">
      <c r="A29" t="s">
        <v>309</v>
      </c>
      <c r="B29" s="60">
        <f>1/(B27*'Unit conversion'!$C$4/1000/3.6)</f>
        <v>0.47619047619047616</v>
      </c>
      <c r="C29" s="60">
        <f>1/(C27*'Unit conversion'!$C$4/1000/3.6)</f>
        <v>0.4504504504504504</v>
      </c>
      <c r="D29" s="60">
        <f>1/(D27*'Unit conversion'!$C$4/1000/3.6)</f>
        <v>0.42735042735042739</v>
      </c>
    </row>
    <row r="31" spans="1:15">
      <c r="A31" s="454" t="s">
        <v>304</v>
      </c>
      <c r="B31" s="454"/>
      <c r="C31" s="454"/>
      <c r="D31" s="454"/>
      <c r="E31" s="454"/>
    </row>
    <row r="32" spans="1:15" ht="15" customHeight="1">
      <c r="A32" s="142"/>
      <c r="B32" t="s">
        <v>113</v>
      </c>
    </row>
    <row r="33" spans="1:5">
      <c r="A33" t="s">
        <v>114</v>
      </c>
      <c r="B33">
        <v>0.3</v>
      </c>
      <c r="C33">
        <v>0.4</v>
      </c>
      <c r="D33">
        <v>0.5</v>
      </c>
      <c r="E33">
        <v>0.6</v>
      </c>
    </row>
    <row r="34" spans="1:5" ht="15" customHeight="1">
      <c r="A34">
        <v>40</v>
      </c>
      <c r="B34" s="35">
        <f t="shared" ref="B34:E39" si="7">3600/(B$33*$A34)</f>
        <v>300</v>
      </c>
      <c r="C34" s="35">
        <f t="shared" si="7"/>
        <v>225</v>
      </c>
      <c r="D34" s="56">
        <f t="shared" si="7"/>
        <v>180</v>
      </c>
      <c r="E34" s="35">
        <f t="shared" si="7"/>
        <v>150</v>
      </c>
    </row>
    <row r="35" spans="1:5">
      <c r="A35">
        <v>41</v>
      </c>
      <c r="B35" s="35">
        <f t="shared" si="7"/>
        <v>292.6829268292683</v>
      </c>
      <c r="C35" s="35">
        <f t="shared" si="7"/>
        <v>219.51219512195118</v>
      </c>
      <c r="D35" s="35">
        <f t="shared" si="7"/>
        <v>175.60975609756099</v>
      </c>
      <c r="E35" s="35">
        <f t="shared" si="7"/>
        <v>146.34146341463415</v>
      </c>
    </row>
    <row r="36" spans="1:5">
      <c r="A36">
        <v>42</v>
      </c>
      <c r="B36" s="35">
        <f t="shared" si="7"/>
        <v>285.71428571428572</v>
      </c>
      <c r="C36" s="35">
        <f t="shared" si="7"/>
        <v>214.28571428571428</v>
      </c>
      <c r="D36" s="35">
        <f t="shared" si="7"/>
        <v>171.42857142857142</v>
      </c>
      <c r="E36" s="35">
        <f t="shared" si="7"/>
        <v>142.85714285714286</v>
      </c>
    </row>
    <row r="37" spans="1:5">
      <c r="A37">
        <v>43</v>
      </c>
      <c r="B37" s="56">
        <f t="shared" si="7"/>
        <v>279.06976744186045</v>
      </c>
      <c r="C37" s="35">
        <f t="shared" si="7"/>
        <v>209.30232558139537</v>
      </c>
      <c r="D37" s="35">
        <f t="shared" si="7"/>
        <v>167.44186046511629</v>
      </c>
      <c r="E37" s="35">
        <f t="shared" si="7"/>
        <v>139.53488372093022</v>
      </c>
    </row>
    <row r="38" spans="1:5">
      <c r="A38">
        <v>44</v>
      </c>
      <c r="B38" s="35">
        <f t="shared" si="7"/>
        <v>272.72727272727275</v>
      </c>
      <c r="C38" s="35">
        <f t="shared" si="7"/>
        <v>204.54545454545453</v>
      </c>
      <c r="D38" s="35">
        <f t="shared" si="7"/>
        <v>163.63636363636363</v>
      </c>
      <c r="E38" s="35">
        <f t="shared" si="7"/>
        <v>136.36363636363637</v>
      </c>
    </row>
    <row r="39" spans="1:5">
      <c r="A39">
        <v>45</v>
      </c>
      <c r="B39" s="35">
        <f t="shared" si="7"/>
        <v>266.66666666666669</v>
      </c>
      <c r="C39" s="35">
        <f t="shared" si="7"/>
        <v>200</v>
      </c>
      <c r="D39" s="35">
        <f t="shared" si="7"/>
        <v>160</v>
      </c>
      <c r="E39" s="35">
        <f t="shared" si="7"/>
        <v>133.33333333333334</v>
      </c>
    </row>
  </sheetData>
  <mergeCells count="2">
    <mergeCell ref="A24:D24"/>
    <mergeCell ref="A31:E3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2"/>
  <sheetViews>
    <sheetView workbookViewId="0">
      <selection activeCell="A10" sqref="A10"/>
    </sheetView>
  </sheetViews>
  <sheetFormatPr defaultRowHeight="14.5"/>
  <cols>
    <col min="1" max="1" width="49" bestFit="1" customWidth="1"/>
  </cols>
  <sheetData>
    <row r="2" spans="1:2">
      <c r="A2" t="s">
        <v>487</v>
      </c>
      <c r="B2" s="259" t="s">
        <v>486</v>
      </c>
    </row>
  </sheetData>
  <hyperlinks>
    <hyperlink ref="B2"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30"/>
  <sheetViews>
    <sheetView topLeftCell="C31" workbookViewId="0">
      <selection activeCell="J32" sqref="J32"/>
    </sheetView>
  </sheetViews>
  <sheetFormatPr defaultRowHeight="14.5"/>
  <cols>
    <col min="3" max="3" width="12.1796875" bestFit="1" customWidth="1"/>
    <col min="4" max="4" width="12.453125" bestFit="1" customWidth="1"/>
    <col min="5" max="5" width="15.453125" customWidth="1"/>
    <col min="6" max="6" width="14" bestFit="1" customWidth="1"/>
    <col min="7" max="8" width="16.81640625" bestFit="1" customWidth="1"/>
    <col min="9" max="9" width="11" bestFit="1" customWidth="1"/>
    <col min="10" max="10" width="14" bestFit="1" customWidth="1"/>
    <col min="11" max="11" width="14" customWidth="1"/>
    <col min="12" max="12" width="9" bestFit="1" customWidth="1"/>
    <col min="13" max="13" width="10.26953125" bestFit="1" customWidth="1"/>
  </cols>
  <sheetData>
    <row r="1" spans="1:24">
      <c r="A1" t="s">
        <v>510</v>
      </c>
      <c r="D1" t="s">
        <v>490</v>
      </c>
      <c r="E1" t="s">
        <v>509</v>
      </c>
      <c r="I1" t="s">
        <v>490</v>
      </c>
      <c r="J1" t="s">
        <v>509</v>
      </c>
    </row>
    <row r="2" spans="1:24">
      <c r="A2" t="s">
        <v>745</v>
      </c>
      <c r="D2">
        <v>10000</v>
      </c>
      <c r="E2" t="s">
        <v>508</v>
      </c>
      <c r="G2" s="438" t="s">
        <v>751</v>
      </c>
      <c r="H2" s="438"/>
      <c r="I2" s="56">
        <f>I3/2</f>
        <v>3800</v>
      </c>
      <c r="J2" s="261" t="s">
        <v>744</v>
      </c>
    </row>
    <row r="3" spans="1:24">
      <c r="A3" t="s">
        <v>746</v>
      </c>
      <c r="D3">
        <v>8000</v>
      </c>
      <c r="E3" t="s">
        <v>737</v>
      </c>
      <c r="G3" t="s">
        <v>752</v>
      </c>
      <c r="I3">
        <f>ROUND(Airplanes!B99/10^9*10^5, -2)</f>
        <v>7600</v>
      </c>
      <c r="J3" t="s">
        <v>744</v>
      </c>
    </row>
    <row r="4" spans="1:24">
      <c r="A4" t="s">
        <v>747</v>
      </c>
      <c r="D4">
        <v>8000</v>
      </c>
      <c r="E4" t="s">
        <v>738</v>
      </c>
      <c r="G4" t="s">
        <v>753</v>
      </c>
      <c r="I4">
        <f>ROUND(Airplanes!F99/10^9*10^5,-2)</f>
        <v>19800</v>
      </c>
      <c r="J4" t="s">
        <v>744</v>
      </c>
    </row>
    <row r="5" spans="1:24">
      <c r="A5" t="s">
        <v>748</v>
      </c>
      <c r="D5" s="35">
        <f>container!D65/10^5</f>
        <v>924.52505112628592</v>
      </c>
      <c r="E5" t="s">
        <v>739</v>
      </c>
      <c r="G5" s="438" t="s">
        <v>754</v>
      </c>
      <c r="H5" s="438"/>
      <c r="I5" s="56">
        <f>I4</f>
        <v>19800</v>
      </c>
      <c r="J5" s="261" t="s">
        <v>744</v>
      </c>
    </row>
    <row r="6" spans="1:24">
      <c r="A6" t="s">
        <v>749</v>
      </c>
      <c r="D6" s="35">
        <f>'short sea'!D65/10^5</f>
        <v>91.483307548776153</v>
      </c>
      <c r="E6" t="s">
        <v>740</v>
      </c>
      <c r="G6" s="438" t="s">
        <v>755</v>
      </c>
    </row>
    <row r="7" spans="1:24">
      <c r="A7" t="s">
        <v>750</v>
      </c>
      <c r="D7" s="35">
        <f>ocean!D65/10^5</f>
        <v>499.09750000000003</v>
      </c>
      <c r="E7" t="s">
        <v>741</v>
      </c>
      <c r="G7" s="438" t="s">
        <v>756</v>
      </c>
    </row>
    <row r="9" spans="1:24">
      <c r="A9" s="260" t="s">
        <v>71</v>
      </c>
      <c r="C9" s="261" t="s">
        <v>494</v>
      </c>
      <c r="D9" s="261" t="s">
        <v>736</v>
      </c>
      <c r="E9" s="261" t="s">
        <v>495</v>
      </c>
      <c r="F9" s="261" t="s">
        <v>735</v>
      </c>
      <c r="G9" s="261" t="s">
        <v>744</v>
      </c>
      <c r="H9" s="261" t="s">
        <v>744</v>
      </c>
      <c r="I9" s="261" t="s">
        <v>744</v>
      </c>
      <c r="L9" s="261" t="s">
        <v>742</v>
      </c>
      <c r="M9" s="261" t="s">
        <v>742</v>
      </c>
      <c r="N9" s="261" t="s">
        <v>742</v>
      </c>
    </row>
    <row r="10" spans="1:24">
      <c r="A10" s="262"/>
      <c r="B10" s="262"/>
      <c r="C10" s="262" t="s">
        <v>496</v>
      </c>
      <c r="D10" s="262" t="s">
        <v>497</v>
      </c>
      <c r="E10" s="262" t="s">
        <v>498</v>
      </c>
      <c r="F10" t="s">
        <v>701</v>
      </c>
      <c r="G10" t="s">
        <v>702</v>
      </c>
      <c r="H10" t="s">
        <v>703</v>
      </c>
      <c r="I10" t="s">
        <v>704</v>
      </c>
      <c r="J10" t="s">
        <v>733</v>
      </c>
      <c r="K10" t="s">
        <v>734</v>
      </c>
      <c r="L10" t="s">
        <v>500</v>
      </c>
      <c r="M10" s="261" t="s">
        <v>499</v>
      </c>
      <c r="N10" t="s">
        <v>501</v>
      </c>
    </row>
    <row r="11" spans="1:24">
      <c r="A11" s="442" t="s">
        <v>732</v>
      </c>
      <c r="B11" s="442">
        <v>0</v>
      </c>
      <c r="C11" s="442"/>
      <c r="D11" s="442"/>
      <c r="E11" s="442"/>
      <c r="F11" s="442"/>
      <c r="G11" s="442"/>
      <c r="H11" s="442"/>
      <c r="I11" s="442"/>
      <c r="L11" s="442"/>
      <c r="M11" s="442"/>
      <c r="N11" s="442"/>
    </row>
    <row r="12" spans="1:24">
      <c r="A12" s="442" t="s">
        <v>732</v>
      </c>
      <c r="B12" s="442" t="s">
        <v>502</v>
      </c>
      <c r="C12" s="442"/>
      <c r="D12" s="442"/>
      <c r="E12" s="442"/>
      <c r="F12" s="442"/>
      <c r="G12" s="442"/>
      <c r="H12" s="442"/>
      <c r="I12" s="442"/>
      <c r="L12" s="442"/>
      <c r="M12" s="442"/>
      <c r="N12" s="442"/>
    </row>
    <row r="13" spans="1:24">
      <c r="A13" s="262" t="s">
        <v>66</v>
      </c>
      <c r="B13" s="262">
        <v>0</v>
      </c>
      <c r="C13" s="263">
        <f>'car 1 2050'!C62</f>
        <v>100</v>
      </c>
      <c r="D13" s="263">
        <f>truck!C62/10</f>
        <v>10</v>
      </c>
      <c r="E13" s="263">
        <f>D13</f>
        <v>10</v>
      </c>
      <c r="F13" s="377">
        <f>G13/20</f>
        <v>23.990499999999997</v>
      </c>
      <c r="G13" s="35">
        <f>SUM(Airplanes!C100:C102)/10^9*10^5</f>
        <v>479.80999999999995</v>
      </c>
      <c r="H13" s="35">
        <f>SUM(Airplanes!G100:G102)/10^9*10^5</f>
        <v>1823.7900000000002</v>
      </c>
      <c r="I13" s="35">
        <f>H13</f>
        <v>1823.7900000000002</v>
      </c>
      <c r="L13" s="374">
        <f>'short sea'!E67</f>
        <v>13.218168000000157</v>
      </c>
      <c r="M13" s="374">
        <f>container!E67</f>
        <v>180.45685</v>
      </c>
      <c r="N13" s="374">
        <f>ocean!E67</f>
        <v>150.61089999999999</v>
      </c>
      <c r="Q13" s="438" t="s">
        <v>727</v>
      </c>
      <c r="R13" s="438"/>
      <c r="S13" s="438"/>
      <c r="T13" s="438"/>
      <c r="U13" s="438"/>
      <c r="V13" s="438"/>
      <c r="W13" s="438"/>
      <c r="X13" s="438"/>
    </row>
    <row r="14" spans="1:24">
      <c r="A14" s="262" t="s">
        <v>66</v>
      </c>
      <c r="B14" s="262" t="s">
        <v>502</v>
      </c>
      <c r="C14" s="263">
        <f>'car 1 2050'!AD62</f>
        <v>2400</v>
      </c>
      <c r="D14" s="263">
        <f>truck!AA62/10</f>
        <v>750</v>
      </c>
      <c r="E14" s="263">
        <f t="shared" ref="E14:E29" si="0">D14</f>
        <v>750</v>
      </c>
      <c r="F14" s="377"/>
      <c r="L14" s="374">
        <f>'short sea'!K67</f>
        <v>137.0202451056704</v>
      </c>
      <c r="M14" s="374">
        <f>container!K67</f>
        <v>1361.1483520739944</v>
      </c>
      <c r="N14" s="374">
        <f>ocean!K67</f>
        <v>695.19095013054834</v>
      </c>
      <c r="Q14" s="438" t="s">
        <v>726</v>
      </c>
      <c r="R14" s="438"/>
      <c r="S14" s="438"/>
      <c r="T14" s="438"/>
      <c r="U14" s="438"/>
      <c r="V14" s="438"/>
      <c r="W14" s="438"/>
      <c r="X14" s="438"/>
    </row>
    <row r="15" spans="1:24">
      <c r="A15" s="262" t="s">
        <v>66</v>
      </c>
      <c r="B15" s="262" t="s">
        <v>503</v>
      </c>
      <c r="C15" s="263">
        <f>'car 1 2050'!G62</f>
        <v>400</v>
      </c>
      <c r="D15" s="263">
        <f>truck!G62/10</f>
        <v>90</v>
      </c>
      <c r="E15" s="263">
        <f t="shared" si="0"/>
        <v>90</v>
      </c>
      <c r="F15" s="377"/>
      <c r="L15" s="262"/>
      <c r="M15" s="262"/>
      <c r="N15" s="262"/>
    </row>
    <row r="16" spans="1:24">
      <c r="A16" s="262" t="s">
        <v>66</v>
      </c>
      <c r="B16" s="262" t="s">
        <v>504</v>
      </c>
      <c r="C16" s="263">
        <f>'car 1 2050'!P62</f>
        <v>-200</v>
      </c>
      <c r="D16" s="263">
        <f>truck!P62/10</f>
        <v>60</v>
      </c>
      <c r="E16" s="263">
        <f t="shared" si="0"/>
        <v>60</v>
      </c>
      <c r="F16" s="377"/>
      <c r="L16" s="262"/>
      <c r="M16" s="262"/>
      <c r="N16" s="262"/>
      <c r="Q16" s="441" t="s">
        <v>731</v>
      </c>
      <c r="R16" s="441"/>
      <c r="S16" s="441"/>
      <c r="T16" s="441"/>
      <c r="U16" s="441"/>
      <c r="V16" s="441"/>
      <c r="W16" s="441"/>
    </row>
    <row r="17" spans="1:23">
      <c r="A17" s="262" t="s">
        <v>20</v>
      </c>
      <c r="B17" s="262">
        <v>0</v>
      </c>
      <c r="C17" s="263">
        <f>'car 1 2050'!E62</f>
        <v>3000</v>
      </c>
      <c r="D17" s="263">
        <f>truck!E62/10</f>
        <v>1030</v>
      </c>
      <c r="E17" s="263">
        <f t="shared" si="0"/>
        <v>1030</v>
      </c>
      <c r="F17" s="377">
        <f>G17/20</f>
        <v>76.634</v>
      </c>
      <c r="G17" s="35">
        <f>SUM(Airplanes!E100:E102)/10^9*10^5</f>
        <v>1532.68</v>
      </c>
      <c r="H17" s="35">
        <f>SUM(Airplanes!I100:I102)/10^9*10^5</f>
        <v>5102</v>
      </c>
      <c r="I17" s="35">
        <f>H17</f>
        <v>5102</v>
      </c>
      <c r="L17" s="374">
        <f>'short sea'!H67</f>
        <v>224.7534</v>
      </c>
      <c r="M17" s="374">
        <f>container!H67</f>
        <v>2439.8112500000002</v>
      </c>
      <c r="N17" s="374">
        <f>ocean!H67</f>
        <v>2058.7325000000001</v>
      </c>
      <c r="Q17" s="441" t="s">
        <v>730</v>
      </c>
      <c r="R17" s="441"/>
      <c r="S17" s="441"/>
      <c r="T17" s="441"/>
      <c r="U17" s="441"/>
      <c r="V17" s="441"/>
      <c r="W17" s="441"/>
    </row>
    <row r="18" spans="1:23">
      <c r="A18" s="262" t="s">
        <v>20</v>
      </c>
      <c r="B18" s="262" t="s">
        <v>502</v>
      </c>
      <c r="C18" s="263">
        <f>'car 1 2050'!AE62</f>
        <v>2700</v>
      </c>
      <c r="D18" s="263">
        <f>truck!AB62/10</f>
        <v>1000</v>
      </c>
      <c r="E18" s="263">
        <f t="shared" si="0"/>
        <v>1000</v>
      </c>
      <c r="F18" s="377"/>
      <c r="L18" s="374">
        <f>'short sea'!N67</f>
        <v>245.02478865134566</v>
      </c>
      <c r="M18" s="374">
        <f>container!N67</f>
        <v>3086.220922595197</v>
      </c>
      <c r="N18" s="374">
        <f>ocean!N67</f>
        <v>2166.410150130549</v>
      </c>
    </row>
    <row r="19" spans="1:23">
      <c r="A19" s="262" t="s">
        <v>20</v>
      </c>
      <c r="B19" s="262" t="s">
        <v>503</v>
      </c>
      <c r="C19" s="263">
        <f>'car 1 2050'!I62</f>
        <v>2700</v>
      </c>
      <c r="D19" s="262"/>
      <c r="E19" s="263"/>
      <c r="F19" s="377"/>
      <c r="L19" s="262"/>
      <c r="M19" s="262"/>
      <c r="N19" s="262"/>
    </row>
    <row r="20" spans="1:23">
      <c r="A20" s="262" t="s">
        <v>20</v>
      </c>
      <c r="B20" s="262" t="s">
        <v>504</v>
      </c>
      <c r="C20" s="263">
        <f>'car 1 2050'!V62</f>
        <v>1500</v>
      </c>
      <c r="D20" s="262"/>
      <c r="E20" s="263"/>
      <c r="F20" s="377"/>
      <c r="L20" s="262"/>
      <c r="M20" s="262"/>
      <c r="N20" s="262"/>
    </row>
    <row r="21" spans="1:23">
      <c r="A21" s="262" t="s">
        <v>505</v>
      </c>
      <c r="B21" s="262">
        <v>0</v>
      </c>
      <c r="C21" s="263">
        <f>'car 1 2050'!B62</f>
        <v>0</v>
      </c>
      <c r="D21" s="263">
        <f>truck!B62/10</f>
        <v>0</v>
      </c>
      <c r="E21" s="263"/>
      <c r="F21" s="377">
        <f>G21/20</f>
        <v>23.486499999999999</v>
      </c>
      <c r="G21" s="35">
        <f>SUM(Airplanes!B100:B102)/10^9*10^5</f>
        <v>469.72999999999996</v>
      </c>
      <c r="H21" s="35">
        <f>SUM(Airplanes!F100:F102)/10^9*10^5</f>
        <v>1797.7900000000002</v>
      </c>
      <c r="I21" s="35">
        <f>H21</f>
        <v>1797.7900000000002</v>
      </c>
      <c r="L21" s="374">
        <f>'short sea'!D67</f>
        <v>0</v>
      </c>
      <c r="M21" s="374">
        <f>container!D67</f>
        <v>0</v>
      </c>
      <c r="N21" s="374">
        <f>ocean!D67</f>
        <v>0</v>
      </c>
    </row>
    <row r="22" spans="1:23">
      <c r="A22" s="262" t="s">
        <v>505</v>
      </c>
      <c r="B22" s="262" t="s">
        <v>502</v>
      </c>
      <c r="C22" s="263">
        <f>'car 1 2050'!AC62</f>
        <v>2400</v>
      </c>
      <c r="D22" s="263">
        <f>truck!Z62/10</f>
        <v>750</v>
      </c>
      <c r="E22" s="263">
        <f t="shared" si="0"/>
        <v>750</v>
      </c>
      <c r="F22" s="377"/>
      <c r="L22" s="374">
        <f>'short sea'!I67</f>
        <v>128.71612884490992</v>
      </c>
      <c r="M22" s="374">
        <f>container!I67</f>
        <v>1228.5131617979603</v>
      </c>
      <c r="N22" s="374">
        <f>ocean!J67</f>
        <v>580.42138906860134</v>
      </c>
    </row>
    <row r="23" spans="1:23">
      <c r="A23" s="262" t="s">
        <v>505</v>
      </c>
      <c r="B23" s="262" t="s">
        <v>503</v>
      </c>
      <c r="C23" s="263">
        <f>'car 1 2050'!F62</f>
        <v>300</v>
      </c>
      <c r="D23" s="263">
        <f>truck!F62/10</f>
        <v>80</v>
      </c>
      <c r="E23" s="263">
        <f t="shared" si="0"/>
        <v>80</v>
      </c>
      <c r="F23" s="377"/>
      <c r="L23" s="262"/>
      <c r="M23" s="262"/>
      <c r="N23" s="262"/>
    </row>
    <row r="24" spans="1:23">
      <c r="A24" s="262" t="s">
        <v>505</v>
      </c>
      <c r="B24" s="262" t="s">
        <v>504</v>
      </c>
      <c r="C24" s="263">
        <f>'car 1 2050'!M62</f>
        <v>-300</v>
      </c>
      <c r="D24" s="263">
        <f>truck!M62/10</f>
        <v>50</v>
      </c>
      <c r="E24" s="263">
        <f t="shared" si="0"/>
        <v>50</v>
      </c>
      <c r="F24" s="377"/>
      <c r="L24" s="262"/>
      <c r="M24" s="262"/>
      <c r="N24" s="262"/>
    </row>
    <row r="25" spans="1:23">
      <c r="A25" s="262" t="s">
        <v>506</v>
      </c>
      <c r="B25" s="262">
        <v>0</v>
      </c>
      <c r="C25" s="263">
        <f>'car 1 2050'!D62</f>
        <v>1400</v>
      </c>
      <c r="D25" s="263">
        <f>truck!D62/10</f>
        <v>500</v>
      </c>
      <c r="E25" s="263">
        <f t="shared" si="0"/>
        <v>500</v>
      </c>
      <c r="F25" s="377">
        <f>G25/20</f>
        <v>59.780500000000004</v>
      </c>
      <c r="G25" s="35">
        <f>SUM(Airplanes!D100:D102)/10^9*10^5</f>
        <v>1195.6100000000001</v>
      </c>
      <c r="H25" s="35">
        <f>SUM(Airplanes!H100:H102)/10^9*10^5</f>
        <v>4402.1099999999997</v>
      </c>
      <c r="I25" s="35">
        <f>H25</f>
        <v>4402.1099999999997</v>
      </c>
      <c r="L25" s="374">
        <f>'short sea'!G67</f>
        <v>71.257032000000024</v>
      </c>
      <c r="M25" s="374">
        <f>container!G67</f>
        <v>804.73665000000005</v>
      </c>
      <c r="N25" s="374">
        <f>ocean!G67</f>
        <v>604.74810000000002</v>
      </c>
    </row>
    <row r="26" spans="1:23">
      <c r="A26" s="262" t="s">
        <v>506</v>
      </c>
      <c r="B26" s="262" t="s">
        <v>502</v>
      </c>
      <c r="C26" s="262"/>
      <c r="D26" s="262"/>
      <c r="E26" s="263"/>
      <c r="F26" s="377"/>
      <c r="L26" s="374">
        <f>'short sea'!M67</f>
        <v>161.59350548302885</v>
      </c>
      <c r="M26" s="374">
        <f>container!M67</f>
        <v>1657.9004275456921</v>
      </c>
      <c r="N26" s="374">
        <f>ocean!M67</f>
        <v>971.75735013054839</v>
      </c>
    </row>
    <row r="27" spans="1:23">
      <c r="A27" s="262" t="s">
        <v>506</v>
      </c>
      <c r="B27" s="262" t="s">
        <v>503</v>
      </c>
      <c r="C27" s="263">
        <f>'car 1 2050'!H62</f>
        <v>2200</v>
      </c>
      <c r="D27" s="262"/>
      <c r="E27" s="263"/>
      <c r="F27" s="377"/>
      <c r="L27" s="262"/>
      <c r="M27" s="262"/>
      <c r="N27" s="262"/>
    </row>
    <row r="28" spans="1:23">
      <c r="A28" s="262" t="s">
        <v>506</v>
      </c>
      <c r="B28" s="262" t="s">
        <v>504</v>
      </c>
      <c r="C28" s="263">
        <f>'car 1 2050'!S62</f>
        <v>500</v>
      </c>
      <c r="D28" s="262"/>
      <c r="E28" s="263"/>
      <c r="F28" s="377"/>
      <c r="L28" s="262"/>
      <c r="M28" s="262"/>
      <c r="N28" s="262"/>
    </row>
    <row r="29" spans="1:23">
      <c r="A29" s="262" t="s">
        <v>507</v>
      </c>
      <c r="B29" s="262" t="s">
        <v>332</v>
      </c>
      <c r="C29" s="263">
        <f>'car 1 2050'!J62</f>
        <v>2000</v>
      </c>
      <c r="D29" s="263">
        <f>truck!J62/10</f>
        <v>1090</v>
      </c>
      <c r="E29" s="263">
        <f t="shared" si="0"/>
        <v>1090</v>
      </c>
      <c r="F29" s="377">
        <f>F13*2</f>
        <v>47.980999999999995</v>
      </c>
      <c r="L29" s="374">
        <f>'short sea'!O67</f>
        <v>1652.4768913838118</v>
      </c>
      <c r="M29" s="262"/>
      <c r="N29" s="262"/>
    </row>
    <row r="30" spans="1:23">
      <c r="A30" s="262" t="s">
        <v>757</v>
      </c>
      <c r="B30" s="262">
        <v>0</v>
      </c>
      <c r="C30" s="262"/>
      <c r="D30" s="262"/>
      <c r="E30" s="262"/>
      <c r="F30" s="262"/>
      <c r="G30" s="262"/>
      <c r="H30" s="262"/>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pageSetUpPr fitToPage="1"/>
  </sheetPr>
  <dimension ref="A1:AT78"/>
  <sheetViews>
    <sheetView zoomScale="80" zoomScaleNormal="80" workbookViewId="0">
      <pane xSplit="1" topLeftCell="T1" activePane="topRight" state="frozen"/>
      <selection pane="topRight" activeCell="A54" sqref="A54:XFD54"/>
    </sheetView>
  </sheetViews>
  <sheetFormatPr defaultColWidth="10.1796875" defaultRowHeight="12.5"/>
  <cols>
    <col min="1" max="1" width="41.54296875" style="10" customWidth="1"/>
    <col min="2" max="2" width="8.54296875" style="10" customWidth="1"/>
    <col min="3" max="31" width="7.453125" style="10" customWidth="1"/>
    <col min="32" max="32" width="8.54296875" style="12" customWidth="1"/>
    <col min="33" max="34" width="7.453125" style="188" customWidth="1"/>
    <col min="35" max="35" width="10.81640625" style="188" customWidth="1"/>
    <col min="36" max="36" width="10" style="188" customWidth="1"/>
    <col min="37" max="37" width="10.453125" style="10" customWidth="1"/>
    <col min="38" max="38" width="17.1796875" style="10" customWidth="1"/>
    <col min="39" max="41" width="7.453125" style="10" customWidth="1"/>
    <col min="42" max="271" width="10.1796875" style="12"/>
    <col min="272" max="272" width="41.54296875" style="12" customWidth="1"/>
    <col min="273" max="273" width="8.54296875" style="12" customWidth="1"/>
    <col min="274" max="287" width="7.453125" style="12" customWidth="1"/>
    <col min="288" max="288" width="8.54296875" style="12" customWidth="1"/>
    <col min="289" max="290" width="7.453125" style="12" customWidth="1"/>
    <col min="291" max="291" width="10.81640625" style="12" customWidth="1"/>
    <col min="292" max="292" width="10" style="12" customWidth="1"/>
    <col min="293" max="293" width="10.453125" style="12" customWidth="1"/>
    <col min="294" max="294" width="17.1796875" style="12" customWidth="1"/>
    <col min="295" max="297" width="7.453125" style="12" customWidth="1"/>
    <col min="298" max="527" width="10.1796875" style="12"/>
    <col min="528" max="528" width="41.54296875" style="12" customWidth="1"/>
    <col min="529" max="529" width="8.54296875" style="12" customWidth="1"/>
    <col min="530" max="543" width="7.453125" style="12" customWidth="1"/>
    <col min="544" max="544" width="8.54296875" style="12" customWidth="1"/>
    <col min="545" max="546" width="7.453125" style="12" customWidth="1"/>
    <col min="547" max="547" width="10.81640625" style="12" customWidth="1"/>
    <col min="548" max="548" width="10" style="12" customWidth="1"/>
    <col min="549" max="549" width="10.453125" style="12" customWidth="1"/>
    <col min="550" max="550" width="17.1796875" style="12" customWidth="1"/>
    <col min="551" max="553" width="7.453125" style="12" customWidth="1"/>
    <col min="554" max="783" width="10.1796875" style="12"/>
    <col min="784" max="784" width="41.54296875" style="12" customWidth="1"/>
    <col min="785" max="785" width="8.54296875" style="12" customWidth="1"/>
    <col min="786" max="799" width="7.453125" style="12" customWidth="1"/>
    <col min="800" max="800" width="8.54296875" style="12" customWidth="1"/>
    <col min="801" max="802" width="7.453125" style="12" customWidth="1"/>
    <col min="803" max="803" width="10.81640625" style="12" customWidth="1"/>
    <col min="804" max="804" width="10" style="12" customWidth="1"/>
    <col min="805" max="805" width="10.453125" style="12" customWidth="1"/>
    <col min="806" max="806" width="17.1796875" style="12" customWidth="1"/>
    <col min="807" max="809" width="7.453125" style="12" customWidth="1"/>
    <col min="810" max="1039" width="10.1796875" style="12"/>
    <col min="1040" max="1040" width="41.54296875" style="12" customWidth="1"/>
    <col min="1041" max="1041" width="8.54296875" style="12" customWidth="1"/>
    <col min="1042" max="1055" width="7.453125" style="12" customWidth="1"/>
    <col min="1056" max="1056" width="8.54296875" style="12" customWidth="1"/>
    <col min="1057" max="1058" width="7.453125" style="12" customWidth="1"/>
    <col min="1059" max="1059" width="10.81640625" style="12" customWidth="1"/>
    <col min="1060" max="1060" width="10" style="12" customWidth="1"/>
    <col min="1061" max="1061" width="10.453125" style="12" customWidth="1"/>
    <col min="1062" max="1062" width="17.1796875" style="12" customWidth="1"/>
    <col min="1063" max="1065" width="7.453125" style="12" customWidth="1"/>
    <col min="1066" max="1295" width="10.1796875" style="12"/>
    <col min="1296" max="1296" width="41.54296875" style="12" customWidth="1"/>
    <col min="1297" max="1297" width="8.54296875" style="12" customWidth="1"/>
    <col min="1298" max="1311" width="7.453125" style="12" customWidth="1"/>
    <col min="1312" max="1312" width="8.54296875" style="12" customWidth="1"/>
    <col min="1313" max="1314" width="7.453125" style="12" customWidth="1"/>
    <col min="1315" max="1315" width="10.81640625" style="12" customWidth="1"/>
    <col min="1316" max="1316" width="10" style="12" customWidth="1"/>
    <col min="1317" max="1317" width="10.453125" style="12" customWidth="1"/>
    <col min="1318" max="1318" width="17.1796875" style="12" customWidth="1"/>
    <col min="1319" max="1321" width="7.453125" style="12" customWidth="1"/>
    <col min="1322" max="1551" width="10.1796875" style="12"/>
    <col min="1552" max="1552" width="41.54296875" style="12" customWidth="1"/>
    <col min="1553" max="1553" width="8.54296875" style="12" customWidth="1"/>
    <col min="1554" max="1567" width="7.453125" style="12" customWidth="1"/>
    <col min="1568" max="1568" width="8.54296875" style="12" customWidth="1"/>
    <col min="1569" max="1570" width="7.453125" style="12" customWidth="1"/>
    <col min="1571" max="1571" width="10.81640625" style="12" customWidth="1"/>
    <col min="1572" max="1572" width="10" style="12" customWidth="1"/>
    <col min="1573" max="1573" width="10.453125" style="12" customWidth="1"/>
    <col min="1574" max="1574" width="17.1796875" style="12" customWidth="1"/>
    <col min="1575" max="1577" width="7.453125" style="12" customWidth="1"/>
    <col min="1578" max="1807" width="10.1796875" style="12"/>
    <col min="1808" max="1808" width="41.54296875" style="12" customWidth="1"/>
    <col min="1809" max="1809" width="8.54296875" style="12" customWidth="1"/>
    <col min="1810" max="1823" width="7.453125" style="12" customWidth="1"/>
    <col min="1824" max="1824" width="8.54296875" style="12" customWidth="1"/>
    <col min="1825" max="1826" width="7.453125" style="12" customWidth="1"/>
    <col min="1827" max="1827" width="10.81640625" style="12" customWidth="1"/>
    <col min="1828" max="1828" width="10" style="12" customWidth="1"/>
    <col min="1829" max="1829" width="10.453125" style="12" customWidth="1"/>
    <col min="1830" max="1830" width="17.1796875" style="12" customWidth="1"/>
    <col min="1831" max="1833" width="7.453125" style="12" customWidth="1"/>
    <col min="1834" max="2063" width="10.1796875" style="12"/>
    <col min="2064" max="2064" width="41.54296875" style="12" customWidth="1"/>
    <col min="2065" max="2065" width="8.54296875" style="12" customWidth="1"/>
    <col min="2066" max="2079" width="7.453125" style="12" customWidth="1"/>
    <col min="2080" max="2080" width="8.54296875" style="12" customWidth="1"/>
    <col min="2081" max="2082" width="7.453125" style="12" customWidth="1"/>
    <col min="2083" max="2083" width="10.81640625" style="12" customWidth="1"/>
    <col min="2084" max="2084" width="10" style="12" customWidth="1"/>
    <col min="2085" max="2085" width="10.453125" style="12" customWidth="1"/>
    <col min="2086" max="2086" width="17.1796875" style="12" customWidth="1"/>
    <col min="2087" max="2089" width="7.453125" style="12" customWidth="1"/>
    <col min="2090" max="2319" width="10.1796875" style="12"/>
    <col min="2320" max="2320" width="41.54296875" style="12" customWidth="1"/>
    <col min="2321" max="2321" width="8.54296875" style="12" customWidth="1"/>
    <col min="2322" max="2335" width="7.453125" style="12" customWidth="1"/>
    <col min="2336" max="2336" width="8.54296875" style="12" customWidth="1"/>
    <col min="2337" max="2338" width="7.453125" style="12" customWidth="1"/>
    <col min="2339" max="2339" width="10.81640625" style="12" customWidth="1"/>
    <col min="2340" max="2340" width="10" style="12" customWidth="1"/>
    <col min="2341" max="2341" width="10.453125" style="12" customWidth="1"/>
    <col min="2342" max="2342" width="17.1796875" style="12" customWidth="1"/>
    <col min="2343" max="2345" width="7.453125" style="12" customWidth="1"/>
    <col min="2346" max="2575" width="10.1796875" style="12"/>
    <col min="2576" max="2576" width="41.54296875" style="12" customWidth="1"/>
    <col min="2577" max="2577" width="8.54296875" style="12" customWidth="1"/>
    <col min="2578" max="2591" width="7.453125" style="12" customWidth="1"/>
    <col min="2592" max="2592" width="8.54296875" style="12" customWidth="1"/>
    <col min="2593" max="2594" width="7.453125" style="12" customWidth="1"/>
    <col min="2595" max="2595" width="10.81640625" style="12" customWidth="1"/>
    <col min="2596" max="2596" width="10" style="12" customWidth="1"/>
    <col min="2597" max="2597" width="10.453125" style="12" customWidth="1"/>
    <col min="2598" max="2598" width="17.1796875" style="12" customWidth="1"/>
    <col min="2599" max="2601" width="7.453125" style="12" customWidth="1"/>
    <col min="2602" max="2831" width="10.1796875" style="12"/>
    <col min="2832" max="2832" width="41.54296875" style="12" customWidth="1"/>
    <col min="2833" max="2833" width="8.54296875" style="12" customWidth="1"/>
    <col min="2834" max="2847" width="7.453125" style="12" customWidth="1"/>
    <col min="2848" max="2848" width="8.54296875" style="12" customWidth="1"/>
    <col min="2849" max="2850" width="7.453125" style="12" customWidth="1"/>
    <col min="2851" max="2851" width="10.81640625" style="12" customWidth="1"/>
    <col min="2852" max="2852" width="10" style="12" customWidth="1"/>
    <col min="2853" max="2853" width="10.453125" style="12" customWidth="1"/>
    <col min="2854" max="2854" width="17.1796875" style="12" customWidth="1"/>
    <col min="2855" max="2857" width="7.453125" style="12" customWidth="1"/>
    <col min="2858" max="3087" width="10.1796875" style="12"/>
    <col min="3088" max="3088" width="41.54296875" style="12" customWidth="1"/>
    <col min="3089" max="3089" width="8.54296875" style="12" customWidth="1"/>
    <col min="3090" max="3103" width="7.453125" style="12" customWidth="1"/>
    <col min="3104" max="3104" width="8.54296875" style="12" customWidth="1"/>
    <col min="3105" max="3106" width="7.453125" style="12" customWidth="1"/>
    <col min="3107" max="3107" width="10.81640625" style="12" customWidth="1"/>
    <col min="3108" max="3108" width="10" style="12" customWidth="1"/>
    <col min="3109" max="3109" width="10.453125" style="12" customWidth="1"/>
    <col min="3110" max="3110" width="17.1796875" style="12" customWidth="1"/>
    <col min="3111" max="3113" width="7.453125" style="12" customWidth="1"/>
    <col min="3114" max="3343" width="10.1796875" style="12"/>
    <col min="3344" max="3344" width="41.54296875" style="12" customWidth="1"/>
    <col min="3345" max="3345" width="8.54296875" style="12" customWidth="1"/>
    <col min="3346" max="3359" width="7.453125" style="12" customWidth="1"/>
    <col min="3360" max="3360" width="8.54296875" style="12" customWidth="1"/>
    <col min="3361" max="3362" width="7.453125" style="12" customWidth="1"/>
    <col min="3363" max="3363" width="10.81640625" style="12" customWidth="1"/>
    <col min="3364" max="3364" width="10" style="12" customWidth="1"/>
    <col min="3365" max="3365" width="10.453125" style="12" customWidth="1"/>
    <col min="3366" max="3366" width="17.1796875" style="12" customWidth="1"/>
    <col min="3367" max="3369" width="7.453125" style="12" customWidth="1"/>
    <col min="3370" max="3599" width="10.1796875" style="12"/>
    <col min="3600" max="3600" width="41.54296875" style="12" customWidth="1"/>
    <col min="3601" max="3601" width="8.54296875" style="12" customWidth="1"/>
    <col min="3602" max="3615" width="7.453125" style="12" customWidth="1"/>
    <col min="3616" max="3616" width="8.54296875" style="12" customWidth="1"/>
    <col min="3617" max="3618" width="7.453125" style="12" customWidth="1"/>
    <col min="3619" max="3619" width="10.81640625" style="12" customWidth="1"/>
    <col min="3620" max="3620" width="10" style="12" customWidth="1"/>
    <col min="3621" max="3621" width="10.453125" style="12" customWidth="1"/>
    <col min="3622" max="3622" width="17.1796875" style="12" customWidth="1"/>
    <col min="3623" max="3625" width="7.453125" style="12" customWidth="1"/>
    <col min="3626" max="3855" width="10.1796875" style="12"/>
    <col min="3856" max="3856" width="41.54296875" style="12" customWidth="1"/>
    <col min="3857" max="3857" width="8.54296875" style="12" customWidth="1"/>
    <col min="3858" max="3871" width="7.453125" style="12" customWidth="1"/>
    <col min="3872" max="3872" width="8.54296875" style="12" customWidth="1"/>
    <col min="3873" max="3874" width="7.453125" style="12" customWidth="1"/>
    <col min="3875" max="3875" width="10.81640625" style="12" customWidth="1"/>
    <col min="3876" max="3876" width="10" style="12" customWidth="1"/>
    <col min="3877" max="3877" width="10.453125" style="12" customWidth="1"/>
    <col min="3878" max="3878" width="17.1796875" style="12" customWidth="1"/>
    <col min="3879" max="3881" width="7.453125" style="12" customWidth="1"/>
    <col min="3882" max="4111" width="10.1796875" style="12"/>
    <col min="4112" max="4112" width="41.54296875" style="12" customWidth="1"/>
    <col min="4113" max="4113" width="8.54296875" style="12" customWidth="1"/>
    <col min="4114" max="4127" width="7.453125" style="12" customWidth="1"/>
    <col min="4128" max="4128" width="8.54296875" style="12" customWidth="1"/>
    <col min="4129" max="4130" width="7.453125" style="12" customWidth="1"/>
    <col min="4131" max="4131" width="10.81640625" style="12" customWidth="1"/>
    <col min="4132" max="4132" width="10" style="12" customWidth="1"/>
    <col min="4133" max="4133" width="10.453125" style="12" customWidth="1"/>
    <col min="4134" max="4134" width="17.1796875" style="12" customWidth="1"/>
    <col min="4135" max="4137" width="7.453125" style="12" customWidth="1"/>
    <col min="4138" max="4367" width="10.1796875" style="12"/>
    <col min="4368" max="4368" width="41.54296875" style="12" customWidth="1"/>
    <col min="4369" max="4369" width="8.54296875" style="12" customWidth="1"/>
    <col min="4370" max="4383" width="7.453125" style="12" customWidth="1"/>
    <col min="4384" max="4384" width="8.54296875" style="12" customWidth="1"/>
    <col min="4385" max="4386" width="7.453125" style="12" customWidth="1"/>
    <col min="4387" max="4387" width="10.81640625" style="12" customWidth="1"/>
    <col min="4388" max="4388" width="10" style="12" customWidth="1"/>
    <col min="4389" max="4389" width="10.453125" style="12" customWidth="1"/>
    <col min="4390" max="4390" width="17.1796875" style="12" customWidth="1"/>
    <col min="4391" max="4393" width="7.453125" style="12" customWidth="1"/>
    <col min="4394" max="4623" width="10.1796875" style="12"/>
    <col min="4624" max="4624" width="41.54296875" style="12" customWidth="1"/>
    <col min="4625" max="4625" width="8.54296875" style="12" customWidth="1"/>
    <col min="4626" max="4639" width="7.453125" style="12" customWidth="1"/>
    <col min="4640" max="4640" width="8.54296875" style="12" customWidth="1"/>
    <col min="4641" max="4642" width="7.453125" style="12" customWidth="1"/>
    <col min="4643" max="4643" width="10.81640625" style="12" customWidth="1"/>
    <col min="4644" max="4644" width="10" style="12" customWidth="1"/>
    <col min="4645" max="4645" width="10.453125" style="12" customWidth="1"/>
    <col min="4646" max="4646" width="17.1796875" style="12" customWidth="1"/>
    <col min="4647" max="4649" width="7.453125" style="12" customWidth="1"/>
    <col min="4650" max="4879" width="10.1796875" style="12"/>
    <col min="4880" max="4880" width="41.54296875" style="12" customWidth="1"/>
    <col min="4881" max="4881" width="8.54296875" style="12" customWidth="1"/>
    <col min="4882" max="4895" width="7.453125" style="12" customWidth="1"/>
    <col min="4896" max="4896" width="8.54296875" style="12" customWidth="1"/>
    <col min="4897" max="4898" width="7.453125" style="12" customWidth="1"/>
    <col min="4899" max="4899" width="10.81640625" style="12" customWidth="1"/>
    <col min="4900" max="4900" width="10" style="12" customWidth="1"/>
    <col min="4901" max="4901" width="10.453125" style="12" customWidth="1"/>
    <col min="4902" max="4902" width="17.1796875" style="12" customWidth="1"/>
    <col min="4903" max="4905" width="7.453125" style="12" customWidth="1"/>
    <col min="4906" max="5135" width="10.1796875" style="12"/>
    <col min="5136" max="5136" width="41.54296875" style="12" customWidth="1"/>
    <col min="5137" max="5137" width="8.54296875" style="12" customWidth="1"/>
    <col min="5138" max="5151" width="7.453125" style="12" customWidth="1"/>
    <col min="5152" max="5152" width="8.54296875" style="12" customWidth="1"/>
    <col min="5153" max="5154" width="7.453125" style="12" customWidth="1"/>
    <col min="5155" max="5155" width="10.81640625" style="12" customWidth="1"/>
    <col min="5156" max="5156" width="10" style="12" customWidth="1"/>
    <col min="5157" max="5157" width="10.453125" style="12" customWidth="1"/>
    <col min="5158" max="5158" width="17.1796875" style="12" customWidth="1"/>
    <col min="5159" max="5161" width="7.453125" style="12" customWidth="1"/>
    <col min="5162" max="5391" width="10.1796875" style="12"/>
    <col min="5392" max="5392" width="41.54296875" style="12" customWidth="1"/>
    <col min="5393" max="5393" width="8.54296875" style="12" customWidth="1"/>
    <col min="5394" max="5407" width="7.453125" style="12" customWidth="1"/>
    <col min="5408" max="5408" width="8.54296875" style="12" customWidth="1"/>
    <col min="5409" max="5410" width="7.453125" style="12" customWidth="1"/>
    <col min="5411" max="5411" width="10.81640625" style="12" customWidth="1"/>
    <col min="5412" max="5412" width="10" style="12" customWidth="1"/>
    <col min="5413" max="5413" width="10.453125" style="12" customWidth="1"/>
    <col min="5414" max="5414" width="17.1796875" style="12" customWidth="1"/>
    <col min="5415" max="5417" width="7.453125" style="12" customWidth="1"/>
    <col min="5418" max="5647" width="10.1796875" style="12"/>
    <col min="5648" max="5648" width="41.54296875" style="12" customWidth="1"/>
    <col min="5649" max="5649" width="8.54296875" style="12" customWidth="1"/>
    <col min="5650" max="5663" width="7.453125" style="12" customWidth="1"/>
    <col min="5664" max="5664" width="8.54296875" style="12" customWidth="1"/>
    <col min="5665" max="5666" width="7.453125" style="12" customWidth="1"/>
    <col min="5667" max="5667" width="10.81640625" style="12" customWidth="1"/>
    <col min="5668" max="5668" width="10" style="12" customWidth="1"/>
    <col min="5669" max="5669" width="10.453125" style="12" customWidth="1"/>
    <col min="5670" max="5670" width="17.1796875" style="12" customWidth="1"/>
    <col min="5671" max="5673" width="7.453125" style="12" customWidth="1"/>
    <col min="5674" max="5903" width="10.1796875" style="12"/>
    <col min="5904" max="5904" width="41.54296875" style="12" customWidth="1"/>
    <col min="5905" max="5905" width="8.54296875" style="12" customWidth="1"/>
    <col min="5906" max="5919" width="7.453125" style="12" customWidth="1"/>
    <col min="5920" max="5920" width="8.54296875" style="12" customWidth="1"/>
    <col min="5921" max="5922" width="7.453125" style="12" customWidth="1"/>
    <col min="5923" max="5923" width="10.81640625" style="12" customWidth="1"/>
    <col min="5924" max="5924" width="10" style="12" customWidth="1"/>
    <col min="5925" max="5925" width="10.453125" style="12" customWidth="1"/>
    <col min="5926" max="5926" width="17.1796875" style="12" customWidth="1"/>
    <col min="5927" max="5929" width="7.453125" style="12" customWidth="1"/>
    <col min="5930" max="6159" width="10.1796875" style="12"/>
    <col min="6160" max="6160" width="41.54296875" style="12" customWidth="1"/>
    <col min="6161" max="6161" width="8.54296875" style="12" customWidth="1"/>
    <col min="6162" max="6175" width="7.453125" style="12" customWidth="1"/>
    <col min="6176" max="6176" width="8.54296875" style="12" customWidth="1"/>
    <col min="6177" max="6178" width="7.453125" style="12" customWidth="1"/>
    <col min="6179" max="6179" width="10.81640625" style="12" customWidth="1"/>
    <col min="6180" max="6180" width="10" style="12" customWidth="1"/>
    <col min="6181" max="6181" width="10.453125" style="12" customWidth="1"/>
    <col min="6182" max="6182" width="17.1796875" style="12" customWidth="1"/>
    <col min="6183" max="6185" width="7.453125" style="12" customWidth="1"/>
    <col min="6186" max="6415" width="10.1796875" style="12"/>
    <col min="6416" max="6416" width="41.54296875" style="12" customWidth="1"/>
    <col min="6417" max="6417" width="8.54296875" style="12" customWidth="1"/>
    <col min="6418" max="6431" width="7.453125" style="12" customWidth="1"/>
    <col min="6432" max="6432" width="8.54296875" style="12" customWidth="1"/>
    <col min="6433" max="6434" width="7.453125" style="12" customWidth="1"/>
    <col min="6435" max="6435" width="10.81640625" style="12" customWidth="1"/>
    <col min="6436" max="6436" width="10" style="12" customWidth="1"/>
    <col min="6437" max="6437" width="10.453125" style="12" customWidth="1"/>
    <col min="6438" max="6438" width="17.1796875" style="12" customWidth="1"/>
    <col min="6439" max="6441" width="7.453125" style="12" customWidth="1"/>
    <col min="6442" max="6671" width="10.1796875" style="12"/>
    <col min="6672" max="6672" width="41.54296875" style="12" customWidth="1"/>
    <col min="6673" max="6673" width="8.54296875" style="12" customWidth="1"/>
    <col min="6674" max="6687" width="7.453125" style="12" customWidth="1"/>
    <col min="6688" max="6688" width="8.54296875" style="12" customWidth="1"/>
    <col min="6689" max="6690" width="7.453125" style="12" customWidth="1"/>
    <col min="6691" max="6691" width="10.81640625" style="12" customWidth="1"/>
    <col min="6692" max="6692" width="10" style="12" customWidth="1"/>
    <col min="6693" max="6693" width="10.453125" style="12" customWidth="1"/>
    <col min="6694" max="6694" width="17.1796875" style="12" customWidth="1"/>
    <col min="6695" max="6697" width="7.453125" style="12" customWidth="1"/>
    <col min="6698" max="6927" width="10.1796875" style="12"/>
    <col min="6928" max="6928" width="41.54296875" style="12" customWidth="1"/>
    <col min="6929" max="6929" width="8.54296875" style="12" customWidth="1"/>
    <col min="6930" max="6943" width="7.453125" style="12" customWidth="1"/>
    <col min="6944" max="6944" width="8.54296875" style="12" customWidth="1"/>
    <col min="6945" max="6946" width="7.453125" style="12" customWidth="1"/>
    <col min="6947" max="6947" width="10.81640625" style="12" customWidth="1"/>
    <col min="6948" max="6948" width="10" style="12" customWidth="1"/>
    <col min="6949" max="6949" width="10.453125" style="12" customWidth="1"/>
    <col min="6950" max="6950" width="17.1796875" style="12" customWidth="1"/>
    <col min="6951" max="6953" width="7.453125" style="12" customWidth="1"/>
    <col min="6954" max="7183" width="10.1796875" style="12"/>
    <col min="7184" max="7184" width="41.54296875" style="12" customWidth="1"/>
    <col min="7185" max="7185" width="8.54296875" style="12" customWidth="1"/>
    <col min="7186" max="7199" width="7.453125" style="12" customWidth="1"/>
    <col min="7200" max="7200" width="8.54296875" style="12" customWidth="1"/>
    <col min="7201" max="7202" width="7.453125" style="12" customWidth="1"/>
    <col min="7203" max="7203" width="10.81640625" style="12" customWidth="1"/>
    <col min="7204" max="7204" width="10" style="12" customWidth="1"/>
    <col min="7205" max="7205" width="10.453125" style="12" customWidth="1"/>
    <col min="7206" max="7206" width="17.1796875" style="12" customWidth="1"/>
    <col min="7207" max="7209" width="7.453125" style="12" customWidth="1"/>
    <col min="7210" max="7439" width="10.1796875" style="12"/>
    <col min="7440" max="7440" width="41.54296875" style="12" customWidth="1"/>
    <col min="7441" max="7441" width="8.54296875" style="12" customWidth="1"/>
    <col min="7442" max="7455" width="7.453125" style="12" customWidth="1"/>
    <col min="7456" max="7456" width="8.54296875" style="12" customWidth="1"/>
    <col min="7457" max="7458" width="7.453125" style="12" customWidth="1"/>
    <col min="7459" max="7459" width="10.81640625" style="12" customWidth="1"/>
    <col min="7460" max="7460" width="10" style="12" customWidth="1"/>
    <col min="7461" max="7461" width="10.453125" style="12" customWidth="1"/>
    <col min="7462" max="7462" width="17.1796875" style="12" customWidth="1"/>
    <col min="7463" max="7465" width="7.453125" style="12" customWidth="1"/>
    <col min="7466" max="7695" width="10.1796875" style="12"/>
    <col min="7696" max="7696" width="41.54296875" style="12" customWidth="1"/>
    <col min="7697" max="7697" width="8.54296875" style="12" customWidth="1"/>
    <col min="7698" max="7711" width="7.453125" style="12" customWidth="1"/>
    <col min="7712" max="7712" width="8.54296875" style="12" customWidth="1"/>
    <col min="7713" max="7714" width="7.453125" style="12" customWidth="1"/>
    <col min="7715" max="7715" width="10.81640625" style="12" customWidth="1"/>
    <col min="7716" max="7716" width="10" style="12" customWidth="1"/>
    <col min="7717" max="7717" width="10.453125" style="12" customWidth="1"/>
    <col min="7718" max="7718" width="17.1796875" style="12" customWidth="1"/>
    <col min="7719" max="7721" width="7.453125" style="12" customWidth="1"/>
    <col min="7722" max="7951" width="10.1796875" style="12"/>
    <col min="7952" max="7952" width="41.54296875" style="12" customWidth="1"/>
    <col min="7953" max="7953" width="8.54296875" style="12" customWidth="1"/>
    <col min="7954" max="7967" width="7.453125" style="12" customWidth="1"/>
    <col min="7968" max="7968" width="8.54296875" style="12" customWidth="1"/>
    <col min="7969" max="7970" width="7.453125" style="12" customWidth="1"/>
    <col min="7971" max="7971" width="10.81640625" style="12" customWidth="1"/>
    <col min="7972" max="7972" width="10" style="12" customWidth="1"/>
    <col min="7973" max="7973" width="10.453125" style="12" customWidth="1"/>
    <col min="7974" max="7974" width="17.1796875" style="12" customWidth="1"/>
    <col min="7975" max="7977" width="7.453125" style="12" customWidth="1"/>
    <col min="7978" max="8207" width="10.1796875" style="12"/>
    <col min="8208" max="8208" width="41.54296875" style="12" customWidth="1"/>
    <col min="8209" max="8209" width="8.54296875" style="12" customWidth="1"/>
    <col min="8210" max="8223" width="7.453125" style="12" customWidth="1"/>
    <col min="8224" max="8224" width="8.54296875" style="12" customWidth="1"/>
    <col min="8225" max="8226" width="7.453125" style="12" customWidth="1"/>
    <col min="8227" max="8227" width="10.81640625" style="12" customWidth="1"/>
    <col min="8228" max="8228" width="10" style="12" customWidth="1"/>
    <col min="8229" max="8229" width="10.453125" style="12" customWidth="1"/>
    <col min="8230" max="8230" width="17.1796875" style="12" customWidth="1"/>
    <col min="8231" max="8233" width="7.453125" style="12" customWidth="1"/>
    <col min="8234" max="8463" width="10.1796875" style="12"/>
    <col min="8464" max="8464" width="41.54296875" style="12" customWidth="1"/>
    <col min="8465" max="8465" width="8.54296875" style="12" customWidth="1"/>
    <col min="8466" max="8479" width="7.453125" style="12" customWidth="1"/>
    <col min="8480" max="8480" width="8.54296875" style="12" customWidth="1"/>
    <col min="8481" max="8482" width="7.453125" style="12" customWidth="1"/>
    <col min="8483" max="8483" width="10.81640625" style="12" customWidth="1"/>
    <col min="8484" max="8484" width="10" style="12" customWidth="1"/>
    <col min="8485" max="8485" width="10.453125" style="12" customWidth="1"/>
    <col min="8486" max="8486" width="17.1796875" style="12" customWidth="1"/>
    <col min="8487" max="8489" width="7.453125" style="12" customWidth="1"/>
    <col min="8490" max="8719" width="10.1796875" style="12"/>
    <col min="8720" max="8720" width="41.54296875" style="12" customWidth="1"/>
    <col min="8721" max="8721" width="8.54296875" style="12" customWidth="1"/>
    <col min="8722" max="8735" width="7.453125" style="12" customWidth="1"/>
    <col min="8736" max="8736" width="8.54296875" style="12" customWidth="1"/>
    <col min="8737" max="8738" width="7.453125" style="12" customWidth="1"/>
    <col min="8739" max="8739" width="10.81640625" style="12" customWidth="1"/>
    <col min="8740" max="8740" width="10" style="12" customWidth="1"/>
    <col min="8741" max="8741" width="10.453125" style="12" customWidth="1"/>
    <col min="8742" max="8742" width="17.1796875" style="12" customWidth="1"/>
    <col min="8743" max="8745" width="7.453125" style="12" customWidth="1"/>
    <col min="8746" max="8975" width="10.1796875" style="12"/>
    <col min="8976" max="8976" width="41.54296875" style="12" customWidth="1"/>
    <col min="8977" max="8977" width="8.54296875" style="12" customWidth="1"/>
    <col min="8978" max="8991" width="7.453125" style="12" customWidth="1"/>
    <col min="8992" max="8992" width="8.54296875" style="12" customWidth="1"/>
    <col min="8993" max="8994" width="7.453125" style="12" customWidth="1"/>
    <col min="8995" max="8995" width="10.81640625" style="12" customWidth="1"/>
    <col min="8996" max="8996" width="10" style="12" customWidth="1"/>
    <col min="8997" max="8997" width="10.453125" style="12" customWidth="1"/>
    <col min="8998" max="8998" width="17.1796875" style="12" customWidth="1"/>
    <col min="8999" max="9001" width="7.453125" style="12" customWidth="1"/>
    <col min="9002" max="9231" width="10.1796875" style="12"/>
    <col min="9232" max="9232" width="41.54296875" style="12" customWidth="1"/>
    <col min="9233" max="9233" width="8.54296875" style="12" customWidth="1"/>
    <col min="9234" max="9247" width="7.453125" style="12" customWidth="1"/>
    <col min="9248" max="9248" width="8.54296875" style="12" customWidth="1"/>
    <col min="9249" max="9250" width="7.453125" style="12" customWidth="1"/>
    <col min="9251" max="9251" width="10.81640625" style="12" customWidth="1"/>
    <col min="9252" max="9252" width="10" style="12" customWidth="1"/>
    <col min="9253" max="9253" width="10.453125" style="12" customWidth="1"/>
    <col min="9254" max="9254" width="17.1796875" style="12" customWidth="1"/>
    <col min="9255" max="9257" width="7.453125" style="12" customWidth="1"/>
    <col min="9258" max="9487" width="10.1796875" style="12"/>
    <col min="9488" max="9488" width="41.54296875" style="12" customWidth="1"/>
    <col min="9489" max="9489" width="8.54296875" style="12" customWidth="1"/>
    <col min="9490" max="9503" width="7.453125" style="12" customWidth="1"/>
    <col min="9504" max="9504" width="8.54296875" style="12" customWidth="1"/>
    <col min="9505" max="9506" width="7.453125" style="12" customWidth="1"/>
    <col min="9507" max="9507" width="10.81640625" style="12" customWidth="1"/>
    <col min="9508" max="9508" width="10" style="12" customWidth="1"/>
    <col min="9509" max="9509" width="10.453125" style="12" customWidth="1"/>
    <col min="9510" max="9510" width="17.1796875" style="12" customWidth="1"/>
    <col min="9511" max="9513" width="7.453125" style="12" customWidth="1"/>
    <col min="9514" max="9743" width="10.1796875" style="12"/>
    <col min="9744" max="9744" width="41.54296875" style="12" customWidth="1"/>
    <col min="9745" max="9745" width="8.54296875" style="12" customWidth="1"/>
    <col min="9746" max="9759" width="7.453125" style="12" customWidth="1"/>
    <col min="9760" max="9760" width="8.54296875" style="12" customWidth="1"/>
    <col min="9761" max="9762" width="7.453125" style="12" customWidth="1"/>
    <col min="9763" max="9763" width="10.81640625" style="12" customWidth="1"/>
    <col min="9764" max="9764" width="10" style="12" customWidth="1"/>
    <col min="9765" max="9765" width="10.453125" style="12" customWidth="1"/>
    <col min="9766" max="9766" width="17.1796875" style="12" customWidth="1"/>
    <col min="9767" max="9769" width="7.453125" style="12" customWidth="1"/>
    <col min="9770" max="9999" width="10.1796875" style="12"/>
    <col min="10000" max="10000" width="41.54296875" style="12" customWidth="1"/>
    <col min="10001" max="10001" width="8.54296875" style="12" customWidth="1"/>
    <col min="10002" max="10015" width="7.453125" style="12" customWidth="1"/>
    <col min="10016" max="10016" width="8.54296875" style="12" customWidth="1"/>
    <col min="10017" max="10018" width="7.453125" style="12" customWidth="1"/>
    <col min="10019" max="10019" width="10.81640625" style="12" customWidth="1"/>
    <col min="10020" max="10020" width="10" style="12" customWidth="1"/>
    <col min="10021" max="10021" width="10.453125" style="12" customWidth="1"/>
    <col min="10022" max="10022" width="17.1796875" style="12" customWidth="1"/>
    <col min="10023" max="10025" width="7.453125" style="12" customWidth="1"/>
    <col min="10026" max="10255" width="10.1796875" style="12"/>
    <col min="10256" max="10256" width="41.54296875" style="12" customWidth="1"/>
    <col min="10257" max="10257" width="8.54296875" style="12" customWidth="1"/>
    <col min="10258" max="10271" width="7.453125" style="12" customWidth="1"/>
    <col min="10272" max="10272" width="8.54296875" style="12" customWidth="1"/>
    <col min="10273" max="10274" width="7.453125" style="12" customWidth="1"/>
    <col min="10275" max="10275" width="10.81640625" style="12" customWidth="1"/>
    <col min="10276" max="10276" width="10" style="12" customWidth="1"/>
    <col min="10277" max="10277" width="10.453125" style="12" customWidth="1"/>
    <col min="10278" max="10278" width="17.1796875" style="12" customWidth="1"/>
    <col min="10279" max="10281" width="7.453125" style="12" customWidth="1"/>
    <col min="10282" max="10511" width="10.1796875" style="12"/>
    <col min="10512" max="10512" width="41.54296875" style="12" customWidth="1"/>
    <col min="10513" max="10513" width="8.54296875" style="12" customWidth="1"/>
    <col min="10514" max="10527" width="7.453125" style="12" customWidth="1"/>
    <col min="10528" max="10528" width="8.54296875" style="12" customWidth="1"/>
    <col min="10529" max="10530" width="7.453125" style="12" customWidth="1"/>
    <col min="10531" max="10531" width="10.81640625" style="12" customWidth="1"/>
    <col min="10532" max="10532" width="10" style="12" customWidth="1"/>
    <col min="10533" max="10533" width="10.453125" style="12" customWidth="1"/>
    <col min="10534" max="10534" width="17.1796875" style="12" customWidth="1"/>
    <col min="10535" max="10537" width="7.453125" style="12" customWidth="1"/>
    <col min="10538" max="10767" width="10.1796875" style="12"/>
    <col min="10768" max="10768" width="41.54296875" style="12" customWidth="1"/>
    <col min="10769" max="10769" width="8.54296875" style="12" customWidth="1"/>
    <col min="10770" max="10783" width="7.453125" style="12" customWidth="1"/>
    <col min="10784" max="10784" width="8.54296875" style="12" customWidth="1"/>
    <col min="10785" max="10786" width="7.453125" style="12" customWidth="1"/>
    <col min="10787" max="10787" width="10.81640625" style="12" customWidth="1"/>
    <col min="10788" max="10788" width="10" style="12" customWidth="1"/>
    <col min="10789" max="10789" width="10.453125" style="12" customWidth="1"/>
    <col min="10790" max="10790" width="17.1796875" style="12" customWidth="1"/>
    <col min="10791" max="10793" width="7.453125" style="12" customWidth="1"/>
    <col min="10794" max="11023" width="10.1796875" style="12"/>
    <col min="11024" max="11024" width="41.54296875" style="12" customWidth="1"/>
    <col min="11025" max="11025" width="8.54296875" style="12" customWidth="1"/>
    <col min="11026" max="11039" width="7.453125" style="12" customWidth="1"/>
    <col min="11040" max="11040" width="8.54296875" style="12" customWidth="1"/>
    <col min="11041" max="11042" width="7.453125" style="12" customWidth="1"/>
    <col min="11043" max="11043" width="10.81640625" style="12" customWidth="1"/>
    <col min="11044" max="11044" width="10" style="12" customWidth="1"/>
    <col min="11045" max="11045" width="10.453125" style="12" customWidth="1"/>
    <col min="11046" max="11046" width="17.1796875" style="12" customWidth="1"/>
    <col min="11047" max="11049" width="7.453125" style="12" customWidth="1"/>
    <col min="11050" max="11279" width="10.1796875" style="12"/>
    <col min="11280" max="11280" width="41.54296875" style="12" customWidth="1"/>
    <col min="11281" max="11281" width="8.54296875" style="12" customWidth="1"/>
    <col min="11282" max="11295" width="7.453125" style="12" customWidth="1"/>
    <col min="11296" max="11296" width="8.54296875" style="12" customWidth="1"/>
    <col min="11297" max="11298" width="7.453125" style="12" customWidth="1"/>
    <col min="11299" max="11299" width="10.81640625" style="12" customWidth="1"/>
    <col min="11300" max="11300" width="10" style="12" customWidth="1"/>
    <col min="11301" max="11301" width="10.453125" style="12" customWidth="1"/>
    <col min="11302" max="11302" width="17.1796875" style="12" customWidth="1"/>
    <col min="11303" max="11305" width="7.453125" style="12" customWidth="1"/>
    <col min="11306" max="11535" width="10.1796875" style="12"/>
    <col min="11536" max="11536" width="41.54296875" style="12" customWidth="1"/>
    <col min="11537" max="11537" width="8.54296875" style="12" customWidth="1"/>
    <col min="11538" max="11551" width="7.453125" style="12" customWidth="1"/>
    <col min="11552" max="11552" width="8.54296875" style="12" customWidth="1"/>
    <col min="11553" max="11554" width="7.453125" style="12" customWidth="1"/>
    <col min="11555" max="11555" width="10.81640625" style="12" customWidth="1"/>
    <col min="11556" max="11556" width="10" style="12" customWidth="1"/>
    <col min="11557" max="11557" width="10.453125" style="12" customWidth="1"/>
    <col min="11558" max="11558" width="17.1796875" style="12" customWidth="1"/>
    <col min="11559" max="11561" width="7.453125" style="12" customWidth="1"/>
    <col min="11562" max="11791" width="10.1796875" style="12"/>
    <col min="11792" max="11792" width="41.54296875" style="12" customWidth="1"/>
    <col min="11793" max="11793" width="8.54296875" style="12" customWidth="1"/>
    <col min="11794" max="11807" width="7.453125" style="12" customWidth="1"/>
    <col min="11808" max="11808" width="8.54296875" style="12" customWidth="1"/>
    <col min="11809" max="11810" width="7.453125" style="12" customWidth="1"/>
    <col min="11811" max="11811" width="10.81640625" style="12" customWidth="1"/>
    <col min="11812" max="11812" width="10" style="12" customWidth="1"/>
    <col min="11813" max="11813" width="10.453125" style="12" customWidth="1"/>
    <col min="11814" max="11814" width="17.1796875" style="12" customWidth="1"/>
    <col min="11815" max="11817" width="7.453125" style="12" customWidth="1"/>
    <col min="11818" max="12047" width="10.1796875" style="12"/>
    <col min="12048" max="12048" width="41.54296875" style="12" customWidth="1"/>
    <col min="12049" max="12049" width="8.54296875" style="12" customWidth="1"/>
    <col min="12050" max="12063" width="7.453125" style="12" customWidth="1"/>
    <col min="12064" max="12064" width="8.54296875" style="12" customWidth="1"/>
    <col min="12065" max="12066" width="7.453125" style="12" customWidth="1"/>
    <col min="12067" max="12067" width="10.81640625" style="12" customWidth="1"/>
    <col min="12068" max="12068" width="10" style="12" customWidth="1"/>
    <col min="12069" max="12069" width="10.453125" style="12" customWidth="1"/>
    <col min="12070" max="12070" width="17.1796875" style="12" customWidth="1"/>
    <col min="12071" max="12073" width="7.453125" style="12" customWidth="1"/>
    <col min="12074" max="12303" width="10.1796875" style="12"/>
    <col min="12304" max="12304" width="41.54296875" style="12" customWidth="1"/>
    <col min="12305" max="12305" width="8.54296875" style="12" customWidth="1"/>
    <col min="12306" max="12319" width="7.453125" style="12" customWidth="1"/>
    <col min="12320" max="12320" width="8.54296875" style="12" customWidth="1"/>
    <col min="12321" max="12322" width="7.453125" style="12" customWidth="1"/>
    <col min="12323" max="12323" width="10.81640625" style="12" customWidth="1"/>
    <col min="12324" max="12324" width="10" style="12" customWidth="1"/>
    <col min="12325" max="12325" width="10.453125" style="12" customWidth="1"/>
    <col min="12326" max="12326" width="17.1796875" style="12" customWidth="1"/>
    <col min="12327" max="12329" width="7.453125" style="12" customWidth="1"/>
    <col min="12330" max="12559" width="10.1796875" style="12"/>
    <col min="12560" max="12560" width="41.54296875" style="12" customWidth="1"/>
    <col min="12561" max="12561" width="8.54296875" style="12" customWidth="1"/>
    <col min="12562" max="12575" width="7.453125" style="12" customWidth="1"/>
    <col min="12576" max="12576" width="8.54296875" style="12" customWidth="1"/>
    <col min="12577" max="12578" width="7.453125" style="12" customWidth="1"/>
    <col min="12579" max="12579" width="10.81640625" style="12" customWidth="1"/>
    <col min="12580" max="12580" width="10" style="12" customWidth="1"/>
    <col min="12581" max="12581" width="10.453125" style="12" customWidth="1"/>
    <col min="12582" max="12582" width="17.1796875" style="12" customWidth="1"/>
    <col min="12583" max="12585" width="7.453125" style="12" customWidth="1"/>
    <col min="12586" max="12815" width="10.1796875" style="12"/>
    <col min="12816" max="12816" width="41.54296875" style="12" customWidth="1"/>
    <col min="12817" max="12817" width="8.54296875" style="12" customWidth="1"/>
    <col min="12818" max="12831" width="7.453125" style="12" customWidth="1"/>
    <col min="12832" max="12832" width="8.54296875" style="12" customWidth="1"/>
    <col min="12833" max="12834" width="7.453125" style="12" customWidth="1"/>
    <col min="12835" max="12835" width="10.81640625" style="12" customWidth="1"/>
    <col min="12836" max="12836" width="10" style="12" customWidth="1"/>
    <col min="12837" max="12837" width="10.453125" style="12" customWidth="1"/>
    <col min="12838" max="12838" width="17.1796875" style="12" customWidth="1"/>
    <col min="12839" max="12841" width="7.453125" style="12" customWidth="1"/>
    <col min="12842" max="13071" width="10.1796875" style="12"/>
    <col min="13072" max="13072" width="41.54296875" style="12" customWidth="1"/>
    <col min="13073" max="13073" width="8.54296875" style="12" customWidth="1"/>
    <col min="13074" max="13087" width="7.453125" style="12" customWidth="1"/>
    <col min="13088" max="13088" width="8.54296875" style="12" customWidth="1"/>
    <col min="13089" max="13090" width="7.453125" style="12" customWidth="1"/>
    <col min="13091" max="13091" width="10.81640625" style="12" customWidth="1"/>
    <col min="13092" max="13092" width="10" style="12" customWidth="1"/>
    <col min="13093" max="13093" width="10.453125" style="12" customWidth="1"/>
    <col min="13094" max="13094" width="17.1796875" style="12" customWidth="1"/>
    <col min="13095" max="13097" width="7.453125" style="12" customWidth="1"/>
    <col min="13098" max="13327" width="10.1796875" style="12"/>
    <col min="13328" max="13328" width="41.54296875" style="12" customWidth="1"/>
    <col min="13329" max="13329" width="8.54296875" style="12" customWidth="1"/>
    <col min="13330" max="13343" width="7.453125" style="12" customWidth="1"/>
    <col min="13344" max="13344" width="8.54296875" style="12" customWidth="1"/>
    <col min="13345" max="13346" width="7.453125" style="12" customWidth="1"/>
    <col min="13347" max="13347" width="10.81640625" style="12" customWidth="1"/>
    <col min="13348" max="13348" width="10" style="12" customWidth="1"/>
    <col min="13349" max="13349" width="10.453125" style="12" customWidth="1"/>
    <col min="13350" max="13350" width="17.1796875" style="12" customWidth="1"/>
    <col min="13351" max="13353" width="7.453125" style="12" customWidth="1"/>
    <col min="13354" max="13583" width="10.1796875" style="12"/>
    <col min="13584" max="13584" width="41.54296875" style="12" customWidth="1"/>
    <col min="13585" max="13585" width="8.54296875" style="12" customWidth="1"/>
    <col min="13586" max="13599" width="7.453125" style="12" customWidth="1"/>
    <col min="13600" max="13600" width="8.54296875" style="12" customWidth="1"/>
    <col min="13601" max="13602" width="7.453125" style="12" customWidth="1"/>
    <col min="13603" max="13603" width="10.81640625" style="12" customWidth="1"/>
    <col min="13604" max="13604" width="10" style="12" customWidth="1"/>
    <col min="13605" max="13605" width="10.453125" style="12" customWidth="1"/>
    <col min="13606" max="13606" width="17.1796875" style="12" customWidth="1"/>
    <col min="13607" max="13609" width="7.453125" style="12" customWidth="1"/>
    <col min="13610" max="13839" width="10.1796875" style="12"/>
    <col min="13840" max="13840" width="41.54296875" style="12" customWidth="1"/>
    <col min="13841" max="13841" width="8.54296875" style="12" customWidth="1"/>
    <col min="13842" max="13855" width="7.453125" style="12" customWidth="1"/>
    <col min="13856" max="13856" width="8.54296875" style="12" customWidth="1"/>
    <col min="13857" max="13858" width="7.453125" style="12" customWidth="1"/>
    <col min="13859" max="13859" width="10.81640625" style="12" customWidth="1"/>
    <col min="13860" max="13860" width="10" style="12" customWidth="1"/>
    <col min="13861" max="13861" width="10.453125" style="12" customWidth="1"/>
    <col min="13862" max="13862" width="17.1796875" style="12" customWidth="1"/>
    <col min="13863" max="13865" width="7.453125" style="12" customWidth="1"/>
    <col min="13866" max="14095" width="10.1796875" style="12"/>
    <col min="14096" max="14096" width="41.54296875" style="12" customWidth="1"/>
    <col min="14097" max="14097" width="8.54296875" style="12" customWidth="1"/>
    <col min="14098" max="14111" width="7.453125" style="12" customWidth="1"/>
    <col min="14112" max="14112" width="8.54296875" style="12" customWidth="1"/>
    <col min="14113" max="14114" width="7.453125" style="12" customWidth="1"/>
    <col min="14115" max="14115" width="10.81640625" style="12" customWidth="1"/>
    <col min="14116" max="14116" width="10" style="12" customWidth="1"/>
    <col min="14117" max="14117" width="10.453125" style="12" customWidth="1"/>
    <col min="14118" max="14118" width="17.1796875" style="12" customWidth="1"/>
    <col min="14119" max="14121" width="7.453125" style="12" customWidth="1"/>
    <col min="14122" max="14351" width="10.1796875" style="12"/>
    <col min="14352" max="14352" width="41.54296875" style="12" customWidth="1"/>
    <col min="14353" max="14353" width="8.54296875" style="12" customWidth="1"/>
    <col min="14354" max="14367" width="7.453125" style="12" customWidth="1"/>
    <col min="14368" max="14368" width="8.54296875" style="12" customWidth="1"/>
    <col min="14369" max="14370" width="7.453125" style="12" customWidth="1"/>
    <col min="14371" max="14371" width="10.81640625" style="12" customWidth="1"/>
    <col min="14372" max="14372" width="10" style="12" customWidth="1"/>
    <col min="14373" max="14373" width="10.453125" style="12" customWidth="1"/>
    <col min="14374" max="14374" width="17.1796875" style="12" customWidth="1"/>
    <col min="14375" max="14377" width="7.453125" style="12" customWidth="1"/>
    <col min="14378" max="14607" width="10.1796875" style="12"/>
    <col min="14608" max="14608" width="41.54296875" style="12" customWidth="1"/>
    <col min="14609" max="14609" width="8.54296875" style="12" customWidth="1"/>
    <col min="14610" max="14623" width="7.453125" style="12" customWidth="1"/>
    <col min="14624" max="14624" width="8.54296875" style="12" customWidth="1"/>
    <col min="14625" max="14626" width="7.453125" style="12" customWidth="1"/>
    <col min="14627" max="14627" width="10.81640625" style="12" customWidth="1"/>
    <col min="14628" max="14628" width="10" style="12" customWidth="1"/>
    <col min="14629" max="14629" width="10.453125" style="12" customWidth="1"/>
    <col min="14630" max="14630" width="17.1796875" style="12" customWidth="1"/>
    <col min="14631" max="14633" width="7.453125" style="12" customWidth="1"/>
    <col min="14634" max="14863" width="10.1796875" style="12"/>
    <col min="14864" max="14864" width="41.54296875" style="12" customWidth="1"/>
    <col min="14865" max="14865" width="8.54296875" style="12" customWidth="1"/>
    <col min="14866" max="14879" width="7.453125" style="12" customWidth="1"/>
    <col min="14880" max="14880" width="8.54296875" style="12" customWidth="1"/>
    <col min="14881" max="14882" width="7.453125" style="12" customWidth="1"/>
    <col min="14883" max="14883" width="10.81640625" style="12" customWidth="1"/>
    <col min="14884" max="14884" width="10" style="12" customWidth="1"/>
    <col min="14885" max="14885" width="10.453125" style="12" customWidth="1"/>
    <col min="14886" max="14886" width="17.1796875" style="12" customWidth="1"/>
    <col min="14887" max="14889" width="7.453125" style="12" customWidth="1"/>
    <col min="14890" max="15119" width="10.1796875" style="12"/>
    <col min="15120" max="15120" width="41.54296875" style="12" customWidth="1"/>
    <col min="15121" max="15121" width="8.54296875" style="12" customWidth="1"/>
    <col min="15122" max="15135" width="7.453125" style="12" customWidth="1"/>
    <col min="15136" max="15136" width="8.54296875" style="12" customWidth="1"/>
    <col min="15137" max="15138" width="7.453125" style="12" customWidth="1"/>
    <col min="15139" max="15139" width="10.81640625" style="12" customWidth="1"/>
    <col min="15140" max="15140" width="10" style="12" customWidth="1"/>
    <col min="15141" max="15141" width="10.453125" style="12" customWidth="1"/>
    <col min="15142" max="15142" width="17.1796875" style="12" customWidth="1"/>
    <col min="15143" max="15145" width="7.453125" style="12" customWidth="1"/>
    <col min="15146" max="15375" width="10.1796875" style="12"/>
    <col min="15376" max="15376" width="41.54296875" style="12" customWidth="1"/>
    <col min="15377" max="15377" width="8.54296875" style="12" customWidth="1"/>
    <col min="15378" max="15391" width="7.453125" style="12" customWidth="1"/>
    <col min="15392" max="15392" width="8.54296875" style="12" customWidth="1"/>
    <col min="15393" max="15394" width="7.453125" style="12" customWidth="1"/>
    <col min="15395" max="15395" width="10.81640625" style="12" customWidth="1"/>
    <col min="15396" max="15396" width="10" style="12" customWidth="1"/>
    <col min="15397" max="15397" width="10.453125" style="12" customWidth="1"/>
    <col min="15398" max="15398" width="17.1796875" style="12" customWidth="1"/>
    <col min="15399" max="15401" width="7.453125" style="12" customWidth="1"/>
    <col min="15402" max="15631" width="10.1796875" style="12"/>
    <col min="15632" max="15632" width="41.54296875" style="12" customWidth="1"/>
    <col min="15633" max="15633" width="8.54296875" style="12" customWidth="1"/>
    <col min="15634" max="15647" width="7.453125" style="12" customWidth="1"/>
    <col min="15648" max="15648" width="8.54296875" style="12" customWidth="1"/>
    <col min="15649" max="15650" width="7.453125" style="12" customWidth="1"/>
    <col min="15651" max="15651" width="10.81640625" style="12" customWidth="1"/>
    <col min="15652" max="15652" width="10" style="12" customWidth="1"/>
    <col min="15653" max="15653" width="10.453125" style="12" customWidth="1"/>
    <col min="15654" max="15654" width="17.1796875" style="12" customWidth="1"/>
    <col min="15655" max="15657" width="7.453125" style="12" customWidth="1"/>
    <col min="15658" max="15887" width="10.1796875" style="12"/>
    <col min="15888" max="15888" width="41.54296875" style="12" customWidth="1"/>
    <col min="15889" max="15889" width="8.54296875" style="12" customWidth="1"/>
    <col min="15890" max="15903" width="7.453125" style="12" customWidth="1"/>
    <col min="15904" max="15904" width="8.54296875" style="12" customWidth="1"/>
    <col min="15905" max="15906" width="7.453125" style="12" customWidth="1"/>
    <col min="15907" max="15907" width="10.81640625" style="12" customWidth="1"/>
    <col min="15908" max="15908" width="10" style="12" customWidth="1"/>
    <col min="15909" max="15909" width="10.453125" style="12" customWidth="1"/>
    <col min="15910" max="15910" width="17.1796875" style="12" customWidth="1"/>
    <col min="15911" max="15913" width="7.453125" style="12" customWidth="1"/>
    <col min="15914" max="16143" width="10.1796875" style="12"/>
    <col min="16144" max="16144" width="41.54296875" style="12" customWidth="1"/>
    <col min="16145" max="16145" width="8.54296875" style="12" customWidth="1"/>
    <col min="16146" max="16159" width="7.453125" style="12" customWidth="1"/>
    <col min="16160" max="16160" width="8.54296875" style="12" customWidth="1"/>
    <col min="16161" max="16162" width="7.453125" style="12" customWidth="1"/>
    <col min="16163" max="16163" width="10.81640625" style="12" customWidth="1"/>
    <col min="16164" max="16164" width="10" style="12" customWidth="1"/>
    <col min="16165" max="16165" width="10.453125" style="12" customWidth="1"/>
    <col min="16166" max="16166" width="17.1796875" style="12" customWidth="1"/>
    <col min="16167" max="16169" width="7.453125" style="12" customWidth="1"/>
    <col min="16170" max="16384" width="10.1796875" style="12"/>
  </cols>
  <sheetData>
    <row r="1" spans="1:46" s="184" customFormat="1" ht="26">
      <c r="A1" s="1" t="s">
        <v>421</v>
      </c>
      <c r="B1" s="2" t="s">
        <v>422</v>
      </c>
      <c r="C1" s="3" t="s">
        <v>423</v>
      </c>
      <c r="D1" s="3" t="s">
        <v>516</v>
      </c>
      <c r="E1" s="4" t="s">
        <v>424</v>
      </c>
      <c r="F1" s="183" t="s">
        <v>425</v>
      </c>
      <c r="G1" s="183" t="s">
        <v>512</v>
      </c>
      <c r="H1" s="183" t="s">
        <v>515</v>
      </c>
      <c r="I1" s="183" t="s">
        <v>514</v>
      </c>
      <c r="J1" s="183" t="s">
        <v>332</v>
      </c>
      <c r="K1" s="2" t="s">
        <v>426</v>
      </c>
      <c r="L1" s="3" t="s">
        <v>427</v>
      </c>
      <c r="M1" s="4" t="s">
        <v>428</v>
      </c>
      <c r="N1" s="3" t="s">
        <v>511</v>
      </c>
      <c r="O1" s="3" t="s">
        <v>427</v>
      </c>
      <c r="P1" s="4" t="s">
        <v>428</v>
      </c>
      <c r="Q1" s="3" t="s">
        <v>517</v>
      </c>
      <c r="R1" s="3" t="s">
        <v>427</v>
      </c>
      <c r="S1" s="4" t="s">
        <v>428</v>
      </c>
      <c r="T1" s="3" t="s">
        <v>513</v>
      </c>
      <c r="U1" s="3" t="s">
        <v>427</v>
      </c>
      <c r="V1" s="4" t="s">
        <v>428</v>
      </c>
      <c r="W1" s="2" t="s">
        <v>426</v>
      </c>
      <c r="X1" s="3" t="s">
        <v>427</v>
      </c>
      <c r="Y1" s="4" t="s">
        <v>428</v>
      </c>
      <c r="Z1" s="3" t="s">
        <v>511</v>
      </c>
      <c r="AA1" s="3" t="s">
        <v>427</v>
      </c>
      <c r="AB1" s="4" t="s">
        <v>428</v>
      </c>
      <c r="AC1" s="2" t="s">
        <v>429</v>
      </c>
      <c r="AD1" s="3" t="s">
        <v>6</v>
      </c>
      <c r="AE1" s="4" t="s">
        <v>8</v>
      </c>
      <c r="AL1" s="185" t="s">
        <v>430</v>
      </c>
      <c r="AM1" s="185" t="s">
        <v>431</v>
      </c>
      <c r="AN1" s="185" t="s">
        <v>432</v>
      </c>
      <c r="AO1" s="186" t="s">
        <v>433</v>
      </c>
      <c r="AP1" s="103" t="s">
        <v>434</v>
      </c>
      <c r="AQ1" s="103"/>
      <c r="AR1" s="103" t="s">
        <v>435</v>
      </c>
      <c r="AS1" s="3" t="s">
        <v>436</v>
      </c>
      <c r="AT1" s="3" t="s">
        <v>437</v>
      </c>
    </row>
    <row r="2" spans="1:46" ht="13">
      <c r="A2" s="6" t="s">
        <v>438</v>
      </c>
      <c r="B2" s="7"/>
      <c r="C2" s="8"/>
      <c r="D2" s="8"/>
      <c r="E2" s="9"/>
      <c r="F2" s="187"/>
      <c r="G2" s="187"/>
      <c r="H2" s="8"/>
      <c r="I2" s="187"/>
      <c r="J2" s="187"/>
      <c r="K2" s="7"/>
      <c r="L2" s="8"/>
      <c r="M2" s="9"/>
      <c r="N2" s="8"/>
      <c r="O2" s="8"/>
      <c r="P2" s="9"/>
      <c r="Q2" s="8"/>
      <c r="R2" s="8"/>
      <c r="S2" s="9"/>
      <c r="T2" s="8"/>
      <c r="U2" s="8"/>
      <c r="V2" s="9"/>
      <c r="W2" s="41"/>
      <c r="X2" s="42"/>
      <c r="Y2" s="43"/>
      <c r="Z2" s="42"/>
      <c r="AA2" s="42"/>
      <c r="AB2" s="43"/>
      <c r="AC2" s="7"/>
      <c r="AD2" s="8"/>
      <c r="AE2" s="9"/>
      <c r="AL2" s="188"/>
      <c r="AM2" s="188"/>
      <c r="AN2" s="188"/>
      <c r="AO2" s="188"/>
      <c r="AP2" s="8"/>
      <c r="AQ2" s="8"/>
      <c r="AR2" s="8"/>
      <c r="AS2" s="8"/>
      <c r="AT2" s="8"/>
    </row>
    <row r="3" spans="1:46">
      <c r="A3" s="10" t="s">
        <v>9</v>
      </c>
      <c r="B3" s="7"/>
      <c r="C3" s="8"/>
      <c r="D3" s="8"/>
      <c r="E3" s="9"/>
      <c r="F3" s="187"/>
      <c r="G3" s="187"/>
      <c r="H3" s="8"/>
      <c r="I3" s="187"/>
      <c r="J3" s="187"/>
      <c r="K3" s="7"/>
      <c r="L3" s="8"/>
      <c r="M3" s="9"/>
      <c r="N3" s="8"/>
      <c r="O3" s="8"/>
      <c r="P3" s="9"/>
      <c r="Q3" s="8"/>
      <c r="R3" s="8"/>
      <c r="S3" s="9"/>
      <c r="T3" s="8"/>
      <c r="U3" s="8"/>
      <c r="V3" s="9"/>
      <c r="W3" s="7"/>
      <c r="X3" s="8"/>
      <c r="Y3" s="9"/>
      <c r="Z3" s="8"/>
      <c r="AA3" s="8"/>
      <c r="AB3" s="9"/>
      <c r="AC3" s="7"/>
      <c r="AD3" s="8"/>
      <c r="AE3" s="9"/>
      <c r="AL3" s="188"/>
      <c r="AM3" s="188"/>
      <c r="AN3" s="188"/>
      <c r="AO3" s="188"/>
      <c r="AP3" s="8"/>
      <c r="AQ3" s="8"/>
      <c r="AR3" s="8"/>
      <c r="AS3" s="8"/>
      <c r="AT3" s="8"/>
    </row>
    <row r="4" spans="1:46">
      <c r="A4" s="10" t="s">
        <v>11</v>
      </c>
      <c r="B4" s="11"/>
      <c r="C4" s="37"/>
      <c r="D4" s="37"/>
      <c r="E4" s="44"/>
      <c r="F4" s="189"/>
      <c r="G4" s="189"/>
      <c r="H4" s="37"/>
      <c r="I4" s="189"/>
      <c r="J4" s="187"/>
      <c r="K4" s="17">
        <f>AVERAGE(0.3,0.45)</f>
        <v>0.375</v>
      </c>
      <c r="L4" s="8"/>
      <c r="M4" s="9"/>
      <c r="N4" s="45">
        <f>AVERAGE(0.3,0.45)</f>
        <v>0.375</v>
      </c>
      <c r="O4" s="8"/>
      <c r="P4" s="9"/>
      <c r="Q4" s="45">
        <f>AVERAGE(0.3,0.45)</f>
        <v>0.375</v>
      </c>
      <c r="R4" s="8"/>
      <c r="S4" s="9"/>
      <c r="T4" s="45">
        <f>AVERAGE(0.3,0.45)</f>
        <v>0.375</v>
      </c>
      <c r="U4" s="8"/>
      <c r="V4" s="9"/>
      <c r="W4" s="17">
        <f>AVERAGE(0.3,0.45)</f>
        <v>0.375</v>
      </c>
      <c r="X4" s="8"/>
      <c r="Y4" s="9"/>
      <c r="Z4" s="45">
        <f>AVERAGE(0.3,0.45)</f>
        <v>0.375</v>
      </c>
      <c r="AA4" s="8"/>
      <c r="AB4" s="9"/>
      <c r="AC4" s="190" t="s">
        <v>12</v>
      </c>
      <c r="AD4" s="8"/>
      <c r="AE4" s="9"/>
      <c r="AL4" s="188"/>
      <c r="AM4" s="188"/>
      <c r="AN4" s="188"/>
      <c r="AO4" s="188"/>
      <c r="AP4" s="8"/>
      <c r="AQ4" s="8"/>
      <c r="AR4" s="8"/>
      <c r="AS4" s="8"/>
      <c r="AT4" s="8"/>
    </row>
    <row r="5" spans="1:46">
      <c r="A5" s="10" t="s">
        <v>548</v>
      </c>
      <c r="B5" s="11"/>
      <c r="C5" s="37"/>
      <c r="D5" s="37"/>
      <c r="E5" s="44"/>
      <c r="F5" s="187"/>
      <c r="G5" s="187"/>
      <c r="H5" s="37"/>
      <c r="I5" s="187"/>
      <c r="J5" s="187"/>
      <c r="K5" s="7"/>
      <c r="L5" s="8"/>
      <c r="M5" s="9"/>
      <c r="N5" s="8"/>
      <c r="O5" s="8"/>
      <c r="P5" s="9"/>
      <c r="Q5" s="8"/>
      <c r="R5" s="8"/>
      <c r="S5" s="9"/>
      <c r="T5" s="8"/>
      <c r="U5" s="8"/>
      <c r="V5" s="9"/>
      <c r="W5" s="7"/>
      <c r="X5" s="8"/>
      <c r="Y5" s="9"/>
      <c r="Z5" s="8"/>
      <c r="AA5" s="8"/>
      <c r="AB5" s="9"/>
      <c r="AC5" s="13"/>
      <c r="AD5" s="14"/>
      <c r="AE5" s="15"/>
      <c r="AL5" s="188"/>
      <c r="AM5" s="188"/>
      <c r="AN5" s="188"/>
      <c r="AO5" s="188"/>
      <c r="AP5" s="8"/>
      <c r="AQ5" s="8"/>
      <c r="AR5" s="8"/>
      <c r="AS5" s="8"/>
      <c r="AT5" s="8"/>
    </row>
    <row r="6" spans="1:46">
      <c r="A6" s="10" t="s">
        <v>15</v>
      </c>
      <c r="B6" s="11"/>
      <c r="C6" s="37"/>
      <c r="D6" s="37"/>
      <c r="E6" s="44"/>
      <c r="F6" s="187"/>
      <c r="G6" s="187"/>
      <c r="H6" s="37"/>
      <c r="I6" s="187"/>
      <c r="J6" s="187"/>
      <c r="K6" s="7"/>
      <c r="L6" s="8"/>
      <c r="M6" s="9"/>
      <c r="N6" s="8"/>
      <c r="O6" s="8"/>
      <c r="P6" s="9"/>
      <c r="Q6" s="8"/>
      <c r="R6" s="8"/>
      <c r="S6" s="9"/>
      <c r="T6" s="8"/>
      <c r="U6" s="8"/>
      <c r="V6" s="9"/>
      <c r="W6" s="7"/>
      <c r="X6" s="8"/>
      <c r="Y6" s="9"/>
      <c r="Z6" s="8"/>
      <c r="AA6" s="8"/>
      <c r="AB6" s="9"/>
      <c r="AC6" s="13"/>
      <c r="AD6" s="14"/>
      <c r="AE6" s="16"/>
      <c r="AL6" s="188"/>
      <c r="AM6" s="188"/>
      <c r="AN6" s="188"/>
      <c r="AO6" s="188"/>
      <c r="AP6" s="8"/>
      <c r="AQ6" s="8"/>
      <c r="AR6" s="8"/>
      <c r="AS6" s="8"/>
      <c r="AT6" s="8"/>
    </row>
    <row r="7" spans="1:46">
      <c r="A7" s="10" t="s">
        <v>18</v>
      </c>
      <c r="B7" s="11"/>
      <c r="C7" s="37"/>
      <c r="D7" s="37"/>
      <c r="E7" s="44"/>
      <c r="F7" s="189">
        <v>0.8</v>
      </c>
      <c r="G7" s="189">
        <v>0.8</v>
      </c>
      <c r="H7" s="189">
        <v>0.8</v>
      </c>
      <c r="I7" s="189">
        <v>0.8</v>
      </c>
      <c r="J7" s="189">
        <f>J8</f>
        <v>0.80341799999999997</v>
      </c>
      <c r="K7" s="7"/>
      <c r="L7" s="45">
        <f>L8</f>
        <v>0.80341799999999997</v>
      </c>
      <c r="M7" s="46"/>
      <c r="N7" s="8"/>
      <c r="O7" s="45">
        <f>O8</f>
        <v>0.80341799999999997</v>
      </c>
      <c r="P7" s="46"/>
      <c r="Q7" s="8"/>
      <c r="R7" s="45">
        <f>R8</f>
        <v>0.80341799999999997</v>
      </c>
      <c r="S7" s="46"/>
      <c r="T7" s="8"/>
      <c r="U7" s="45">
        <f>U8</f>
        <v>0.80341799999999997</v>
      </c>
      <c r="V7" s="46"/>
      <c r="W7" s="7"/>
      <c r="X7" s="45">
        <f>X8</f>
        <v>0.80341799999999997</v>
      </c>
      <c r="Y7" s="46"/>
      <c r="Z7" s="8"/>
      <c r="AA7" s="45">
        <f>AA8</f>
        <v>0.80341799999999997</v>
      </c>
      <c r="AB7" s="46"/>
      <c r="AC7" s="13">
        <f>J7</f>
        <v>0.80341799999999997</v>
      </c>
      <c r="AD7" s="14">
        <f>J7</f>
        <v>0.80341799999999997</v>
      </c>
      <c r="AE7" s="16">
        <f>J7</f>
        <v>0.80341799999999997</v>
      </c>
      <c r="AL7" s="188"/>
      <c r="AM7" s="188"/>
      <c r="AN7" s="188"/>
      <c r="AO7" s="188"/>
      <c r="AP7" s="8"/>
      <c r="AQ7" s="8"/>
      <c r="AR7" s="8"/>
      <c r="AS7" s="8"/>
      <c r="AT7" s="8"/>
    </row>
    <row r="8" spans="1:46">
      <c r="A8" s="10" t="s">
        <v>439</v>
      </c>
      <c r="B8" s="268">
        <v>0.2442</v>
      </c>
      <c r="C8" s="37"/>
      <c r="D8" s="37"/>
      <c r="E8" s="269">
        <f>E9*B8</f>
        <v>0.27594599999999997</v>
      </c>
      <c r="F8" s="189">
        <f>F9*B8</f>
        <v>0.31746000000000002</v>
      </c>
      <c r="G8" s="189">
        <f>G9*B8</f>
        <v>0.31746000000000002</v>
      </c>
      <c r="H8" s="189">
        <f>H9*B8</f>
        <v>0.31746000000000002</v>
      </c>
      <c r="I8" s="189">
        <f>I9*B8</f>
        <v>0.34920599999999996</v>
      </c>
      <c r="J8" s="189">
        <f>J9*B8</f>
        <v>0.80341799999999997</v>
      </c>
      <c r="K8" s="17">
        <f>K9*B8</f>
        <v>0.36630000000000001</v>
      </c>
      <c r="L8" s="45">
        <f>L9*$B8</f>
        <v>0.80341799999999997</v>
      </c>
      <c r="M8" s="46"/>
      <c r="N8" s="45">
        <f>N9*B8</f>
        <v>0.36630000000000001</v>
      </c>
      <c r="O8" s="45">
        <f>O9*$B8</f>
        <v>0.80341799999999997</v>
      </c>
      <c r="P8" s="46"/>
      <c r="Q8" s="45">
        <f>Q9*B8</f>
        <v>0.36630000000000001</v>
      </c>
      <c r="R8" s="45">
        <f>R9*$B8</f>
        <v>0.80341799999999997</v>
      </c>
      <c r="S8" s="46"/>
      <c r="T8" s="45">
        <f>T9*B8</f>
        <v>0.39804599999999996</v>
      </c>
      <c r="U8" s="45">
        <f>U9*$B8</f>
        <v>0.80341799999999997</v>
      </c>
      <c r="V8" s="46"/>
      <c r="W8" s="17">
        <f>W9*B8</f>
        <v>0.36630000000000001</v>
      </c>
      <c r="X8" s="45">
        <f>X9*$B8</f>
        <v>0.80341799999999997</v>
      </c>
      <c r="Y8" s="46"/>
      <c r="Z8" s="45">
        <f>Z9*B8</f>
        <v>0.36630000000000001</v>
      </c>
      <c r="AA8" s="45">
        <f>AA9*$B8</f>
        <v>0.80341799999999997</v>
      </c>
      <c r="AB8" s="46"/>
      <c r="AC8" s="17">
        <f>AC9*$B8</f>
        <v>0.28571399999999997</v>
      </c>
      <c r="AD8" s="45">
        <f>AD9*$B8</f>
        <v>0.31257600000000002</v>
      </c>
      <c r="AE8" s="46">
        <f>AE9*$B8</f>
        <v>0.43956000000000001</v>
      </c>
      <c r="AL8" s="447" t="s">
        <v>440</v>
      </c>
      <c r="AM8" s="447"/>
      <c r="AN8" s="447"/>
      <c r="AO8" s="447"/>
      <c r="AP8" s="8"/>
      <c r="AQ8" s="8"/>
      <c r="AR8" s="8"/>
      <c r="AS8" s="8"/>
      <c r="AT8" s="8"/>
    </row>
    <row r="9" spans="1:46">
      <c r="A9" s="10" t="s">
        <v>22</v>
      </c>
      <c r="B9" s="270">
        <v>1</v>
      </c>
      <c r="C9" s="271">
        <v>1</v>
      </c>
      <c r="D9" s="271">
        <v>1</v>
      </c>
      <c r="E9" s="272">
        <v>1.1299999999999999</v>
      </c>
      <c r="F9" s="195">
        <v>1.3</v>
      </c>
      <c r="G9" s="195">
        <v>1.3</v>
      </c>
      <c r="H9" s="271">
        <v>1.3</v>
      </c>
      <c r="I9" s="195">
        <v>1.43</v>
      </c>
      <c r="J9" s="195">
        <v>3.29</v>
      </c>
      <c r="K9" s="196">
        <v>1.5</v>
      </c>
      <c r="L9" s="197">
        <v>3.29</v>
      </c>
      <c r="M9" s="198"/>
      <c r="N9" s="197">
        <v>1.5</v>
      </c>
      <c r="O9" s="197">
        <v>3.29</v>
      </c>
      <c r="P9" s="198"/>
      <c r="Q9" s="197">
        <v>1.5</v>
      </c>
      <c r="R9" s="197">
        <v>3.29</v>
      </c>
      <c r="S9" s="198"/>
      <c r="T9" s="197">
        <v>1.63</v>
      </c>
      <c r="U9" s="197">
        <v>3.29</v>
      </c>
      <c r="V9" s="198"/>
      <c r="W9" s="196">
        <v>1.5</v>
      </c>
      <c r="X9" s="197">
        <v>3.29</v>
      </c>
      <c r="Y9" s="198"/>
      <c r="Z9" s="197">
        <v>1.5</v>
      </c>
      <c r="AA9" s="197">
        <v>3.29</v>
      </c>
      <c r="AB9" s="198"/>
      <c r="AC9" s="196">
        <v>1.17</v>
      </c>
      <c r="AD9" s="197">
        <v>1.28</v>
      </c>
      <c r="AE9" s="198">
        <v>1.8</v>
      </c>
      <c r="AF9" s="197"/>
      <c r="AL9" s="188"/>
      <c r="AM9" s="188"/>
      <c r="AN9" s="188"/>
      <c r="AO9" s="188"/>
      <c r="AP9" s="8"/>
      <c r="AQ9" s="8"/>
      <c r="AR9" s="8"/>
      <c r="AS9" s="8"/>
      <c r="AT9" s="8"/>
    </row>
    <row r="10" spans="1:46" ht="13">
      <c r="A10" s="10" t="s">
        <v>441</v>
      </c>
      <c r="B10" s="18">
        <f>B11*B8</f>
        <v>0.59340599999999999</v>
      </c>
      <c r="C10" s="37"/>
      <c r="D10" s="37"/>
      <c r="E10" s="44"/>
      <c r="F10" s="199">
        <f>F11*F8</f>
        <v>0.59340599999999999</v>
      </c>
      <c r="G10" s="199">
        <f>G11*G8</f>
        <v>0.59340599999999999</v>
      </c>
      <c r="H10" s="199">
        <f>H11*H8</f>
        <v>0.59340599999999999</v>
      </c>
      <c r="I10" s="199">
        <f>I11*I8</f>
        <v>0.59340599999999999</v>
      </c>
      <c r="J10" s="199">
        <f>J11*J8</f>
        <v>0.59340599999999999</v>
      </c>
      <c r="K10" s="7"/>
      <c r="L10" s="19">
        <f>L11*L8</f>
        <v>0.59340599999999999</v>
      </c>
      <c r="M10" s="20"/>
      <c r="N10" s="8"/>
      <c r="O10" s="19">
        <f>O11*O8</f>
        <v>0.59340599999999999</v>
      </c>
      <c r="P10" s="20"/>
      <c r="Q10" s="8"/>
      <c r="R10" s="19">
        <f>R11*R8</f>
        <v>0.59340599999999999</v>
      </c>
      <c r="S10" s="20"/>
      <c r="T10" s="8"/>
      <c r="U10" s="19">
        <f>U11*U8</f>
        <v>0.59340599999999999</v>
      </c>
      <c r="V10" s="20"/>
      <c r="W10" s="7"/>
      <c r="X10" s="19">
        <f>X11*X8</f>
        <v>0.59340599999999999</v>
      </c>
      <c r="Y10" s="20"/>
      <c r="Z10" s="8"/>
      <c r="AA10" s="19">
        <f>AA11*AA8</f>
        <v>0.59340599999999999</v>
      </c>
      <c r="AB10" s="20"/>
      <c r="AC10" s="18">
        <f>AC11*AC8</f>
        <v>0.59340599999999999</v>
      </c>
      <c r="AD10" s="19">
        <f>AD11*AD8</f>
        <v>0.59340599999999999</v>
      </c>
      <c r="AE10" s="20">
        <f>AE11*AE8</f>
        <v>0.5934060000000001</v>
      </c>
      <c r="AG10" s="188" t="s">
        <v>442</v>
      </c>
      <c r="AH10" s="188" t="s">
        <v>443</v>
      </c>
      <c r="AI10" s="200" t="s">
        <v>444</v>
      </c>
      <c r="AL10" s="188"/>
      <c r="AM10" s="188"/>
      <c r="AN10" s="188"/>
      <c r="AO10" s="201">
        <v>0.42</v>
      </c>
      <c r="AP10" s="8"/>
      <c r="AQ10" s="8"/>
      <c r="AR10" s="8"/>
      <c r="AS10" s="8"/>
      <c r="AT10" s="8"/>
    </row>
    <row r="11" spans="1:46">
      <c r="A11" s="10" t="s">
        <v>445</v>
      </c>
      <c r="B11" s="18">
        <v>2.4300000000000002</v>
      </c>
      <c r="C11" s="19">
        <f t="shared" ref="C11:I11" si="0">$B$11/C9</f>
        <v>2.4300000000000002</v>
      </c>
      <c r="D11" s="19">
        <f t="shared" si="0"/>
        <v>2.4300000000000002</v>
      </c>
      <c r="E11" s="20">
        <f>$B$11/E9</f>
        <v>2.1504424778761067</v>
      </c>
      <c r="F11" s="19">
        <f>$B$11/F9</f>
        <v>1.8692307692307693</v>
      </c>
      <c r="G11" s="19">
        <f t="shared" si="0"/>
        <v>1.8692307692307693</v>
      </c>
      <c r="H11" s="19">
        <f t="shared" si="0"/>
        <v>1.8692307692307693</v>
      </c>
      <c r="I11" s="19">
        <f t="shared" si="0"/>
        <v>1.6993006993006994</v>
      </c>
      <c r="J11" s="199">
        <f>$B11/J9</f>
        <v>0.73860182370820671</v>
      </c>
      <c r="K11" s="18">
        <f>$B11/K9</f>
        <v>1.62</v>
      </c>
      <c r="L11" s="19">
        <f>$B11/L9</f>
        <v>0.73860182370820671</v>
      </c>
      <c r="M11" s="20"/>
      <c r="N11" s="19">
        <f>$B11/N9</f>
        <v>1.62</v>
      </c>
      <c r="O11" s="19">
        <f>$B11/O9</f>
        <v>0.73860182370820671</v>
      </c>
      <c r="P11" s="20"/>
      <c r="Q11" s="19">
        <f>$B11/Q9</f>
        <v>1.62</v>
      </c>
      <c r="R11" s="19">
        <f>$B11/R9</f>
        <v>0.73860182370820671</v>
      </c>
      <c r="S11" s="20"/>
      <c r="T11" s="19">
        <f>$B11/T9</f>
        <v>1.4907975460122702</v>
      </c>
      <c r="U11" s="19">
        <f>$B11/U9</f>
        <v>0.73860182370820671</v>
      </c>
      <c r="V11" s="20"/>
      <c r="W11" s="18">
        <f>$B11/W9</f>
        <v>1.62</v>
      </c>
      <c r="X11" s="19">
        <f>$B11/X9</f>
        <v>0.73860182370820671</v>
      </c>
      <c r="Y11" s="20"/>
      <c r="Z11" s="19">
        <f>$B11/Z9</f>
        <v>1.62</v>
      </c>
      <c r="AA11" s="19">
        <f>$B11/AA9</f>
        <v>0.73860182370820671</v>
      </c>
      <c r="AB11" s="20"/>
      <c r="AC11" s="18">
        <f>$B11/AC9</f>
        <v>2.0769230769230771</v>
      </c>
      <c r="AD11" s="19">
        <f>$B11/AD9</f>
        <v>1.8984375</v>
      </c>
      <c r="AE11" s="20">
        <f>$B11/AE9</f>
        <v>1.35</v>
      </c>
      <c r="AF11" s="188"/>
      <c r="AG11" s="188">
        <v>2.4300000000000002</v>
      </c>
      <c r="AH11" s="188">
        <f>(AG11/AI11)*10</f>
        <v>0.69428571428571439</v>
      </c>
      <c r="AI11" s="188">
        <v>35</v>
      </c>
      <c r="AL11" s="188"/>
      <c r="AM11" s="188"/>
      <c r="AN11" s="188"/>
      <c r="AO11" s="188"/>
      <c r="AP11" s="8"/>
      <c r="AQ11" s="8"/>
      <c r="AR11" s="8"/>
      <c r="AS11" s="8"/>
      <c r="AT11" s="8"/>
    </row>
    <row r="12" spans="1:46">
      <c r="A12" s="10" t="s">
        <v>24</v>
      </c>
      <c r="B12" s="18"/>
      <c r="C12" s="19"/>
      <c r="D12" s="19"/>
      <c r="E12" s="20"/>
      <c r="F12" s="199">
        <f>F10/F7</f>
        <v>0.74175749999999996</v>
      </c>
      <c r="G12" s="199">
        <f>G10/G7</f>
        <v>0.74175749999999996</v>
      </c>
      <c r="H12" s="199">
        <f>H10/H7</f>
        <v>0.74175749999999996</v>
      </c>
      <c r="I12" s="199">
        <f>I10/I7</f>
        <v>0.74175749999999996</v>
      </c>
      <c r="J12" s="199">
        <f>J10/J7</f>
        <v>0.73860182370820671</v>
      </c>
      <c r="K12" s="18"/>
      <c r="L12" s="19">
        <f>L10/L7</f>
        <v>0.73860182370820671</v>
      </c>
      <c r="M12" s="20"/>
      <c r="N12" s="19"/>
      <c r="O12" s="19">
        <f>O10/O7</f>
        <v>0.73860182370820671</v>
      </c>
      <c r="P12" s="20"/>
      <c r="Q12" s="19"/>
      <c r="R12" s="19">
        <f>R10/R7</f>
        <v>0.73860182370820671</v>
      </c>
      <c r="S12" s="20"/>
      <c r="T12" s="19"/>
      <c r="U12" s="19">
        <f>U10/U7</f>
        <v>0.73860182370820671</v>
      </c>
      <c r="V12" s="20"/>
      <c r="W12" s="18"/>
      <c r="X12" s="19">
        <f>X10/X7</f>
        <v>0.73860182370820671</v>
      </c>
      <c r="Y12" s="20"/>
      <c r="Z12" s="19"/>
      <c r="AA12" s="19">
        <f>AA10/AA7</f>
        <v>0.73860182370820671</v>
      </c>
      <c r="AB12" s="20"/>
      <c r="AC12" s="18">
        <f>AC10/AC7</f>
        <v>0.73860182370820671</v>
      </c>
      <c r="AD12" s="19">
        <f>AD10/AD7</f>
        <v>0.73860182370820671</v>
      </c>
      <c r="AE12" s="20">
        <f>AE10/AE7</f>
        <v>0.73860182370820682</v>
      </c>
      <c r="AL12" s="188"/>
      <c r="AM12" s="188"/>
      <c r="AN12" s="188"/>
      <c r="AO12" s="188"/>
      <c r="AP12" s="8"/>
      <c r="AQ12" s="8"/>
      <c r="AR12" s="8"/>
      <c r="AS12" s="8"/>
      <c r="AT12" s="8"/>
    </row>
    <row r="13" spans="1:46">
      <c r="B13" s="18"/>
      <c r="C13" s="19"/>
      <c r="D13" s="19"/>
      <c r="E13" s="20"/>
      <c r="F13" s="199"/>
      <c r="G13" s="199"/>
      <c r="H13" s="19"/>
      <c r="I13" s="199"/>
      <c r="J13" s="199"/>
      <c r="K13" s="18"/>
      <c r="L13" s="19"/>
      <c r="M13" s="20"/>
      <c r="N13" s="19"/>
      <c r="O13" s="19"/>
      <c r="P13" s="20"/>
      <c r="Q13" s="19"/>
      <c r="R13" s="19"/>
      <c r="S13" s="20"/>
      <c r="T13" s="19"/>
      <c r="U13" s="19"/>
      <c r="V13" s="20"/>
      <c r="W13" s="18"/>
      <c r="X13" s="19"/>
      <c r="Y13" s="20"/>
      <c r="Z13" s="19"/>
      <c r="AA13" s="19"/>
      <c r="AB13" s="20"/>
      <c r="AC13" s="18"/>
      <c r="AD13" s="19"/>
      <c r="AE13" s="20"/>
      <c r="AL13" s="188"/>
      <c r="AM13" s="188"/>
      <c r="AN13" s="188"/>
      <c r="AO13" s="188"/>
      <c r="AP13" s="8"/>
      <c r="AQ13" s="8"/>
      <c r="AR13" s="8"/>
      <c r="AS13" s="10"/>
      <c r="AT13" s="8"/>
    </row>
    <row r="14" spans="1:46">
      <c r="A14" s="10" t="s">
        <v>446</v>
      </c>
      <c r="B14" s="7">
        <v>500</v>
      </c>
      <c r="C14" s="8">
        <v>500</v>
      </c>
      <c r="D14" s="8">
        <v>500</v>
      </c>
      <c r="E14" s="9">
        <v>500</v>
      </c>
      <c r="F14" s="187">
        <v>500</v>
      </c>
      <c r="G14" s="187">
        <v>500</v>
      </c>
      <c r="H14" s="8">
        <v>500</v>
      </c>
      <c r="I14" s="187">
        <v>500</v>
      </c>
      <c r="J14" s="202"/>
      <c r="K14" s="7">
        <f>500-O15</f>
        <v>435</v>
      </c>
      <c r="L14" s="8"/>
      <c r="M14" s="9"/>
      <c r="N14" s="8">
        <f>500-O15</f>
        <v>435</v>
      </c>
      <c r="O14" s="8"/>
      <c r="P14" s="9"/>
      <c r="Q14" s="8">
        <f>500-R15</f>
        <v>435</v>
      </c>
      <c r="R14" s="8"/>
      <c r="S14" s="9"/>
      <c r="T14" s="8">
        <f>500-U15</f>
        <v>435</v>
      </c>
      <c r="U14" s="8"/>
      <c r="V14" s="9"/>
      <c r="W14" s="7">
        <f>500-AA15</f>
        <v>465</v>
      </c>
      <c r="X14" s="8"/>
      <c r="Y14" s="9"/>
      <c r="Z14" s="8">
        <f>500-AA15</f>
        <v>465</v>
      </c>
      <c r="AA14" s="8"/>
      <c r="AB14" s="9"/>
      <c r="AC14" s="7">
        <v>500</v>
      </c>
      <c r="AD14" s="8">
        <v>500</v>
      </c>
      <c r="AE14" s="9">
        <v>500</v>
      </c>
      <c r="AL14" s="8"/>
      <c r="AM14" s="8"/>
      <c r="AN14" s="8"/>
      <c r="AO14" s="188"/>
      <c r="AP14" s="8"/>
      <c r="AQ14" s="8"/>
      <c r="AR14" s="8"/>
      <c r="AS14" s="10"/>
      <c r="AT14" s="8"/>
    </row>
    <row r="15" spans="1:46" ht="13">
      <c r="A15" s="10" t="s">
        <v>447</v>
      </c>
      <c r="B15" s="7"/>
      <c r="C15" s="8"/>
      <c r="D15" s="8"/>
      <c r="E15" s="9"/>
      <c r="F15" s="187">
        <v>2</v>
      </c>
      <c r="G15" s="187">
        <v>2</v>
      </c>
      <c r="H15" s="187">
        <v>2</v>
      </c>
      <c r="I15" s="187">
        <v>2</v>
      </c>
      <c r="J15" s="203">
        <v>200</v>
      </c>
      <c r="K15" s="7"/>
      <c r="L15" s="204">
        <v>65</v>
      </c>
      <c r="M15" s="9"/>
      <c r="N15" s="8"/>
      <c r="O15" s="204">
        <v>65</v>
      </c>
      <c r="P15" s="9"/>
      <c r="Q15" s="8"/>
      <c r="R15" s="204">
        <v>65</v>
      </c>
      <c r="S15" s="9"/>
      <c r="T15" s="8"/>
      <c r="U15" s="204">
        <v>65</v>
      </c>
      <c r="V15" s="9"/>
      <c r="W15" s="7"/>
      <c r="X15" s="204">
        <v>35</v>
      </c>
      <c r="Y15" s="9"/>
      <c r="Z15" s="8"/>
      <c r="AA15" s="204">
        <v>35</v>
      </c>
      <c r="AB15" s="9"/>
      <c r="AC15" s="7">
        <f>F15</f>
        <v>2</v>
      </c>
      <c r="AD15" s="8">
        <f>F15</f>
        <v>2</v>
      </c>
      <c r="AE15" s="9">
        <f>F15</f>
        <v>2</v>
      </c>
      <c r="AL15" s="8">
        <v>2</v>
      </c>
      <c r="AM15" s="8">
        <v>2.9</v>
      </c>
      <c r="AN15" s="8"/>
      <c r="AO15" s="188">
        <v>64</v>
      </c>
      <c r="AP15" s="8"/>
      <c r="AQ15" s="8"/>
      <c r="AR15" s="8"/>
      <c r="AS15" s="10"/>
      <c r="AT15" s="8"/>
    </row>
    <row r="16" spans="1:46">
      <c r="A16" s="10" t="s">
        <v>448</v>
      </c>
      <c r="B16" s="18">
        <f t="shared" ref="B16:I16" si="1">B11*B14/1000</f>
        <v>1.2150000000000001</v>
      </c>
      <c r="C16" s="19">
        <f t="shared" si="1"/>
        <v>1.2150000000000001</v>
      </c>
      <c r="D16" s="19">
        <f t="shared" si="1"/>
        <v>1.2150000000000001</v>
      </c>
      <c r="E16" s="20">
        <f t="shared" si="1"/>
        <v>1.0752212389380533</v>
      </c>
      <c r="F16" s="199">
        <f t="shared" si="1"/>
        <v>0.93461538461538463</v>
      </c>
      <c r="G16" s="199">
        <f t="shared" si="1"/>
        <v>0.93461538461538463</v>
      </c>
      <c r="H16" s="19">
        <f t="shared" si="1"/>
        <v>0.93461538461538463</v>
      </c>
      <c r="I16" s="199">
        <f t="shared" si="1"/>
        <v>0.84965034965034969</v>
      </c>
      <c r="J16" s="202"/>
      <c r="K16" s="18">
        <f>K11*K14/1000</f>
        <v>0.70469999999999999</v>
      </c>
      <c r="L16" s="8"/>
      <c r="M16" s="9"/>
      <c r="N16" s="19">
        <f>N11*N14/1000</f>
        <v>0.70469999999999999</v>
      </c>
      <c r="O16" s="8"/>
      <c r="P16" s="9"/>
      <c r="Q16" s="19">
        <f>Q11*Q14/1000</f>
        <v>0.70469999999999999</v>
      </c>
      <c r="R16" s="8"/>
      <c r="S16" s="9"/>
      <c r="T16" s="19">
        <f>T11*T14/1000</f>
        <v>0.64849693251533758</v>
      </c>
      <c r="U16" s="8"/>
      <c r="V16" s="9"/>
      <c r="W16" s="18">
        <f>W11*W14/1000</f>
        <v>0.75330000000000008</v>
      </c>
      <c r="X16" s="8"/>
      <c r="Y16" s="9"/>
      <c r="Z16" s="19">
        <f>Z11*Z14/1000</f>
        <v>0.75330000000000008</v>
      </c>
      <c r="AA16" s="8"/>
      <c r="AB16" s="9"/>
      <c r="AC16" s="18">
        <f>AC11*AC14/1000</f>
        <v>1.0384615384615385</v>
      </c>
      <c r="AD16" s="19">
        <f>AD11*AD14/1000</f>
        <v>0.94921875</v>
      </c>
      <c r="AE16" s="20">
        <f>AE11*AE14/1000</f>
        <v>0.67500000000000004</v>
      </c>
      <c r="AL16" s="8"/>
      <c r="AM16" s="8"/>
      <c r="AN16" s="8"/>
      <c r="AO16" s="188"/>
      <c r="AP16" s="8"/>
      <c r="AQ16" s="8"/>
      <c r="AR16" s="8"/>
      <c r="AS16" s="10"/>
      <c r="AT16" s="8"/>
    </row>
    <row r="17" spans="1:46">
      <c r="A17" s="10" t="s">
        <v>29</v>
      </c>
      <c r="B17" s="18"/>
      <c r="C17" s="19"/>
      <c r="D17" s="19"/>
      <c r="E17" s="20"/>
      <c r="F17" s="195">
        <v>5</v>
      </c>
      <c r="G17" s="195">
        <v>5</v>
      </c>
      <c r="H17" s="195">
        <v>5</v>
      </c>
      <c r="I17" s="195">
        <v>5</v>
      </c>
      <c r="J17" s="196">
        <f>1/0.8</f>
        <v>1.25</v>
      </c>
      <c r="K17" s="18"/>
      <c r="L17" s="197">
        <f>1/0.8</f>
        <v>1.25</v>
      </c>
      <c r="M17" s="9"/>
      <c r="N17" s="19"/>
      <c r="O17" s="197">
        <f>1/0.8</f>
        <v>1.25</v>
      </c>
      <c r="P17" s="9"/>
      <c r="Q17" s="19"/>
      <c r="R17" s="197">
        <f>1/0.8</f>
        <v>1.25</v>
      </c>
      <c r="S17" s="9"/>
      <c r="T17" s="19"/>
      <c r="U17" s="197">
        <f>1/0.8</f>
        <v>1.25</v>
      </c>
      <c r="V17" s="9"/>
      <c r="W17" s="18"/>
      <c r="X17" s="197">
        <f>1/0.8</f>
        <v>1.25</v>
      </c>
      <c r="Y17" s="9"/>
      <c r="Z17" s="19"/>
      <c r="AA17" s="197">
        <f>1/0.8</f>
        <v>1.25</v>
      </c>
      <c r="AB17" s="9"/>
      <c r="AC17" s="196">
        <v>5</v>
      </c>
      <c r="AD17" s="197">
        <v>5</v>
      </c>
      <c r="AE17" s="198">
        <v>5</v>
      </c>
      <c r="AL17" s="8">
        <v>5</v>
      </c>
      <c r="AM17" s="205">
        <f>1/0.45</f>
        <v>2.2222222222222223</v>
      </c>
      <c r="AN17" s="205">
        <f>1/0.7</f>
        <v>1.4285714285714286</v>
      </c>
      <c r="AO17" s="206">
        <v>2</v>
      </c>
      <c r="AP17" s="8"/>
      <c r="AQ17" s="8"/>
      <c r="AR17" s="8"/>
      <c r="AS17" s="10"/>
      <c r="AT17" s="8"/>
    </row>
    <row r="18" spans="1:46">
      <c r="A18" s="10" t="s">
        <v>449</v>
      </c>
      <c r="B18" s="18"/>
      <c r="C18" s="19"/>
      <c r="D18" s="19"/>
      <c r="E18" s="20"/>
      <c r="F18" s="207">
        <f>F17*F12*F15/1000</f>
        <v>7.4175749999999992E-3</v>
      </c>
      <c r="G18" s="207">
        <f>G17*G12*G15/1000</f>
        <v>7.4175749999999992E-3</v>
      </c>
      <c r="H18" s="207">
        <f>H17*H12*H15/1000</f>
        <v>7.4175749999999992E-3</v>
      </c>
      <c r="I18" s="207">
        <f>I17*I12*I15/1000</f>
        <v>7.4175749999999992E-3</v>
      </c>
      <c r="J18" s="199">
        <f>J17*J12*J15/1000</f>
        <v>0.18465045592705168</v>
      </c>
      <c r="K18" s="18"/>
      <c r="L18" s="19">
        <f>L17*L12*L15/1000</f>
        <v>6.0011398176291794E-2</v>
      </c>
      <c r="M18" s="20"/>
      <c r="N18" s="19"/>
      <c r="O18" s="19">
        <f>O17*O12*O15/1000</f>
        <v>6.0011398176291794E-2</v>
      </c>
      <c r="P18" s="20"/>
      <c r="Q18" s="19"/>
      <c r="R18" s="19">
        <f>R17*R12*R15/1000</f>
        <v>6.0011398176291794E-2</v>
      </c>
      <c r="S18" s="20"/>
      <c r="T18" s="19"/>
      <c r="U18" s="19">
        <f>U17*U12*U15/1000</f>
        <v>6.0011398176291794E-2</v>
      </c>
      <c r="V18" s="20"/>
      <c r="W18" s="18"/>
      <c r="X18" s="19">
        <f>X17*X12*X15/1000</f>
        <v>3.2313829787234044E-2</v>
      </c>
      <c r="Y18" s="20"/>
      <c r="Z18" s="19"/>
      <c r="AA18" s="19">
        <f>AA17*AA12*AA15/1000</f>
        <v>3.2313829787234044E-2</v>
      </c>
      <c r="AB18" s="20"/>
      <c r="AC18" s="208">
        <f>AC17*AC12*AC15/1000</f>
        <v>7.3860182370820669E-3</v>
      </c>
      <c r="AD18" s="209">
        <f>AD17*AD12*AD15/1000</f>
        <v>7.3860182370820669E-3</v>
      </c>
      <c r="AE18" s="210">
        <f>AE17*AE12*AE15/1000</f>
        <v>7.3860182370820678E-3</v>
      </c>
      <c r="AL18" s="8"/>
      <c r="AM18" s="8"/>
      <c r="AN18" s="8"/>
      <c r="AO18" s="188"/>
      <c r="AP18" s="8"/>
      <c r="AQ18" s="8"/>
      <c r="AR18" s="8"/>
      <c r="AS18" s="10"/>
      <c r="AT18" s="8"/>
    </row>
    <row r="19" spans="1:46">
      <c r="A19" s="10" t="s">
        <v>450</v>
      </c>
      <c r="B19" s="18"/>
      <c r="C19" s="19"/>
      <c r="D19" s="19"/>
      <c r="E19" s="20"/>
      <c r="F19" s="211">
        <f>F18*1000000000/3600/1000</f>
        <v>2.0604374999999995</v>
      </c>
      <c r="G19" s="211">
        <f>G18*1000000000/3600/1000</f>
        <v>2.0604374999999995</v>
      </c>
      <c r="H19" s="211">
        <f>H18*1000000000/3600/1000</f>
        <v>2.0604374999999995</v>
      </c>
      <c r="I19" s="211">
        <f>I18*1000000000/3600/1000</f>
        <v>2.0604374999999995</v>
      </c>
      <c r="J19" s="212">
        <f>J18*1000000000/3600/1000</f>
        <v>51.29179331306991</v>
      </c>
      <c r="K19" s="18"/>
      <c r="L19" s="205">
        <f>L18*1000000000/3600/1000</f>
        <v>16.669832826747719</v>
      </c>
      <c r="M19" s="20"/>
      <c r="N19" s="19"/>
      <c r="O19" s="205">
        <f>O18*1000000000/3600/1000</f>
        <v>16.669832826747719</v>
      </c>
      <c r="P19" s="20"/>
      <c r="Q19" s="19"/>
      <c r="R19" s="205">
        <f>R18*1000000000/3600/1000</f>
        <v>16.669832826747719</v>
      </c>
      <c r="S19" s="20"/>
      <c r="T19" s="19"/>
      <c r="U19" s="205">
        <f>U18*1000000000/3600/1000</f>
        <v>16.669832826747719</v>
      </c>
      <c r="V19" s="20"/>
      <c r="W19" s="18"/>
      <c r="X19" s="205">
        <f>X18*1000000000/3600/1000</f>
        <v>8.9760638297872362</v>
      </c>
      <c r="Y19" s="20"/>
      <c r="Z19" s="19"/>
      <c r="AA19" s="205">
        <f>AA18*1000000000/3600/1000</f>
        <v>8.9760638297872362</v>
      </c>
      <c r="AB19" s="20"/>
      <c r="AC19" s="18">
        <f>AC18*1000000000/3600/1000</f>
        <v>2.0516717325227964</v>
      </c>
      <c r="AD19" s="19">
        <f>AD18*1000000000/3600/1000</f>
        <v>2.0516717325227964</v>
      </c>
      <c r="AE19" s="20">
        <f>AE18*1000000000/3600/1000</f>
        <v>2.0516717325227964</v>
      </c>
      <c r="AL19" s="8">
        <v>1.3</v>
      </c>
      <c r="AM19" s="205">
        <v>2</v>
      </c>
      <c r="AN19" s="8">
        <v>10</v>
      </c>
      <c r="AO19" s="188">
        <v>16</v>
      </c>
      <c r="AP19" s="8"/>
      <c r="AQ19" s="8"/>
      <c r="AR19" s="8"/>
      <c r="AS19" s="10"/>
      <c r="AT19" s="8"/>
    </row>
    <row r="20" spans="1:46">
      <c r="B20" s="18"/>
      <c r="C20" s="19"/>
      <c r="D20" s="19"/>
      <c r="E20" s="20"/>
      <c r="F20" s="199"/>
      <c r="G20" s="199"/>
      <c r="H20" s="19"/>
      <c r="I20" s="199"/>
      <c r="J20" s="199"/>
      <c r="K20" s="18"/>
      <c r="L20" s="19"/>
      <c r="M20" s="20"/>
      <c r="N20" s="19"/>
      <c r="O20" s="19"/>
      <c r="P20" s="20"/>
      <c r="Q20" s="19"/>
      <c r="R20" s="19"/>
      <c r="S20" s="20"/>
      <c r="T20" s="19"/>
      <c r="U20" s="19"/>
      <c r="V20" s="20"/>
      <c r="W20" s="18"/>
      <c r="X20" s="19"/>
      <c r="Y20" s="20"/>
      <c r="Z20" s="19"/>
      <c r="AA20" s="19"/>
      <c r="AB20" s="20"/>
      <c r="AC20" s="18"/>
      <c r="AD20" s="19"/>
      <c r="AE20" s="20"/>
      <c r="AL20" s="8"/>
      <c r="AM20" s="8"/>
      <c r="AN20" s="8"/>
      <c r="AO20" s="188"/>
      <c r="AP20" s="8"/>
      <c r="AQ20" s="8"/>
      <c r="AR20" s="8"/>
      <c r="AS20" s="10"/>
      <c r="AT20" s="8"/>
    </row>
    <row r="21" spans="1:46">
      <c r="A21" s="10" t="s">
        <v>451</v>
      </c>
      <c r="B21" s="7">
        <v>80</v>
      </c>
      <c r="C21" s="8">
        <v>80</v>
      </c>
      <c r="D21" s="8">
        <v>80</v>
      </c>
      <c r="E21" s="9">
        <v>80</v>
      </c>
      <c r="F21" s="187">
        <v>80</v>
      </c>
      <c r="G21" s="187">
        <v>80</v>
      </c>
      <c r="H21" s="8">
        <v>80</v>
      </c>
      <c r="I21" s="187">
        <v>80</v>
      </c>
      <c r="J21" s="187">
        <v>80</v>
      </c>
      <c r="K21" s="7"/>
      <c r="L21" s="8"/>
      <c r="M21" s="9">
        <v>80</v>
      </c>
      <c r="N21" s="8"/>
      <c r="O21" s="8"/>
      <c r="P21" s="9">
        <v>80</v>
      </c>
      <c r="Q21" s="8"/>
      <c r="R21" s="8"/>
      <c r="S21" s="9">
        <v>80</v>
      </c>
      <c r="T21" s="8"/>
      <c r="U21" s="8"/>
      <c r="V21" s="9">
        <v>80</v>
      </c>
      <c r="W21" s="7"/>
      <c r="X21" s="8"/>
      <c r="Y21" s="9">
        <v>80</v>
      </c>
      <c r="Z21" s="8"/>
      <c r="AA21" s="8"/>
      <c r="AB21" s="9">
        <v>80</v>
      </c>
      <c r="AC21" s="7">
        <v>80</v>
      </c>
      <c r="AD21" s="8">
        <v>80</v>
      </c>
      <c r="AE21" s="9">
        <v>80</v>
      </c>
      <c r="AL21" s="8">
        <v>82</v>
      </c>
      <c r="AM21" s="8">
        <v>116</v>
      </c>
      <c r="AN21" s="8"/>
      <c r="AO21" s="188" t="s">
        <v>452</v>
      </c>
      <c r="AP21" s="36" t="s">
        <v>453</v>
      </c>
      <c r="AQ21" s="36"/>
      <c r="AR21" s="10"/>
      <c r="AS21" s="10"/>
      <c r="AT21" s="10"/>
    </row>
    <row r="22" spans="1:46" ht="13">
      <c r="A22" s="10" t="s">
        <v>32</v>
      </c>
      <c r="B22" s="7">
        <f>B21</f>
        <v>80</v>
      </c>
      <c r="C22" s="8">
        <f>C21</f>
        <v>80</v>
      </c>
      <c r="D22" s="8">
        <f>D21</f>
        <v>80</v>
      </c>
      <c r="E22" s="9">
        <f>E21</f>
        <v>80</v>
      </c>
      <c r="F22" s="187">
        <v>60</v>
      </c>
      <c r="G22" s="187">
        <v>60</v>
      </c>
      <c r="H22" s="8">
        <f>H21</f>
        <v>80</v>
      </c>
      <c r="I22" s="187">
        <v>60</v>
      </c>
      <c r="J22" s="213"/>
      <c r="K22" s="28">
        <f>P39</f>
        <v>26.521951499999997</v>
      </c>
      <c r="L22" s="8"/>
      <c r="M22" s="30"/>
      <c r="N22" s="29">
        <f>P39</f>
        <v>26.521951499999997</v>
      </c>
      <c r="O22" s="8"/>
      <c r="P22" s="30"/>
      <c r="Q22" s="29">
        <f>S39</f>
        <v>26.521951499999997</v>
      </c>
      <c r="R22" s="8"/>
      <c r="S22" s="30"/>
      <c r="T22" s="29">
        <f>V39</f>
        <v>26.521951499999997</v>
      </c>
      <c r="U22" s="8"/>
      <c r="V22" s="30"/>
      <c r="W22" s="28">
        <f>AB39</f>
        <v>26.521951499999997</v>
      </c>
      <c r="X22" s="8"/>
      <c r="Y22" s="30"/>
      <c r="Z22" s="29">
        <f>AB39</f>
        <v>26.521951499999997</v>
      </c>
      <c r="AA22" s="8"/>
      <c r="AB22" s="30"/>
      <c r="AC22" s="25"/>
      <c r="AD22" s="26"/>
      <c r="AE22" s="27"/>
      <c r="AL22" s="8">
        <v>57</v>
      </c>
      <c r="AM22" s="8">
        <v>99</v>
      </c>
      <c r="AN22" s="8"/>
      <c r="AO22" s="188">
        <v>53</v>
      </c>
      <c r="AR22" s="10"/>
      <c r="AS22" s="10"/>
      <c r="AT22" s="10"/>
    </row>
    <row r="23" spans="1:46">
      <c r="A23" s="10" t="s">
        <v>33</v>
      </c>
      <c r="B23" s="7"/>
      <c r="C23" s="8"/>
      <c r="D23" s="8"/>
      <c r="E23" s="9"/>
      <c r="F23" s="187">
        <v>40</v>
      </c>
      <c r="G23" s="187">
        <v>40</v>
      </c>
      <c r="H23" s="187">
        <v>40</v>
      </c>
      <c r="I23" s="187">
        <v>40</v>
      </c>
      <c r="J23" s="212">
        <f>J21</f>
        <v>80</v>
      </c>
      <c r="K23" s="7"/>
      <c r="L23" s="8">
        <v>60</v>
      </c>
      <c r="M23" s="20"/>
      <c r="N23" s="8"/>
      <c r="O23" s="8">
        <v>60</v>
      </c>
      <c r="P23" s="20"/>
      <c r="Q23" s="8"/>
      <c r="R23" s="8">
        <v>60</v>
      </c>
      <c r="S23" s="20"/>
      <c r="T23" s="8"/>
      <c r="U23" s="8">
        <v>60</v>
      </c>
      <c r="V23" s="20"/>
      <c r="W23" s="7"/>
      <c r="X23" s="8">
        <v>60</v>
      </c>
      <c r="Y23" s="20"/>
      <c r="Z23" s="8"/>
      <c r="AA23" s="8">
        <v>60</v>
      </c>
      <c r="AB23" s="20"/>
      <c r="AC23" s="28">
        <v>80</v>
      </c>
      <c r="AD23" s="29">
        <v>80</v>
      </c>
      <c r="AE23" s="30">
        <v>80</v>
      </c>
      <c r="AL23" s="8">
        <v>50</v>
      </c>
      <c r="AM23" s="8">
        <v>70</v>
      </c>
      <c r="AN23" s="8"/>
      <c r="AO23" s="188">
        <v>120</v>
      </c>
      <c r="AR23" s="10"/>
      <c r="AS23" s="10"/>
      <c r="AT23" s="10"/>
    </row>
    <row r="24" spans="1:46">
      <c r="A24" s="10" t="s">
        <v>34</v>
      </c>
      <c r="B24" s="7">
        <f t="shared" ref="B24:J24" si="2">B22+B23</f>
        <v>80</v>
      </c>
      <c r="C24" s="8">
        <f t="shared" si="2"/>
        <v>80</v>
      </c>
      <c r="D24" s="8">
        <f t="shared" si="2"/>
        <v>80</v>
      </c>
      <c r="E24" s="9">
        <f t="shared" si="2"/>
        <v>80</v>
      </c>
      <c r="F24" s="187">
        <f t="shared" si="2"/>
        <v>100</v>
      </c>
      <c r="G24" s="187">
        <f>G22+G23</f>
        <v>100</v>
      </c>
      <c r="H24" s="187">
        <f>H22+H23</f>
        <v>120</v>
      </c>
      <c r="I24" s="187">
        <f>I22+I23</f>
        <v>100</v>
      </c>
      <c r="J24" s="187">
        <f t="shared" si="2"/>
        <v>80</v>
      </c>
      <c r="K24" s="7"/>
      <c r="L24" s="8"/>
      <c r="M24" s="30">
        <f>E22+L23</f>
        <v>140</v>
      </c>
      <c r="N24" s="8"/>
      <c r="O24" s="8"/>
      <c r="P24" s="30">
        <f>K22+O23</f>
        <v>86.5219515</v>
      </c>
      <c r="Q24" s="8"/>
      <c r="R24" s="8"/>
      <c r="S24" s="30">
        <f>N22+R23</f>
        <v>86.5219515</v>
      </c>
      <c r="T24" s="8"/>
      <c r="U24" s="8"/>
      <c r="V24" s="30">
        <f>N22+U23</f>
        <v>86.5219515</v>
      </c>
      <c r="W24" s="7"/>
      <c r="X24" s="8"/>
      <c r="Y24" s="30">
        <f>N22+X23</f>
        <v>86.5219515</v>
      </c>
      <c r="Z24" s="8"/>
      <c r="AA24" s="8"/>
      <c r="AB24" s="30">
        <f>W22+AA23</f>
        <v>86.5219515</v>
      </c>
      <c r="AC24" s="7">
        <f>AC22+AC23</f>
        <v>80</v>
      </c>
      <c r="AD24" s="8">
        <f>AD22+AD23</f>
        <v>80</v>
      </c>
      <c r="AE24" s="9">
        <f>AE22+AE23</f>
        <v>80</v>
      </c>
      <c r="AL24" s="8">
        <f>AL22+AL23</f>
        <v>107</v>
      </c>
      <c r="AM24" s="8">
        <f>AM22+AM23</f>
        <v>169</v>
      </c>
      <c r="AN24" s="8"/>
      <c r="AO24" s="188">
        <f>AO22+AO23</f>
        <v>173</v>
      </c>
      <c r="AR24" s="10"/>
      <c r="AS24" s="10"/>
      <c r="AT24" s="10"/>
    </row>
    <row r="25" spans="1:46">
      <c r="A25" s="10" t="s">
        <v>35</v>
      </c>
      <c r="B25" s="7"/>
      <c r="C25" s="8"/>
      <c r="D25" s="8"/>
      <c r="E25" s="9"/>
      <c r="F25" s="189">
        <f>F23/F24</f>
        <v>0.4</v>
      </c>
      <c r="G25" s="189">
        <f>G23/G24</f>
        <v>0.4</v>
      </c>
      <c r="H25" s="189">
        <f>H23/H24</f>
        <v>0.33333333333333331</v>
      </c>
      <c r="I25" s="189">
        <f>I23/I24</f>
        <v>0.4</v>
      </c>
      <c r="J25" s="189"/>
      <c r="K25" s="7"/>
      <c r="L25" s="8"/>
      <c r="M25" s="214">
        <f>L23/M24</f>
        <v>0.42857142857142855</v>
      </c>
      <c r="N25" s="8"/>
      <c r="O25" s="8"/>
      <c r="P25" s="214">
        <f>O23/P24</f>
        <v>0.6934656345563357</v>
      </c>
      <c r="Q25" s="8"/>
      <c r="R25" s="8"/>
      <c r="S25" s="214">
        <f>R23/S24</f>
        <v>0.6934656345563357</v>
      </c>
      <c r="T25" s="8"/>
      <c r="U25" s="8"/>
      <c r="V25" s="214">
        <f>U23/V24</f>
        <v>0.6934656345563357</v>
      </c>
      <c r="W25" s="7"/>
      <c r="X25" s="8"/>
      <c r="Y25" s="214">
        <f>X23/Y24</f>
        <v>0.6934656345563357</v>
      </c>
      <c r="Z25" s="8"/>
      <c r="AA25" s="8"/>
      <c r="AB25" s="214">
        <f>AA23/AB24</f>
        <v>0.6934656345563357</v>
      </c>
      <c r="AC25" s="7"/>
      <c r="AD25" s="8"/>
      <c r="AE25" s="9"/>
      <c r="AL25" s="215">
        <f>AL23/AL24</f>
        <v>0.46728971962616822</v>
      </c>
      <c r="AM25" s="215">
        <f>AM23/AM24</f>
        <v>0.41420118343195267</v>
      </c>
      <c r="AN25" s="188"/>
      <c r="AO25" s="215">
        <f>AO23/AO24</f>
        <v>0.69364161849710981</v>
      </c>
      <c r="AR25" s="10"/>
      <c r="AS25" s="10"/>
      <c r="AT25" s="10"/>
    </row>
    <row r="26" spans="1:46">
      <c r="B26" s="7"/>
      <c r="C26" s="8"/>
      <c r="D26" s="8"/>
      <c r="E26" s="9"/>
      <c r="F26" s="187"/>
      <c r="G26" s="187"/>
      <c r="H26" s="8"/>
      <c r="I26" s="187"/>
      <c r="J26" s="187"/>
      <c r="K26" s="7"/>
      <c r="L26" s="8"/>
      <c r="M26" s="20"/>
      <c r="N26" s="8"/>
      <c r="O26" s="8"/>
      <c r="P26" s="20"/>
      <c r="Q26" s="8"/>
      <c r="R26" s="8"/>
      <c r="S26" s="20"/>
      <c r="T26" s="8"/>
      <c r="U26" s="8"/>
      <c r="V26" s="20"/>
      <c r="W26" s="7"/>
      <c r="X26" s="8"/>
      <c r="Y26" s="20"/>
      <c r="Z26" s="8"/>
      <c r="AA26" s="8"/>
      <c r="AB26" s="20"/>
      <c r="AC26" s="7"/>
      <c r="AD26" s="8"/>
      <c r="AE26" s="9"/>
      <c r="AL26" s="8"/>
      <c r="AM26" s="8"/>
      <c r="AN26" s="8"/>
      <c r="AO26" s="188"/>
      <c r="AP26" s="36"/>
      <c r="AQ26" s="36"/>
      <c r="AR26" s="10"/>
      <c r="AS26" s="10"/>
      <c r="AT26" s="10"/>
    </row>
    <row r="27" spans="1:46">
      <c r="A27" s="10" t="s">
        <v>36</v>
      </c>
      <c r="B27" s="7"/>
      <c r="C27" s="8"/>
      <c r="D27" s="8"/>
      <c r="E27" s="9"/>
      <c r="F27" s="187"/>
      <c r="G27" s="187"/>
      <c r="H27" s="8"/>
      <c r="I27" s="187"/>
      <c r="J27" s="212"/>
      <c r="K27" s="7"/>
      <c r="L27" s="8"/>
      <c r="M27" s="9"/>
      <c r="N27" s="8"/>
      <c r="O27" s="8"/>
      <c r="P27" s="9"/>
      <c r="Q27" s="8"/>
      <c r="R27" s="8"/>
      <c r="S27" s="9"/>
      <c r="T27" s="8"/>
      <c r="U27" s="8"/>
      <c r="V27" s="9"/>
      <c r="W27" s="7"/>
      <c r="X27" s="8"/>
      <c r="Y27" s="9"/>
      <c r="Z27" s="8"/>
      <c r="AA27" s="8"/>
      <c r="AB27" s="9"/>
      <c r="AC27" s="28"/>
      <c r="AD27" s="29"/>
      <c r="AE27" s="30"/>
      <c r="AL27" s="188"/>
      <c r="AM27" s="188"/>
      <c r="AN27" s="188"/>
      <c r="AO27" s="188"/>
      <c r="AP27" s="10"/>
      <c r="AQ27" s="10"/>
      <c r="AR27" s="10"/>
      <c r="AS27" s="10"/>
      <c r="AT27" s="10"/>
    </row>
    <row r="28" spans="1:46">
      <c r="A28" s="10" t="s">
        <v>37</v>
      </c>
      <c r="B28" s="7"/>
      <c r="C28" s="8"/>
      <c r="D28" s="8"/>
      <c r="E28" s="9"/>
      <c r="F28" s="187"/>
      <c r="G28" s="187"/>
      <c r="H28" s="8"/>
      <c r="I28" s="187"/>
      <c r="J28" s="212"/>
      <c r="K28" s="7"/>
      <c r="L28" s="8"/>
      <c r="M28" s="9"/>
      <c r="N28" s="8"/>
      <c r="O28" s="8"/>
      <c r="P28" s="9"/>
      <c r="Q28" s="8"/>
      <c r="R28" s="8"/>
      <c r="S28" s="9"/>
      <c r="T28" s="8"/>
      <c r="U28" s="8"/>
      <c r="V28" s="9"/>
      <c r="W28" s="7"/>
      <c r="X28" s="8"/>
      <c r="Y28" s="9"/>
      <c r="Z28" s="8"/>
      <c r="AA28" s="8"/>
      <c r="AB28" s="9"/>
      <c r="AC28" s="28"/>
      <c r="AD28" s="29"/>
      <c r="AE28" s="30"/>
      <c r="AL28" s="188"/>
      <c r="AM28" s="188"/>
      <c r="AN28" s="188"/>
      <c r="AO28" s="188"/>
      <c r="AP28" s="8"/>
      <c r="AQ28" s="8"/>
      <c r="AR28" s="8"/>
      <c r="AS28" s="8"/>
      <c r="AT28" s="8"/>
    </row>
    <row r="29" spans="1:46" ht="13">
      <c r="A29" s="10" t="s">
        <v>38</v>
      </c>
      <c r="B29" s="7"/>
      <c r="C29" s="8"/>
      <c r="D29" s="8"/>
      <c r="E29" s="9"/>
      <c r="F29" s="187"/>
      <c r="G29" s="187"/>
      <c r="H29" s="8"/>
      <c r="I29" s="187"/>
      <c r="J29" s="203"/>
      <c r="K29" s="7"/>
      <c r="L29" s="8"/>
      <c r="M29" s="9"/>
      <c r="N29" s="8"/>
      <c r="O29" s="8"/>
      <c r="P29" s="9"/>
      <c r="Q29" s="8"/>
      <c r="R29" s="8"/>
      <c r="S29" s="9"/>
      <c r="T29" s="8"/>
      <c r="U29" s="8"/>
      <c r="V29" s="9"/>
      <c r="W29" s="7"/>
      <c r="X29" s="8"/>
      <c r="Y29" s="9"/>
      <c r="Z29" s="8"/>
      <c r="AA29" s="8"/>
      <c r="AB29" s="9"/>
      <c r="AC29" s="7">
        <v>50</v>
      </c>
      <c r="AD29" s="8">
        <v>50</v>
      </c>
      <c r="AE29" s="9">
        <v>50</v>
      </c>
      <c r="AL29" s="188"/>
      <c r="AM29" s="188"/>
      <c r="AN29" s="188"/>
      <c r="AO29" s="188"/>
      <c r="AP29" s="8"/>
      <c r="AQ29" s="8"/>
      <c r="AR29" s="8"/>
      <c r="AS29" s="8"/>
      <c r="AT29" s="8"/>
    </row>
    <row r="30" spans="1:46">
      <c r="A30" s="10" t="s">
        <v>39</v>
      </c>
      <c r="B30" s="18"/>
      <c r="C30" s="19"/>
      <c r="D30" s="19"/>
      <c r="E30" s="20"/>
      <c r="F30" s="30">
        <f>F23/0.9</f>
        <v>44.444444444444443</v>
      </c>
      <c r="G30" s="30">
        <f>G23/0.9</f>
        <v>44.444444444444443</v>
      </c>
      <c r="H30" s="30">
        <f>H23/0.9</f>
        <v>44.444444444444443</v>
      </c>
      <c r="I30" s="30">
        <f>I23/0.9</f>
        <v>44.444444444444443</v>
      </c>
      <c r="J30" s="212">
        <f>J23/0.9</f>
        <v>88.888888888888886</v>
      </c>
      <c r="K30" s="7"/>
      <c r="L30" s="29">
        <f>L23/0.9</f>
        <v>66.666666666666671</v>
      </c>
      <c r="M30" s="9"/>
      <c r="N30" s="8"/>
      <c r="O30" s="29">
        <f>O23/0.9</f>
        <v>66.666666666666671</v>
      </c>
      <c r="P30" s="9"/>
      <c r="Q30" s="8"/>
      <c r="R30" s="29">
        <f>R23/0.9</f>
        <v>66.666666666666671</v>
      </c>
      <c r="S30" s="9"/>
      <c r="T30" s="8"/>
      <c r="U30" s="29">
        <f>U23/0.9</f>
        <v>66.666666666666671</v>
      </c>
      <c r="V30" s="9"/>
      <c r="W30" s="7"/>
      <c r="X30" s="29">
        <f>X23/0.9</f>
        <v>66.666666666666671</v>
      </c>
      <c r="Y30" s="9"/>
      <c r="Z30" s="8"/>
      <c r="AA30" s="29">
        <f>AA23/0.9</f>
        <v>66.666666666666671</v>
      </c>
      <c r="AB30" s="9"/>
      <c r="AC30" s="28">
        <v>44</v>
      </c>
      <c r="AD30" s="29">
        <v>44</v>
      </c>
      <c r="AE30" s="30">
        <v>44</v>
      </c>
      <c r="AL30" s="188"/>
      <c r="AM30" s="188"/>
      <c r="AN30" s="188"/>
      <c r="AO30" s="188"/>
      <c r="AP30" s="8"/>
      <c r="AQ30" s="8"/>
      <c r="AR30" s="8"/>
      <c r="AS30" s="8"/>
      <c r="AT30" s="8"/>
    </row>
    <row r="31" spans="1:46">
      <c r="B31" s="25"/>
      <c r="C31" s="26"/>
      <c r="D31" s="26"/>
      <c r="E31" s="27"/>
      <c r="F31" s="202"/>
      <c r="G31" s="202"/>
      <c r="H31" s="202"/>
      <c r="I31" s="202"/>
      <c r="J31" s="202"/>
      <c r="K31" s="25"/>
      <c r="L31" s="26"/>
      <c r="M31" s="27"/>
      <c r="N31" s="26"/>
      <c r="O31" s="26"/>
      <c r="P31" s="27"/>
      <c r="Q31" s="26"/>
      <c r="R31" s="26"/>
      <c r="S31" s="27"/>
      <c r="T31" s="26"/>
      <c r="U31" s="26"/>
      <c r="V31" s="27"/>
      <c r="W31" s="25"/>
      <c r="X31" s="26"/>
      <c r="Y31" s="27"/>
      <c r="Z31" s="26"/>
      <c r="AA31" s="26"/>
      <c r="AB31" s="27"/>
      <c r="AC31" s="25"/>
      <c r="AD31" s="26"/>
      <c r="AE31" s="27"/>
      <c r="AL31" s="188"/>
      <c r="AM31" s="188"/>
      <c r="AN31" s="188"/>
      <c r="AO31" s="188"/>
      <c r="AP31" s="26"/>
      <c r="AQ31" s="26"/>
      <c r="AR31" s="26"/>
      <c r="AS31" s="26"/>
      <c r="AT31" s="26"/>
    </row>
    <row r="32" spans="1:46" s="381" customFormat="1" ht="13">
      <c r="A32" s="382" t="s">
        <v>454</v>
      </c>
      <c r="B32" s="383">
        <f>B10*1000000/3600</f>
        <v>164.83500000000001</v>
      </c>
      <c r="C32" s="384">
        <f>B32</f>
        <v>164.83500000000001</v>
      </c>
      <c r="D32" s="384">
        <f>C32</f>
        <v>164.83500000000001</v>
      </c>
      <c r="E32" s="385">
        <f>D32</f>
        <v>164.83500000000001</v>
      </c>
      <c r="F32" s="386">
        <f>F10*1000000/3600</f>
        <v>164.83500000000001</v>
      </c>
      <c r="G32" s="386">
        <f>G10*1000000/3600</f>
        <v>164.83500000000001</v>
      </c>
      <c r="H32" s="386">
        <f>H10*1000000/3600</f>
        <v>164.83500000000001</v>
      </c>
      <c r="I32" s="386">
        <f>I10*1000000/3600</f>
        <v>164.83500000000001</v>
      </c>
      <c r="J32" s="386">
        <f>J10*1000000/3600</f>
        <v>164.83500000000001</v>
      </c>
      <c r="K32" s="383"/>
      <c r="L32" s="384"/>
      <c r="M32" s="385"/>
      <c r="N32" s="384"/>
      <c r="O32" s="384"/>
      <c r="P32" s="385"/>
      <c r="Q32" s="384"/>
      <c r="R32" s="384"/>
      <c r="S32" s="385"/>
      <c r="T32" s="384"/>
      <c r="U32" s="384"/>
      <c r="V32" s="385"/>
      <c r="W32" s="383"/>
      <c r="X32" s="384"/>
      <c r="Y32" s="385"/>
      <c r="Z32" s="384"/>
      <c r="AA32" s="384"/>
      <c r="AB32" s="385"/>
      <c r="AC32" s="383">
        <f>AC10*1000000/3600</f>
        <v>164.83500000000001</v>
      </c>
      <c r="AD32" s="384">
        <f>AD10*1000000/3600</f>
        <v>164.83500000000001</v>
      </c>
      <c r="AE32" s="385">
        <f>AE10*1000000/3600</f>
        <v>164.83500000000004</v>
      </c>
      <c r="AG32" s="201"/>
      <c r="AH32" s="201"/>
      <c r="AI32" s="201"/>
      <c r="AJ32" s="201"/>
      <c r="AK32" s="73"/>
      <c r="AL32" s="201"/>
      <c r="AM32" s="201"/>
      <c r="AN32" s="201"/>
      <c r="AO32" s="201"/>
      <c r="AP32" s="379"/>
      <c r="AQ32" s="379"/>
      <c r="AR32" s="379"/>
      <c r="AS32" s="379"/>
      <c r="AT32" s="379"/>
    </row>
    <row r="33" spans="1:46" s="381" customFormat="1" ht="13">
      <c r="A33" s="382" t="s">
        <v>455</v>
      </c>
      <c r="B33" s="378"/>
      <c r="C33" s="379"/>
      <c r="D33" s="379"/>
      <c r="E33" s="380"/>
      <c r="F33" s="203"/>
      <c r="G33" s="203"/>
      <c r="H33" s="379"/>
      <c r="I33" s="203"/>
      <c r="J33" s="213"/>
      <c r="K33" s="378"/>
      <c r="L33" s="379"/>
      <c r="M33" s="380"/>
      <c r="N33" s="379"/>
      <c r="O33" s="379"/>
      <c r="P33" s="380"/>
      <c r="Q33" s="379"/>
      <c r="R33" s="379"/>
      <c r="S33" s="380"/>
      <c r="T33" s="379"/>
      <c r="U33" s="379"/>
      <c r="V33" s="380"/>
      <c r="W33" s="378"/>
      <c r="X33" s="379"/>
      <c r="Y33" s="380"/>
      <c r="Z33" s="379"/>
      <c r="AA33" s="379"/>
      <c r="AB33" s="380"/>
      <c r="AC33" s="387"/>
      <c r="AD33" s="388"/>
      <c r="AE33" s="389"/>
      <c r="AG33" s="201"/>
      <c r="AH33" s="201"/>
      <c r="AI33" s="201"/>
      <c r="AJ33" s="201"/>
      <c r="AK33" s="73"/>
      <c r="AL33" s="201"/>
      <c r="AM33" s="201"/>
      <c r="AN33" s="201"/>
      <c r="AO33" s="201"/>
      <c r="AP33" s="379"/>
      <c r="AQ33" s="379"/>
      <c r="AR33" s="379"/>
      <c r="AS33" s="379"/>
      <c r="AT33" s="379"/>
    </row>
    <row r="34" spans="1:46" s="381" customFormat="1" ht="13">
      <c r="A34" s="382" t="s">
        <v>37</v>
      </c>
      <c r="B34" s="378"/>
      <c r="C34" s="379"/>
      <c r="D34" s="379"/>
      <c r="E34" s="380"/>
      <c r="F34" s="203"/>
      <c r="G34" s="203"/>
      <c r="H34" s="379"/>
      <c r="I34" s="203"/>
      <c r="J34" s="213"/>
      <c r="K34" s="378"/>
      <c r="L34" s="379"/>
      <c r="M34" s="380"/>
      <c r="N34" s="379"/>
      <c r="O34" s="379"/>
      <c r="P34" s="380"/>
      <c r="Q34" s="379"/>
      <c r="R34" s="379"/>
      <c r="S34" s="380"/>
      <c r="T34" s="379"/>
      <c r="U34" s="379"/>
      <c r="V34" s="380"/>
      <c r="W34" s="378"/>
      <c r="X34" s="379"/>
      <c r="Y34" s="380"/>
      <c r="Z34" s="379"/>
      <c r="AA34" s="379"/>
      <c r="AB34" s="380"/>
      <c r="AC34" s="387"/>
      <c r="AD34" s="388"/>
      <c r="AE34" s="389"/>
      <c r="AG34" s="201"/>
      <c r="AH34" s="201"/>
      <c r="AI34" s="201"/>
      <c r="AJ34" s="201"/>
      <c r="AK34" s="73"/>
      <c r="AL34" s="201"/>
      <c r="AM34" s="201"/>
      <c r="AN34" s="201"/>
      <c r="AO34" s="201"/>
      <c r="AP34" s="379"/>
      <c r="AQ34" s="379"/>
      <c r="AR34" s="379"/>
      <c r="AS34" s="379"/>
      <c r="AT34" s="379"/>
    </row>
    <row r="35" spans="1:46" s="381" customFormat="1" ht="13">
      <c r="A35" s="382" t="s">
        <v>38</v>
      </c>
      <c r="B35" s="390"/>
      <c r="C35" s="391"/>
      <c r="D35" s="391"/>
      <c r="E35" s="392"/>
      <c r="F35" s="393"/>
      <c r="G35" s="393"/>
      <c r="H35" s="391"/>
      <c r="I35" s="393"/>
      <c r="J35" s="386"/>
      <c r="K35" s="390"/>
      <c r="L35" s="391"/>
      <c r="M35" s="392"/>
      <c r="N35" s="391"/>
      <c r="O35" s="391"/>
      <c r="P35" s="392"/>
      <c r="Q35" s="391"/>
      <c r="R35" s="391"/>
      <c r="S35" s="392"/>
      <c r="T35" s="391"/>
      <c r="U35" s="391"/>
      <c r="V35" s="392"/>
      <c r="W35" s="390"/>
      <c r="X35" s="391"/>
      <c r="Y35" s="392"/>
      <c r="Z35" s="391"/>
      <c r="AA35" s="391"/>
      <c r="AB35" s="392"/>
      <c r="AC35" s="390"/>
      <c r="AD35" s="391"/>
      <c r="AE35" s="392"/>
      <c r="AG35" s="201"/>
      <c r="AH35" s="201"/>
      <c r="AI35" s="201"/>
      <c r="AJ35" s="201"/>
      <c r="AK35" s="73"/>
      <c r="AL35" s="201"/>
      <c r="AM35" s="201"/>
      <c r="AN35" s="201"/>
      <c r="AS35" s="379"/>
      <c r="AT35" s="394"/>
    </row>
    <row r="36" spans="1:46" s="381" customFormat="1" ht="13">
      <c r="A36" s="382" t="s">
        <v>333</v>
      </c>
      <c r="B36" s="390"/>
      <c r="C36" s="391"/>
      <c r="D36" s="391"/>
      <c r="E36" s="392"/>
      <c r="F36" s="393"/>
      <c r="G36" s="393"/>
      <c r="H36" s="391"/>
      <c r="I36" s="393"/>
      <c r="J36" s="386"/>
      <c r="K36" s="390"/>
      <c r="L36" s="391"/>
      <c r="M36" s="392"/>
      <c r="N36" s="391"/>
      <c r="O36" s="391"/>
      <c r="P36" s="392"/>
      <c r="Q36" s="391"/>
      <c r="R36" s="391"/>
      <c r="S36" s="392"/>
      <c r="T36" s="391"/>
      <c r="U36" s="391"/>
      <c r="V36" s="392"/>
      <c r="W36" s="390"/>
      <c r="X36" s="391"/>
      <c r="Y36" s="392"/>
      <c r="Z36" s="391"/>
      <c r="AA36" s="391"/>
      <c r="AB36" s="392"/>
      <c r="AC36" s="383"/>
      <c r="AD36" s="384"/>
      <c r="AE36" s="385"/>
      <c r="AG36" s="201"/>
      <c r="AH36" s="201"/>
      <c r="AI36" s="201"/>
      <c r="AJ36" s="201"/>
      <c r="AK36" s="73"/>
      <c r="AL36" s="201"/>
      <c r="AM36" s="201"/>
      <c r="AN36" s="201"/>
      <c r="AO36" s="201"/>
      <c r="AP36" s="379"/>
      <c r="AQ36" s="379"/>
      <c r="AR36" s="379"/>
      <c r="AS36" s="379"/>
      <c r="AT36" s="379"/>
    </row>
    <row r="37" spans="1:46" s="381" customFormat="1" ht="13">
      <c r="A37" s="382"/>
      <c r="B37" s="390"/>
      <c r="C37" s="391"/>
      <c r="D37" s="391"/>
      <c r="E37" s="392"/>
      <c r="F37" s="393"/>
      <c r="G37" s="393"/>
      <c r="H37" s="391"/>
      <c r="I37" s="393"/>
      <c r="J37" s="386"/>
      <c r="K37" s="390"/>
      <c r="L37" s="391"/>
      <c r="M37" s="392"/>
      <c r="N37" s="391"/>
      <c r="O37" s="391"/>
      <c r="P37" s="392"/>
      <c r="Q37" s="391"/>
      <c r="R37" s="391"/>
      <c r="S37" s="392"/>
      <c r="T37" s="391"/>
      <c r="U37" s="391"/>
      <c r="V37" s="392"/>
      <c r="W37" s="390"/>
      <c r="X37" s="391"/>
      <c r="Y37" s="392"/>
      <c r="Z37" s="391"/>
      <c r="AA37" s="391"/>
      <c r="AB37" s="392"/>
      <c r="AC37" s="383"/>
      <c r="AD37" s="384"/>
      <c r="AE37" s="385"/>
      <c r="AG37" s="201"/>
      <c r="AH37" s="201"/>
      <c r="AI37" s="201"/>
      <c r="AJ37" s="201"/>
      <c r="AK37" s="73"/>
      <c r="AL37" s="201"/>
      <c r="AM37" s="201"/>
      <c r="AN37" s="201"/>
      <c r="AO37" s="201"/>
      <c r="AP37" s="379"/>
      <c r="AQ37" s="379"/>
      <c r="AR37" s="379"/>
      <c r="AS37" s="379"/>
      <c r="AT37" s="379"/>
    </row>
    <row r="38" spans="1:46" s="381" customFormat="1" ht="13">
      <c r="A38" s="382" t="s">
        <v>456</v>
      </c>
      <c r="B38" s="383">
        <f t="shared" ref="B38:J38" si="3">100*1.609</f>
        <v>160.9</v>
      </c>
      <c r="C38" s="384">
        <f t="shared" si="3"/>
        <v>160.9</v>
      </c>
      <c r="D38" s="384">
        <f t="shared" si="3"/>
        <v>160.9</v>
      </c>
      <c r="E38" s="385">
        <f t="shared" si="3"/>
        <v>160.9</v>
      </c>
      <c r="F38" s="386">
        <f t="shared" si="3"/>
        <v>160.9</v>
      </c>
      <c r="G38" s="386">
        <f t="shared" si="3"/>
        <v>160.9</v>
      </c>
      <c r="H38" s="384">
        <f t="shared" si="3"/>
        <v>160.9</v>
      </c>
      <c r="I38" s="386">
        <f t="shared" si="3"/>
        <v>160.9</v>
      </c>
      <c r="J38" s="386">
        <f t="shared" si="3"/>
        <v>160.9</v>
      </c>
      <c r="K38" s="390"/>
      <c r="L38" s="391"/>
      <c r="M38" s="385">
        <f>100*1.609</f>
        <v>160.9</v>
      </c>
      <c r="N38" s="391"/>
      <c r="O38" s="391"/>
      <c r="P38" s="385">
        <f>100*1.609</f>
        <v>160.9</v>
      </c>
      <c r="Q38" s="391"/>
      <c r="R38" s="391"/>
      <c r="S38" s="385">
        <f>100*1.609</f>
        <v>160.9</v>
      </c>
      <c r="T38" s="391"/>
      <c r="U38" s="391"/>
      <c r="V38" s="385">
        <f>100*1.609</f>
        <v>160.9</v>
      </c>
      <c r="W38" s="390"/>
      <c r="X38" s="391"/>
      <c r="Y38" s="385">
        <f>100*1.609</f>
        <v>160.9</v>
      </c>
      <c r="Z38" s="391"/>
      <c r="AA38" s="391"/>
      <c r="AB38" s="385">
        <f>100*1.609</f>
        <v>160.9</v>
      </c>
      <c r="AC38" s="383">
        <f>100*1.609</f>
        <v>160.9</v>
      </c>
      <c r="AD38" s="384">
        <f>100*1.609</f>
        <v>160.9</v>
      </c>
      <c r="AE38" s="385">
        <f>100*1.609</f>
        <v>160.9</v>
      </c>
      <c r="AG38" s="201"/>
      <c r="AH38" s="201"/>
      <c r="AI38" s="201"/>
      <c r="AJ38" s="201"/>
      <c r="AK38" s="73"/>
      <c r="AL38" s="201"/>
      <c r="AM38" s="201"/>
      <c r="AN38" s="201"/>
      <c r="AO38" s="395"/>
      <c r="AP38" s="379"/>
      <c r="AQ38" s="379"/>
      <c r="AR38" s="379"/>
      <c r="AS38" s="379"/>
      <c r="AT38" s="379"/>
    </row>
    <row r="39" spans="1:46" s="381" customFormat="1" ht="13">
      <c r="A39" s="382" t="s">
        <v>457</v>
      </c>
      <c r="B39" s="396">
        <f t="shared" ref="B39:J39" si="4">B10*B38/3600*1000</f>
        <v>26.521951499999997</v>
      </c>
      <c r="C39" s="384">
        <f t="shared" si="4"/>
        <v>0</v>
      </c>
      <c r="D39" s="384">
        <f t="shared" si="4"/>
        <v>0</v>
      </c>
      <c r="E39" s="385">
        <f t="shared" si="4"/>
        <v>0</v>
      </c>
      <c r="F39" s="386">
        <f t="shared" si="4"/>
        <v>26.521951499999997</v>
      </c>
      <c r="G39" s="386">
        <f>G10*G38/3600*1000</f>
        <v>26.521951499999997</v>
      </c>
      <c r="H39" s="384">
        <f>H10*H38/3600*1000</f>
        <v>26.521951499999997</v>
      </c>
      <c r="I39" s="386">
        <f>I10*I38/3600*1000</f>
        <v>26.521951499999997</v>
      </c>
      <c r="J39" s="386">
        <f t="shared" si="4"/>
        <v>26.521951499999997</v>
      </c>
      <c r="K39" s="390"/>
      <c r="L39" s="391"/>
      <c r="M39" s="385">
        <f>AVERAGE(E10:L10)*M38/3600*1000</f>
        <v>26.521951499999997</v>
      </c>
      <c r="N39" s="391"/>
      <c r="O39" s="391"/>
      <c r="P39" s="385">
        <f>AVERAGE(K10:O10)*P38/3600*1000</f>
        <v>26.521951499999997</v>
      </c>
      <c r="Q39" s="391"/>
      <c r="R39" s="391"/>
      <c r="S39" s="385">
        <f>AVERAGE(N10:R10)*S38/3600*1000</f>
        <v>26.521951499999997</v>
      </c>
      <c r="T39" s="391"/>
      <c r="U39" s="391"/>
      <c r="V39" s="385">
        <f>AVERAGE(N10:U10)*V38/3600*1000</f>
        <v>26.521951499999997</v>
      </c>
      <c r="W39" s="390"/>
      <c r="X39" s="391"/>
      <c r="Y39" s="385">
        <f>AVERAGE(N10:X10)*Y38/3600*1000</f>
        <v>26.521951499999997</v>
      </c>
      <c r="Z39" s="391"/>
      <c r="AA39" s="391"/>
      <c r="AB39" s="385">
        <f>AVERAGE(W10:AA10)*AB38/3600*1000</f>
        <v>26.521951499999997</v>
      </c>
      <c r="AC39" s="383">
        <f>AC10*AC38/3600*1000</f>
        <v>26.521951499999997</v>
      </c>
      <c r="AD39" s="384">
        <f>AD10*AD38/3600*1000</f>
        <v>26.521951499999997</v>
      </c>
      <c r="AE39" s="385">
        <f>AE10*AE38/3600*1000</f>
        <v>26.521951500000007</v>
      </c>
      <c r="AG39" s="201"/>
      <c r="AH39" s="201"/>
      <c r="AI39" s="201"/>
      <c r="AJ39" s="201"/>
      <c r="AK39" s="73"/>
      <c r="AL39" s="201"/>
      <c r="AM39" s="201"/>
      <c r="AN39" s="201"/>
      <c r="AO39" s="384"/>
      <c r="AP39" s="379"/>
      <c r="AQ39" s="379"/>
      <c r="AR39" s="379"/>
      <c r="AS39" s="379"/>
      <c r="AT39" s="379"/>
    </row>
    <row r="40" spans="1:46" s="381" customFormat="1" ht="13">
      <c r="A40" s="382" t="s">
        <v>458</v>
      </c>
      <c r="B40" s="383"/>
      <c r="C40" s="384"/>
      <c r="D40" s="384"/>
      <c r="E40" s="385"/>
      <c r="F40" s="386"/>
      <c r="G40" s="386"/>
      <c r="H40" s="384"/>
      <c r="I40" s="386"/>
      <c r="J40" s="386"/>
      <c r="K40" s="390"/>
      <c r="L40" s="391"/>
      <c r="M40" s="385">
        <f>M39/0.9</f>
        <v>29.468834999999995</v>
      </c>
      <c r="N40" s="391"/>
      <c r="O40" s="391"/>
      <c r="P40" s="385">
        <f>P39/0.9</f>
        <v>29.468834999999995</v>
      </c>
      <c r="Q40" s="391"/>
      <c r="R40" s="391"/>
      <c r="S40" s="385">
        <f>S39/0.9</f>
        <v>29.468834999999995</v>
      </c>
      <c r="T40" s="391"/>
      <c r="U40" s="391"/>
      <c r="V40" s="385">
        <f>V39/0.9</f>
        <v>29.468834999999995</v>
      </c>
      <c r="W40" s="390"/>
      <c r="X40" s="391"/>
      <c r="Y40" s="385">
        <f>Y39/0.9</f>
        <v>29.468834999999995</v>
      </c>
      <c r="Z40" s="391"/>
      <c r="AA40" s="391"/>
      <c r="AB40" s="385">
        <f>AB39/0.9</f>
        <v>29.468834999999995</v>
      </c>
      <c r="AC40" s="383"/>
      <c r="AD40" s="384"/>
      <c r="AE40" s="385"/>
      <c r="AG40" s="201"/>
      <c r="AH40" s="201"/>
      <c r="AI40" s="201"/>
      <c r="AJ40" s="201"/>
      <c r="AK40" s="73"/>
      <c r="AL40" s="201"/>
      <c r="AM40" s="201"/>
      <c r="AN40" s="201"/>
      <c r="AO40" s="384"/>
      <c r="AP40" s="379"/>
      <c r="AQ40" s="379"/>
      <c r="AR40" s="379"/>
      <c r="AS40" s="379"/>
      <c r="AT40" s="379"/>
    </row>
    <row r="41" spans="1:46">
      <c r="B41" s="7"/>
      <c r="C41" s="8"/>
      <c r="D41" s="8"/>
      <c r="E41" s="9"/>
      <c r="F41" s="187"/>
      <c r="G41" s="187"/>
      <c r="H41" s="8"/>
      <c r="I41" s="187"/>
      <c r="J41" s="187"/>
      <c r="K41" s="7"/>
      <c r="L41" s="8"/>
      <c r="M41" s="9"/>
      <c r="N41" s="8"/>
      <c r="O41" s="8"/>
      <c r="P41" s="9"/>
      <c r="Q41" s="8"/>
      <c r="R41" s="8"/>
      <c r="S41" s="9"/>
      <c r="T41" s="8"/>
      <c r="U41" s="8"/>
      <c r="V41" s="9"/>
      <c r="W41" s="7"/>
      <c r="X41" s="8"/>
      <c r="Y41" s="9"/>
      <c r="Z41" s="8"/>
      <c r="AA41" s="8"/>
      <c r="AB41" s="9"/>
      <c r="AC41" s="7"/>
      <c r="AD41" s="8"/>
      <c r="AE41" s="9"/>
      <c r="AG41" s="8"/>
      <c r="AH41" s="8"/>
      <c r="AI41" s="8"/>
      <c r="AJ41" s="8"/>
      <c r="AK41" s="8"/>
      <c r="AL41" s="8"/>
      <c r="AM41" s="8"/>
      <c r="AN41" s="8"/>
      <c r="AO41" s="8"/>
    </row>
    <row r="42" spans="1:46" ht="13">
      <c r="A42" s="6" t="s">
        <v>40</v>
      </c>
      <c r="B42" s="7"/>
      <c r="C42" s="8"/>
      <c r="D42" s="8"/>
      <c r="E42" s="9"/>
      <c r="F42" s="187"/>
      <c r="G42" s="187"/>
      <c r="H42" s="8"/>
      <c r="I42" s="187"/>
      <c r="J42" s="187"/>
      <c r="K42" s="7"/>
      <c r="L42" s="8"/>
      <c r="M42" s="9"/>
      <c r="N42" s="8"/>
      <c r="O42" s="8"/>
      <c r="P42" s="9"/>
      <c r="Q42" s="8"/>
      <c r="R42" s="8"/>
      <c r="S42" s="9"/>
      <c r="T42" s="8"/>
      <c r="U42" s="8"/>
      <c r="V42" s="9"/>
      <c r="W42" s="7"/>
      <c r="X42" s="8"/>
      <c r="Y42" s="9"/>
      <c r="Z42" s="8"/>
      <c r="AA42" s="8"/>
      <c r="AB42" s="9"/>
      <c r="AC42" s="7"/>
      <c r="AD42" s="8"/>
      <c r="AE42" s="9"/>
      <c r="AG42" s="12"/>
      <c r="AH42" s="12"/>
      <c r="AI42" s="12"/>
      <c r="AJ42" s="12"/>
      <c r="AK42" s="12"/>
      <c r="AL42" s="12"/>
      <c r="AM42" s="12"/>
      <c r="AN42" s="12"/>
      <c r="AO42" s="8"/>
    </row>
    <row r="43" spans="1:46">
      <c r="A43" s="10" t="s">
        <v>41</v>
      </c>
      <c r="B43" s="7">
        <v>44</v>
      </c>
      <c r="C43" s="8">
        <v>44</v>
      </c>
      <c r="D43" s="8">
        <v>44</v>
      </c>
      <c r="E43" s="9">
        <f>'Base data for vehicles'!B43</f>
        <v>49</v>
      </c>
      <c r="F43" s="187">
        <v>44</v>
      </c>
      <c r="G43" s="187">
        <v>44</v>
      </c>
      <c r="H43" s="8">
        <v>44</v>
      </c>
      <c r="I43" s="187">
        <f>E43</f>
        <v>49</v>
      </c>
      <c r="J43" s="187"/>
      <c r="K43" s="7">
        <v>44</v>
      </c>
      <c r="L43" s="8"/>
      <c r="M43" s="9"/>
      <c r="N43" s="8">
        <v>44</v>
      </c>
      <c r="O43" s="8"/>
      <c r="P43" s="9"/>
      <c r="Q43" s="8">
        <v>44</v>
      </c>
      <c r="R43" s="8"/>
      <c r="S43" s="9"/>
      <c r="T43" s="8">
        <f>E43</f>
        <v>49</v>
      </c>
      <c r="U43" s="8"/>
      <c r="V43" s="9"/>
      <c r="W43" s="7">
        <v>44</v>
      </c>
      <c r="X43" s="8"/>
      <c r="Y43" s="9"/>
      <c r="Z43" s="8">
        <v>44</v>
      </c>
      <c r="AA43" s="8"/>
      <c r="AB43" s="9"/>
      <c r="AC43" s="25"/>
      <c r="AD43" s="26"/>
      <c r="AE43" s="27"/>
      <c r="AG43" s="12"/>
      <c r="AH43" s="12"/>
      <c r="AI43" s="12"/>
      <c r="AJ43" s="12"/>
      <c r="AK43" s="12"/>
      <c r="AL43" s="12"/>
      <c r="AM43" s="12"/>
      <c r="AN43" s="12"/>
      <c r="AO43" s="8"/>
    </row>
    <row r="44" spans="1:46">
      <c r="A44" s="10" t="s">
        <v>459</v>
      </c>
      <c r="B44" s="7"/>
      <c r="C44" s="8"/>
      <c r="D44" s="8"/>
      <c r="E44" s="9"/>
      <c r="F44" s="187">
        <f>ROUNDUP('Base data for vehicles'!$B$88,0)</f>
        <v>7</v>
      </c>
      <c r="G44" s="187">
        <f>ROUNDUP('Base data for vehicles'!$B$88,0)</f>
        <v>7</v>
      </c>
      <c r="H44" s="187">
        <f>ROUNDUP('Base data for vehicles'!$B$88,0)</f>
        <v>7</v>
      </c>
      <c r="I44" s="187">
        <f>ROUNDUP('Base data for vehicles'!$B$88,0)</f>
        <v>7</v>
      </c>
      <c r="J44" s="187">
        <f>ROUNDUP('Base data for vehicles'!$B$88,0)</f>
        <v>7</v>
      </c>
      <c r="K44" s="7"/>
      <c r="L44" s="187">
        <f>ROUNDUP('Base data for vehicles'!$B$88,0)</f>
        <v>7</v>
      </c>
      <c r="M44" s="9"/>
      <c r="N44" s="8"/>
      <c r="O44" s="187">
        <f>ROUNDUP('Base data for vehicles'!$B$88,0)</f>
        <v>7</v>
      </c>
      <c r="P44" s="9"/>
      <c r="Q44" s="8"/>
      <c r="R44" s="187">
        <f>ROUNDUP('Base data for vehicles'!$B$88,0)</f>
        <v>7</v>
      </c>
      <c r="S44" s="9"/>
      <c r="T44" s="8"/>
      <c r="U44" s="187">
        <f>ROUNDUP('Base data for vehicles'!$B$88,0)</f>
        <v>7</v>
      </c>
      <c r="V44" s="9"/>
      <c r="W44" s="7"/>
      <c r="X44" s="187">
        <f>ROUNDUP('Base data for vehicles'!$B$88,0)</f>
        <v>7</v>
      </c>
      <c r="Y44" s="9"/>
      <c r="Z44" s="8"/>
      <c r="AA44" s="187">
        <f>ROUNDUP('Base data for vehicles'!$B$88,0)</f>
        <v>7</v>
      </c>
      <c r="AB44" s="9"/>
      <c r="AC44" s="187">
        <f>ROUNDUP('Base data for vehicles'!$B$88,0)</f>
        <v>7</v>
      </c>
      <c r="AD44" s="187">
        <f>ROUNDUP('Base data for vehicles'!$B$88,0)</f>
        <v>7</v>
      </c>
      <c r="AE44" s="187">
        <f>ROUNDUP('Base data for vehicles'!$B$88,0)</f>
        <v>7</v>
      </c>
      <c r="AG44" s="12"/>
      <c r="AH44" s="12"/>
      <c r="AI44" s="12"/>
      <c r="AJ44" s="12"/>
      <c r="AK44" s="12"/>
      <c r="AL44" s="12"/>
      <c r="AM44" s="12"/>
      <c r="AN44" s="12"/>
    </row>
    <row r="45" spans="1:46">
      <c r="A45" s="10" t="s">
        <v>44</v>
      </c>
      <c r="B45" s="7"/>
      <c r="C45" s="8"/>
      <c r="D45" s="8"/>
      <c r="E45" s="9"/>
      <c r="F45" s="187"/>
      <c r="G45" s="187"/>
      <c r="H45" s="8"/>
      <c r="I45" s="187"/>
      <c r="J45" s="187"/>
      <c r="K45" s="7"/>
      <c r="L45" s="8"/>
      <c r="M45" s="9"/>
      <c r="N45" s="8"/>
      <c r="O45" s="8"/>
      <c r="P45" s="9"/>
      <c r="Q45" s="8"/>
      <c r="R45" s="8"/>
      <c r="S45" s="9"/>
      <c r="T45" s="8"/>
      <c r="U45" s="8"/>
      <c r="V45" s="9"/>
      <c r="W45" s="7"/>
      <c r="X45" s="8"/>
      <c r="Y45" s="9"/>
      <c r="Z45" s="8"/>
      <c r="AA45" s="8"/>
      <c r="AB45" s="9"/>
      <c r="AC45" s="7">
        <f>$W$67</f>
        <v>65</v>
      </c>
      <c r="AD45" s="8">
        <f>$W$67</f>
        <v>65</v>
      </c>
      <c r="AE45" s="9">
        <f>$W$67</f>
        <v>65</v>
      </c>
      <c r="AG45" s="12"/>
      <c r="AH45" s="12"/>
      <c r="AI45" s="12"/>
      <c r="AJ45" s="12"/>
      <c r="AK45" s="12"/>
      <c r="AL45" s="12"/>
      <c r="AM45" s="12"/>
      <c r="AN45" s="12"/>
    </row>
    <row r="46" spans="1:46">
      <c r="A46" s="10" t="s">
        <v>45</v>
      </c>
      <c r="B46" s="7"/>
      <c r="C46" s="8"/>
      <c r="D46" s="8"/>
      <c r="E46" s="9"/>
      <c r="F46" s="187"/>
      <c r="G46" s="187"/>
      <c r="H46" s="8"/>
      <c r="I46" s="187"/>
      <c r="J46" s="187"/>
      <c r="K46" s="7"/>
      <c r="L46" s="8"/>
      <c r="M46" s="9"/>
      <c r="N46" s="8"/>
      <c r="O46" s="8"/>
      <c r="P46" s="9"/>
      <c r="Q46" s="8"/>
      <c r="R46" s="8"/>
      <c r="S46" s="9"/>
      <c r="T46" s="8"/>
      <c r="U46" s="8"/>
      <c r="V46" s="9"/>
      <c r="W46" s="7"/>
      <c r="X46" s="8"/>
      <c r="Y46" s="9"/>
      <c r="Z46" s="8"/>
      <c r="AA46" s="8"/>
      <c r="AB46" s="9"/>
      <c r="AC46" s="7">
        <v>25</v>
      </c>
      <c r="AD46" s="8">
        <v>25</v>
      </c>
      <c r="AE46" s="9"/>
      <c r="AG46" s="12"/>
      <c r="AH46" s="12"/>
      <c r="AI46" s="12"/>
      <c r="AJ46" s="12"/>
      <c r="AK46" s="12"/>
      <c r="AL46" s="12"/>
      <c r="AM46" s="12"/>
      <c r="AN46" s="12"/>
    </row>
    <row r="47" spans="1:46">
      <c r="A47" s="10" t="s">
        <v>46</v>
      </c>
      <c r="B47" s="7">
        <v>100</v>
      </c>
      <c r="C47" s="8">
        <v>100</v>
      </c>
      <c r="D47" s="8">
        <f>W68</f>
        <v>1150</v>
      </c>
      <c r="E47" s="198">
        <f>W69</f>
        <v>2500</v>
      </c>
      <c r="F47" s="187">
        <f>$B47</f>
        <v>100</v>
      </c>
      <c r="G47" s="187">
        <f>$B47</f>
        <v>100</v>
      </c>
      <c r="H47" s="8">
        <f>W68</f>
        <v>1150</v>
      </c>
      <c r="I47" s="187">
        <v>2500</v>
      </c>
      <c r="J47" s="187"/>
      <c r="K47" s="7">
        <f>$B47</f>
        <v>100</v>
      </c>
      <c r="L47" s="8"/>
      <c r="M47" s="9"/>
      <c r="N47" s="8">
        <f>$B47</f>
        <v>100</v>
      </c>
      <c r="O47" s="8"/>
      <c r="P47" s="9"/>
      <c r="Q47" s="8">
        <f>W68</f>
        <v>1150</v>
      </c>
      <c r="R47" s="8"/>
      <c r="S47" s="9"/>
      <c r="T47" s="8">
        <f>W69</f>
        <v>2500</v>
      </c>
      <c r="U47" s="8"/>
      <c r="V47" s="9"/>
      <c r="W47" s="7">
        <f>$B47</f>
        <v>100</v>
      </c>
      <c r="X47" s="8"/>
      <c r="Y47" s="9"/>
      <c r="Z47" s="8">
        <f>$B47</f>
        <v>100</v>
      </c>
      <c r="AA47" s="8"/>
      <c r="AB47" s="9"/>
      <c r="AC47" s="7">
        <f>$B47</f>
        <v>100</v>
      </c>
      <c r="AD47" s="8">
        <f>$B47</f>
        <v>100</v>
      </c>
      <c r="AE47" s="9">
        <f>W69</f>
        <v>2500</v>
      </c>
      <c r="AG47" s="12"/>
      <c r="AH47" s="12"/>
      <c r="AI47" s="12"/>
      <c r="AJ47" s="12"/>
      <c r="AK47" s="12"/>
      <c r="AL47" s="12"/>
      <c r="AM47" s="12"/>
      <c r="AN47" s="12"/>
    </row>
    <row r="48" spans="1:46">
      <c r="A48" s="10" t="s">
        <v>48</v>
      </c>
      <c r="B48" s="7"/>
      <c r="C48" s="8"/>
      <c r="D48" s="8"/>
      <c r="E48" s="9"/>
      <c r="F48" s="212">
        <f>$W70*1000/3.6</f>
        <v>27777.777777777777</v>
      </c>
      <c r="G48" s="212">
        <f>$W70*1000/3.6</f>
        <v>27777.777777777777</v>
      </c>
      <c r="H48" s="212">
        <f>$W70*1000/3.6</f>
        <v>27777.777777777777</v>
      </c>
      <c r="I48" s="212">
        <f>$W70*1000/3.6</f>
        <v>27777.777777777777</v>
      </c>
      <c r="J48" s="212">
        <f>$W70*1000/3.6</f>
        <v>27777.777777777777</v>
      </c>
      <c r="K48" s="7"/>
      <c r="L48" s="29">
        <f>$W70*1000/3.6</f>
        <v>27777.777777777777</v>
      </c>
      <c r="M48" s="30"/>
      <c r="N48" s="8"/>
      <c r="O48" s="29">
        <f>$W70*1000/3.6</f>
        <v>27777.777777777777</v>
      </c>
      <c r="P48" s="30"/>
      <c r="Q48" s="8"/>
      <c r="R48" s="29">
        <f>$W70*1000/3.6</f>
        <v>27777.777777777777</v>
      </c>
      <c r="S48" s="30"/>
      <c r="T48" s="8"/>
      <c r="U48" s="29">
        <f>$W70*1000/3.6</f>
        <v>27777.777777777777</v>
      </c>
      <c r="V48" s="30"/>
      <c r="W48" s="7"/>
      <c r="X48" s="29">
        <f>$W70*1000/3.6</f>
        <v>27777.777777777777</v>
      </c>
      <c r="Y48" s="30"/>
      <c r="Z48" s="8"/>
      <c r="AA48" s="29">
        <f>$W70*1000/3.6</f>
        <v>27777.777777777777</v>
      </c>
      <c r="AB48" s="30"/>
      <c r="AC48" s="28">
        <f>$W70*1000/3.6</f>
        <v>27777.777777777777</v>
      </c>
      <c r="AD48" s="29">
        <f>$W70*1000/3.6</f>
        <v>27777.777777777777</v>
      </c>
      <c r="AE48" s="30">
        <f>$W70*1000/3.6</f>
        <v>27777.777777777777</v>
      </c>
      <c r="AG48" s="12"/>
      <c r="AH48" s="12"/>
      <c r="AI48" s="12"/>
      <c r="AJ48" s="12"/>
      <c r="AK48" s="12"/>
      <c r="AL48" s="12"/>
      <c r="AM48" s="12"/>
      <c r="AN48" s="12"/>
    </row>
    <row r="49" spans="1:41">
      <c r="A49" s="10" t="s">
        <v>50</v>
      </c>
      <c r="B49" s="7"/>
      <c r="C49" s="8"/>
      <c r="D49" s="8"/>
      <c r="E49" s="9"/>
      <c r="F49" s="187">
        <f>'Base data for vehicles'!$B$111</f>
        <v>20</v>
      </c>
      <c r="G49" s="187">
        <f>'Base data for vehicles'!$B$111</f>
        <v>20</v>
      </c>
      <c r="H49" s="187">
        <f>'Base data for vehicles'!$B$111</f>
        <v>20</v>
      </c>
      <c r="I49" s="187">
        <f>'Base data for vehicles'!$B$111</f>
        <v>20</v>
      </c>
      <c r="J49" s="187"/>
      <c r="K49" s="7"/>
      <c r="L49" s="187">
        <f>'Base data for vehicles'!$B$111</f>
        <v>20</v>
      </c>
      <c r="M49" s="9"/>
      <c r="N49" s="8"/>
      <c r="O49" s="187">
        <f>'Base data for vehicles'!$B$111</f>
        <v>20</v>
      </c>
      <c r="P49" s="9"/>
      <c r="Q49" s="8"/>
      <c r="R49" s="187">
        <f>'Base data for vehicles'!$B$111</f>
        <v>20</v>
      </c>
      <c r="S49" s="9"/>
      <c r="T49" s="8"/>
      <c r="U49" s="187">
        <f>'Base data for vehicles'!$B$111</f>
        <v>20</v>
      </c>
      <c r="V49" s="9"/>
      <c r="W49" s="7"/>
      <c r="X49" s="187">
        <f>'Base data for vehicles'!$B$111</f>
        <v>20</v>
      </c>
      <c r="Y49" s="9"/>
      <c r="Z49" s="8"/>
      <c r="AA49" s="187">
        <f>'Base data for vehicles'!$B$111</f>
        <v>20</v>
      </c>
      <c r="AB49" s="9"/>
      <c r="AC49" s="187">
        <f>'Base data for vehicles'!$B$111</f>
        <v>20</v>
      </c>
      <c r="AD49" s="187">
        <f>'Base data for vehicles'!$B$111</f>
        <v>20</v>
      </c>
      <c r="AE49" s="187">
        <f>'Base data for vehicles'!$B$111</f>
        <v>20</v>
      </c>
      <c r="AG49" s="12"/>
      <c r="AH49" s="12"/>
      <c r="AI49" s="12"/>
      <c r="AJ49" s="12"/>
      <c r="AK49" s="12"/>
      <c r="AL49" s="12"/>
      <c r="AM49" s="12"/>
      <c r="AN49" s="12"/>
    </row>
    <row r="50" spans="1:41" ht="13">
      <c r="A50" s="225" t="s">
        <v>51</v>
      </c>
      <c r="B50" s="7"/>
      <c r="C50" s="8"/>
      <c r="D50" s="8"/>
      <c r="E50" s="9"/>
      <c r="F50" s="187"/>
      <c r="G50" s="187"/>
      <c r="H50" s="8"/>
      <c r="I50" s="187"/>
      <c r="J50" s="187"/>
      <c r="K50" s="7"/>
      <c r="L50" s="8"/>
      <c r="M50" s="9"/>
      <c r="N50" s="8"/>
      <c r="O50" s="8"/>
      <c r="P50" s="9"/>
      <c r="Q50" s="8"/>
      <c r="R50" s="8"/>
      <c r="S50" s="9"/>
      <c r="T50" s="8"/>
      <c r="U50" s="8"/>
      <c r="V50" s="9"/>
      <c r="W50" s="7"/>
      <c r="X50" s="8"/>
      <c r="Y50" s="9"/>
      <c r="Z50" s="8"/>
      <c r="AA50" s="8"/>
      <c r="AB50" s="9"/>
      <c r="AC50" s="7"/>
      <c r="AD50" s="8"/>
      <c r="AE50" s="9"/>
      <c r="AG50" s="12"/>
      <c r="AH50" s="12"/>
      <c r="AI50" s="12"/>
      <c r="AJ50" s="12"/>
      <c r="AK50" s="12"/>
      <c r="AL50" s="12"/>
      <c r="AM50" s="12"/>
      <c r="AN50" s="12"/>
      <c r="AO50" s="8"/>
    </row>
    <row r="51" spans="1:41">
      <c r="B51" s="7"/>
      <c r="C51" s="8"/>
      <c r="D51" s="8"/>
      <c r="E51" s="9"/>
      <c r="F51" s="187"/>
      <c r="G51" s="187"/>
      <c r="H51" s="8"/>
      <c r="I51" s="187"/>
      <c r="J51" s="187"/>
      <c r="K51" s="7"/>
      <c r="L51" s="8"/>
      <c r="M51" s="9"/>
      <c r="N51" s="8"/>
      <c r="O51" s="8"/>
      <c r="P51" s="9"/>
      <c r="Q51" s="8"/>
      <c r="R51" s="8"/>
      <c r="S51" s="9"/>
      <c r="T51" s="8"/>
      <c r="U51" s="8"/>
      <c r="V51" s="9"/>
      <c r="W51" s="7"/>
      <c r="X51" s="8"/>
      <c r="Y51" s="9"/>
      <c r="Z51" s="8"/>
      <c r="AA51" s="8"/>
      <c r="AB51" s="9"/>
      <c r="AC51" s="7"/>
      <c r="AD51" s="8"/>
      <c r="AE51" s="9"/>
      <c r="AG51" s="12"/>
      <c r="AH51" s="12"/>
      <c r="AI51" s="12"/>
      <c r="AJ51" s="12"/>
      <c r="AK51" s="12"/>
      <c r="AL51" s="12"/>
      <c r="AM51" s="12"/>
      <c r="AN51" s="12"/>
      <c r="AO51" s="8"/>
    </row>
    <row r="52" spans="1:41">
      <c r="A52" s="10" t="s">
        <v>52</v>
      </c>
      <c r="B52" s="7">
        <f t="shared" ref="B52:I52" si="5">B43*B22</f>
        <v>3520</v>
      </c>
      <c r="C52" s="8">
        <f t="shared" si="5"/>
        <v>3520</v>
      </c>
      <c r="D52" s="8">
        <f t="shared" si="5"/>
        <v>3520</v>
      </c>
      <c r="E52" s="9">
        <f t="shared" si="5"/>
        <v>3920</v>
      </c>
      <c r="F52" s="187">
        <f t="shared" si="5"/>
        <v>2640</v>
      </c>
      <c r="G52" s="187">
        <f t="shared" si="5"/>
        <v>2640</v>
      </c>
      <c r="H52" s="8">
        <f t="shared" si="5"/>
        <v>3520</v>
      </c>
      <c r="I52" s="187">
        <f t="shared" si="5"/>
        <v>2940</v>
      </c>
      <c r="J52" s="187"/>
      <c r="K52" s="7">
        <f>K43*K22</f>
        <v>1166.9658659999998</v>
      </c>
      <c r="L52" s="8"/>
      <c r="M52" s="9"/>
      <c r="N52" s="8">
        <f>N43*N22</f>
        <v>1166.9658659999998</v>
      </c>
      <c r="O52" s="8"/>
      <c r="P52" s="9"/>
      <c r="Q52" s="8">
        <f>Q43*Q22</f>
        <v>1166.9658659999998</v>
      </c>
      <c r="R52" s="8"/>
      <c r="S52" s="9"/>
      <c r="T52" s="8">
        <f>T43*T22</f>
        <v>1299.5756234999999</v>
      </c>
      <c r="U52" s="8"/>
      <c r="V52" s="9"/>
      <c r="W52" s="7">
        <f>W43*W22</f>
        <v>1166.9658659999998</v>
      </c>
      <c r="X52" s="8"/>
      <c r="Y52" s="9"/>
      <c r="Z52" s="8">
        <f>Z43*Z22</f>
        <v>1166.9658659999998</v>
      </c>
      <c r="AA52" s="8"/>
      <c r="AB52" s="9"/>
      <c r="AC52" s="7"/>
      <c r="AD52" s="8"/>
      <c r="AE52" s="9"/>
      <c r="AG52" s="8"/>
      <c r="AH52" s="8"/>
      <c r="AI52" s="8"/>
      <c r="AJ52" s="8"/>
      <c r="AK52" s="8"/>
      <c r="AL52" s="8"/>
      <c r="AM52" s="8"/>
      <c r="AN52" s="8"/>
      <c r="AO52" s="8"/>
    </row>
    <row r="53" spans="1:41">
      <c r="A53" s="10" t="s">
        <v>53</v>
      </c>
      <c r="B53" s="7"/>
      <c r="C53" s="8"/>
      <c r="D53" s="8"/>
      <c r="E53" s="9"/>
      <c r="F53" s="212">
        <f>F44*F23</f>
        <v>280</v>
      </c>
      <c r="G53" s="212">
        <f>G44*G23</f>
        <v>280</v>
      </c>
      <c r="H53" s="212">
        <f>H44*H23</f>
        <v>280</v>
      </c>
      <c r="I53" s="212">
        <f>I44*I23</f>
        <v>280</v>
      </c>
      <c r="J53" s="212">
        <f>J23*J44</f>
        <v>560</v>
      </c>
      <c r="K53" s="7"/>
      <c r="L53" s="29">
        <f>L44*L23</f>
        <v>420</v>
      </c>
      <c r="M53" s="30"/>
      <c r="N53" s="8"/>
      <c r="O53" s="29">
        <f>O44*O23</f>
        <v>420</v>
      </c>
      <c r="P53" s="30"/>
      <c r="Q53" s="8"/>
      <c r="R53" s="29">
        <f>R44*R23</f>
        <v>420</v>
      </c>
      <c r="S53" s="30"/>
      <c r="T53" s="8"/>
      <c r="U53" s="29">
        <f>U44*U23</f>
        <v>420</v>
      </c>
      <c r="V53" s="30"/>
      <c r="W53" s="7"/>
      <c r="X53" s="29">
        <f>X44*X23</f>
        <v>420</v>
      </c>
      <c r="Y53" s="30"/>
      <c r="Z53" s="8"/>
      <c r="AA53" s="29">
        <f>AA44*AA23</f>
        <v>420</v>
      </c>
      <c r="AB53" s="30"/>
      <c r="AC53" s="28">
        <f>AC23*AC44</f>
        <v>560</v>
      </c>
      <c r="AD53" s="29">
        <f>AD23*AD44</f>
        <v>560</v>
      </c>
      <c r="AE53" s="30">
        <f>AE23*AE44</f>
        <v>560</v>
      </c>
      <c r="AG53" s="8"/>
      <c r="AH53" s="8"/>
      <c r="AI53" s="8"/>
      <c r="AJ53" s="8"/>
      <c r="AK53" s="8"/>
      <c r="AL53" s="8"/>
      <c r="AM53" s="8"/>
      <c r="AN53" s="8"/>
      <c r="AO53" s="8"/>
    </row>
    <row r="54" spans="1:41">
      <c r="A54" s="10" t="s">
        <v>54</v>
      </c>
      <c r="B54" s="28"/>
      <c r="C54" s="29"/>
      <c r="D54" s="29"/>
      <c r="E54" s="30"/>
      <c r="F54" s="187"/>
      <c r="G54" s="187"/>
      <c r="H54" s="29"/>
      <c r="I54" s="187"/>
      <c r="J54" s="212"/>
      <c r="K54" s="28"/>
      <c r="L54" s="8"/>
      <c r="M54" s="9"/>
      <c r="N54" s="29"/>
      <c r="O54" s="8"/>
      <c r="P54" s="9"/>
      <c r="Q54" s="29"/>
      <c r="R54" s="8"/>
      <c r="S54" s="9"/>
      <c r="T54" s="29"/>
      <c r="U54" s="8"/>
      <c r="V54" s="9"/>
      <c r="W54" s="28"/>
      <c r="X54" s="8"/>
      <c r="Y54" s="9"/>
      <c r="Z54" s="29"/>
      <c r="AA54" s="8"/>
      <c r="AB54" s="9"/>
      <c r="AC54" s="28">
        <f>AC45*AC29</f>
        <v>3250</v>
      </c>
      <c r="AD54" s="29">
        <f>AD45*AD29</f>
        <v>3250</v>
      </c>
      <c r="AE54" s="30">
        <f>AE45*AE29</f>
        <v>3250</v>
      </c>
      <c r="AG54" s="8"/>
      <c r="AH54" s="8"/>
      <c r="AI54" s="8"/>
      <c r="AJ54" s="8"/>
      <c r="AK54" s="8"/>
      <c r="AL54" s="8"/>
      <c r="AM54" s="8"/>
      <c r="AN54" s="8"/>
      <c r="AO54" s="8"/>
    </row>
    <row r="55" spans="1:41">
      <c r="A55" s="10" t="s">
        <v>55</v>
      </c>
      <c r="B55" s="28"/>
      <c r="C55" s="29"/>
      <c r="D55" s="29"/>
      <c r="E55" s="30"/>
      <c r="F55" s="187"/>
      <c r="G55" s="187"/>
      <c r="H55" s="29"/>
      <c r="I55" s="187"/>
      <c r="J55" s="212"/>
      <c r="K55" s="28"/>
      <c r="L55" s="8"/>
      <c r="M55" s="9"/>
      <c r="N55" s="29"/>
      <c r="O55" s="8"/>
      <c r="P55" s="9"/>
      <c r="Q55" s="29"/>
      <c r="R55" s="8"/>
      <c r="S55" s="9"/>
      <c r="T55" s="29"/>
      <c r="U55" s="8"/>
      <c r="V55" s="9"/>
      <c r="W55" s="28"/>
      <c r="X55" s="8"/>
      <c r="Y55" s="9"/>
      <c r="Z55" s="29"/>
      <c r="AA55" s="8"/>
      <c r="AB55" s="9"/>
      <c r="AC55" s="28">
        <f>AC29*AC46</f>
        <v>1250</v>
      </c>
      <c r="AD55" s="29">
        <f>AD46*AD29</f>
        <v>1250</v>
      </c>
      <c r="AE55" s="30"/>
      <c r="AG55" s="8"/>
      <c r="AH55" s="8"/>
      <c r="AI55" s="8"/>
      <c r="AJ55" s="8"/>
      <c r="AK55" s="8"/>
      <c r="AL55" s="8"/>
      <c r="AM55" s="8"/>
      <c r="AN55" s="8"/>
      <c r="AO55" s="8"/>
    </row>
    <row r="56" spans="1:41">
      <c r="A56" s="10" t="s">
        <v>56</v>
      </c>
      <c r="B56" s="28">
        <f t="shared" ref="B56:I56" si="6">B47*B16</f>
        <v>121.50000000000001</v>
      </c>
      <c r="C56" s="29">
        <f t="shared" si="6"/>
        <v>121.50000000000001</v>
      </c>
      <c r="D56" s="29">
        <f t="shared" si="6"/>
        <v>1397.25</v>
      </c>
      <c r="E56" s="30">
        <f t="shared" si="6"/>
        <v>2688.0530973451332</v>
      </c>
      <c r="F56" s="212">
        <f t="shared" si="6"/>
        <v>93.461538461538467</v>
      </c>
      <c r="G56" s="212">
        <f t="shared" si="6"/>
        <v>93.461538461538467</v>
      </c>
      <c r="H56" s="29">
        <f t="shared" si="6"/>
        <v>1074.8076923076924</v>
      </c>
      <c r="I56" s="212">
        <f t="shared" si="6"/>
        <v>2124.1258741258744</v>
      </c>
      <c r="J56" s="212"/>
      <c r="K56" s="28">
        <f>K47*K16</f>
        <v>70.47</v>
      </c>
      <c r="L56" s="29"/>
      <c r="M56" s="30"/>
      <c r="N56" s="29">
        <f>N47*N16</f>
        <v>70.47</v>
      </c>
      <c r="O56" s="29"/>
      <c r="P56" s="30"/>
      <c r="Q56" s="29">
        <f>Q47*Q16</f>
        <v>810.40499999999997</v>
      </c>
      <c r="R56" s="29"/>
      <c r="S56" s="30"/>
      <c r="T56" s="29">
        <f>T47*T16</f>
        <v>1621.2423312883438</v>
      </c>
      <c r="U56" s="29"/>
      <c r="V56" s="30"/>
      <c r="W56" s="28">
        <f>W47*W16</f>
        <v>75.330000000000013</v>
      </c>
      <c r="X56" s="29"/>
      <c r="Y56" s="30"/>
      <c r="Z56" s="29">
        <f>Z47*Z16</f>
        <v>75.330000000000013</v>
      </c>
      <c r="AA56" s="29"/>
      <c r="AB56" s="30"/>
      <c r="AC56" s="28">
        <f>AC47*AC16</f>
        <v>103.84615384615385</v>
      </c>
      <c r="AD56" s="29">
        <f>AD47*AD16</f>
        <v>94.921875</v>
      </c>
      <c r="AE56" s="30">
        <f>AE47*AE16</f>
        <v>1687.5</v>
      </c>
      <c r="AG56" s="8"/>
      <c r="AH56" s="8"/>
      <c r="AI56" s="8"/>
      <c r="AJ56" s="8"/>
      <c r="AK56" s="8"/>
      <c r="AL56" s="8"/>
      <c r="AM56" s="8"/>
      <c r="AN56" s="8"/>
      <c r="AO56" s="8"/>
    </row>
    <row r="57" spans="1:41">
      <c r="A57" s="10" t="s">
        <v>565</v>
      </c>
      <c r="B57" s="28"/>
      <c r="C57" s="29"/>
      <c r="D57" s="29"/>
      <c r="E57" s="30"/>
      <c r="F57" s="212">
        <f>MAX(F48*F18,F49*F30)</f>
        <v>888.88888888888891</v>
      </c>
      <c r="G57" s="212">
        <f t="shared" ref="G57:AE57" si="7">MAX(G48*G18,G49*G30)</f>
        <v>888.88888888888891</v>
      </c>
      <c r="H57" s="212">
        <f t="shared" si="7"/>
        <v>888.88888888888891</v>
      </c>
      <c r="I57" s="212">
        <f t="shared" si="7"/>
        <v>888.88888888888891</v>
      </c>
      <c r="J57" s="212">
        <f t="shared" si="7"/>
        <v>5129.1793313069911</v>
      </c>
      <c r="K57" s="212">
        <f>MAX(K48*K18,K49*K30)</f>
        <v>0</v>
      </c>
      <c r="L57" s="212">
        <f t="shared" si="7"/>
        <v>1666.983282674772</v>
      </c>
      <c r="M57" s="212">
        <f t="shared" si="7"/>
        <v>0</v>
      </c>
      <c r="N57" s="212">
        <f t="shared" si="7"/>
        <v>0</v>
      </c>
      <c r="O57" s="212">
        <f t="shared" si="7"/>
        <v>1666.983282674772</v>
      </c>
      <c r="P57" s="212">
        <f t="shared" si="7"/>
        <v>0</v>
      </c>
      <c r="Q57" s="212">
        <f t="shared" si="7"/>
        <v>0</v>
      </c>
      <c r="R57" s="212">
        <f t="shared" si="7"/>
        <v>1666.983282674772</v>
      </c>
      <c r="S57" s="212">
        <f t="shared" si="7"/>
        <v>0</v>
      </c>
      <c r="T57" s="212">
        <f t="shared" si="7"/>
        <v>0</v>
      </c>
      <c r="U57" s="212">
        <f t="shared" si="7"/>
        <v>1666.983282674772</v>
      </c>
      <c r="V57" s="212">
        <f t="shared" si="7"/>
        <v>0</v>
      </c>
      <c r="W57" s="212">
        <f t="shared" si="7"/>
        <v>0</v>
      </c>
      <c r="X57" s="212">
        <f>MAX(X48*X18,X49*X30)</f>
        <v>1333.3333333333335</v>
      </c>
      <c r="Y57" s="212">
        <f t="shared" si="7"/>
        <v>0</v>
      </c>
      <c r="Z57" s="212">
        <f t="shared" si="7"/>
        <v>0</v>
      </c>
      <c r="AA57" s="212">
        <f t="shared" si="7"/>
        <v>1333.3333333333335</v>
      </c>
      <c r="AB57" s="212">
        <f t="shared" si="7"/>
        <v>0</v>
      </c>
      <c r="AC57" s="212">
        <f t="shared" si="7"/>
        <v>880</v>
      </c>
      <c r="AD57" s="212">
        <f t="shared" si="7"/>
        <v>880</v>
      </c>
      <c r="AE57" s="212">
        <f t="shared" si="7"/>
        <v>880</v>
      </c>
      <c r="AG57" s="12"/>
      <c r="AH57" s="12"/>
      <c r="AI57" s="12"/>
      <c r="AJ57" s="12"/>
      <c r="AK57" s="12"/>
      <c r="AL57" s="12"/>
      <c r="AM57" s="12"/>
      <c r="AN57" s="12"/>
      <c r="AO57" s="12"/>
    </row>
    <row r="58" spans="1:41">
      <c r="B58" s="28"/>
      <c r="C58" s="29"/>
      <c r="D58" s="29"/>
      <c r="E58" s="30"/>
      <c r="F58" s="212"/>
      <c r="G58" s="212"/>
      <c r="H58" s="212"/>
      <c r="I58" s="212"/>
      <c r="J58" s="212"/>
      <c r="K58" s="28"/>
      <c r="L58" s="29"/>
      <c r="M58" s="30"/>
      <c r="N58" s="29"/>
      <c r="O58" s="29"/>
      <c r="P58" s="30"/>
      <c r="Q58" s="29"/>
      <c r="R58" s="29"/>
      <c r="S58" s="30"/>
      <c r="T58" s="29"/>
      <c r="U58" s="29"/>
      <c r="V58" s="30"/>
      <c r="W58" s="28"/>
      <c r="X58" s="29"/>
      <c r="Y58" s="30"/>
      <c r="Z58" s="29"/>
      <c r="AA58" s="29"/>
      <c r="AB58" s="30"/>
      <c r="AC58" s="28"/>
      <c r="AD58" s="29"/>
      <c r="AE58" s="30"/>
      <c r="AG58" s="12"/>
      <c r="AH58" s="12"/>
      <c r="AI58" s="12"/>
      <c r="AJ58" s="12"/>
      <c r="AK58" s="12"/>
      <c r="AL58" s="12"/>
      <c r="AM58" s="12"/>
      <c r="AN58" s="12"/>
      <c r="AO58" s="12"/>
    </row>
    <row r="59" spans="1:41">
      <c r="A59" s="26" t="s">
        <v>460</v>
      </c>
      <c r="B59" s="7"/>
      <c r="C59" s="8">
        <v>100</v>
      </c>
      <c r="D59" s="29">
        <v>100</v>
      </c>
      <c r="E59" s="9"/>
      <c r="F59" s="187">
        <f>$AK$59</f>
        <v>0</v>
      </c>
      <c r="G59" s="187">
        <v>100</v>
      </c>
      <c r="H59" s="187">
        <v>100</v>
      </c>
      <c r="I59" s="187">
        <v>100</v>
      </c>
      <c r="J59" s="187">
        <f>$AK$59</f>
        <v>0</v>
      </c>
      <c r="K59" s="7"/>
      <c r="L59" s="8">
        <f>$AK$59</f>
        <v>0</v>
      </c>
      <c r="M59" s="9"/>
      <c r="N59" s="8">
        <v>100</v>
      </c>
      <c r="O59" s="8">
        <f>$AK$59</f>
        <v>0</v>
      </c>
      <c r="P59" s="9"/>
      <c r="Q59" s="8">
        <v>100</v>
      </c>
      <c r="R59" s="8">
        <f>$AK$59</f>
        <v>0</v>
      </c>
      <c r="S59" s="9"/>
      <c r="T59" s="8">
        <v>100</v>
      </c>
      <c r="U59" s="8">
        <f>$AK$59</f>
        <v>0</v>
      </c>
      <c r="V59" s="9"/>
      <c r="W59" s="7"/>
      <c r="X59" s="8">
        <f>$AK$59</f>
        <v>0</v>
      </c>
      <c r="Y59" s="9"/>
      <c r="Z59" s="8">
        <v>100</v>
      </c>
      <c r="AA59" s="8">
        <f>$AK$59</f>
        <v>0</v>
      </c>
      <c r="AB59" s="9"/>
      <c r="AC59" s="7">
        <f>$AK$59</f>
        <v>0</v>
      </c>
      <c r="AD59" s="8">
        <f>$AK$59</f>
        <v>0</v>
      </c>
      <c r="AE59" s="9">
        <f>$AK$59</f>
        <v>0</v>
      </c>
      <c r="AG59" s="12"/>
      <c r="AH59" s="12"/>
      <c r="AI59" s="12"/>
      <c r="AJ59" s="12"/>
      <c r="AK59" s="12"/>
      <c r="AL59" s="12"/>
      <c r="AM59" s="12"/>
      <c r="AN59" s="12"/>
      <c r="AO59" s="12"/>
    </row>
    <row r="60" spans="1:41" ht="13">
      <c r="A60" s="6" t="s">
        <v>59</v>
      </c>
      <c r="B60" s="32">
        <f t="shared" ref="B60:O60" si="8">SUM(B52:B59)</f>
        <v>3641.5</v>
      </c>
      <c r="C60" s="33">
        <f t="shared" si="8"/>
        <v>3741.5</v>
      </c>
      <c r="D60" s="33">
        <f>SUM(D52:D59)</f>
        <v>5017.25</v>
      </c>
      <c r="E60" s="34">
        <f t="shared" si="8"/>
        <v>6608.0530973451332</v>
      </c>
      <c r="F60" s="226">
        <f t="shared" si="8"/>
        <v>3902.3504273504277</v>
      </c>
      <c r="G60" s="226">
        <f>SUM(G52:G59)</f>
        <v>4002.3504273504277</v>
      </c>
      <c r="H60" s="33">
        <f>SUM(H52:H59)</f>
        <v>5863.6965811965811</v>
      </c>
      <c r="I60" s="226">
        <f>SUM(I52:I59)</f>
        <v>6333.014763014763</v>
      </c>
      <c r="J60" s="226">
        <f t="shared" si="8"/>
        <v>5689.1793313069911</v>
      </c>
      <c r="K60" s="32">
        <f t="shared" si="8"/>
        <v>1237.4358659999998</v>
      </c>
      <c r="L60" s="33">
        <f>SUM(L52:L59)</f>
        <v>2086.983282674772</v>
      </c>
      <c r="M60" s="34">
        <f>K60+L60</f>
        <v>3324.4191486747718</v>
      </c>
      <c r="N60" s="33">
        <f>SUM(N52:N59)</f>
        <v>1337.4358659999998</v>
      </c>
      <c r="O60" s="33">
        <f t="shared" si="8"/>
        <v>2086.983282674772</v>
      </c>
      <c r="P60" s="34">
        <f>N60+O60</f>
        <v>3424.4191486747718</v>
      </c>
      <c r="Q60" s="33">
        <f>SUM(Q52:Q59)</f>
        <v>2077.3708659999998</v>
      </c>
      <c r="R60" s="33">
        <f>SUM(R52:R59)</f>
        <v>2086.983282674772</v>
      </c>
      <c r="S60" s="34">
        <f>Q60+R60</f>
        <v>4164.3541486747717</v>
      </c>
      <c r="T60" s="33">
        <f>SUM(T52:T59)</f>
        <v>3020.8179547883437</v>
      </c>
      <c r="U60" s="33">
        <f>SUM(U52:U59)</f>
        <v>2086.983282674772</v>
      </c>
      <c r="V60" s="34">
        <f>T60+U60</f>
        <v>5107.8012374631162</v>
      </c>
      <c r="W60" s="32">
        <f>SUM(W52:W59)</f>
        <v>1242.2958659999997</v>
      </c>
      <c r="X60" s="33">
        <f>SUM(X52:X59)</f>
        <v>1753.3333333333335</v>
      </c>
      <c r="Y60" s="34">
        <f>W60+X60</f>
        <v>2995.6291993333334</v>
      </c>
      <c r="Z60" s="33">
        <f>SUM(Z52:Z59)</f>
        <v>1342.2958659999997</v>
      </c>
      <c r="AA60" s="33">
        <f>SUM(AA52:AA59)</f>
        <v>1753.3333333333335</v>
      </c>
      <c r="AB60" s="34">
        <f>Z60+AA60</f>
        <v>3095.6291993333334</v>
      </c>
      <c r="AC60" s="32">
        <f>SUM(AC52:AC59)</f>
        <v>6043.8461538461543</v>
      </c>
      <c r="AD60" s="33">
        <f>SUM(AD52:AD59)</f>
        <v>6034.921875</v>
      </c>
      <c r="AE60" s="34">
        <f>SUM(AE52:AE59)</f>
        <v>6377.5</v>
      </c>
      <c r="AG60" s="12"/>
      <c r="AH60" s="12"/>
      <c r="AI60" s="12"/>
      <c r="AJ60" s="12"/>
      <c r="AK60" s="12"/>
      <c r="AL60" s="12"/>
      <c r="AM60" s="12"/>
      <c r="AN60" s="12"/>
      <c r="AO60" s="12"/>
    </row>
    <row r="61" spans="1:41" ht="13">
      <c r="A61" s="227" t="s">
        <v>461</v>
      </c>
      <c r="B61" s="228">
        <f t="shared" ref="B61:J61" si="9">B60-$B60</f>
        <v>0</v>
      </c>
      <c r="C61" s="229">
        <f t="shared" si="9"/>
        <v>100</v>
      </c>
      <c r="D61" s="229">
        <f t="shared" si="9"/>
        <v>1375.75</v>
      </c>
      <c r="E61" s="230">
        <f t="shared" si="9"/>
        <v>2966.5530973451332</v>
      </c>
      <c r="F61" s="228">
        <f t="shared" si="9"/>
        <v>260.85042735042771</v>
      </c>
      <c r="G61" s="228">
        <f>G60-$B60</f>
        <v>360.85042735042771</v>
      </c>
      <c r="H61" s="229">
        <f>H60-$B60</f>
        <v>2222.1965811965811</v>
      </c>
      <c r="I61" s="228">
        <f>I60-$B60</f>
        <v>2691.514763014763</v>
      </c>
      <c r="J61" s="228">
        <f t="shared" si="9"/>
        <v>2047.6793313069911</v>
      </c>
      <c r="K61" s="228">
        <v>0</v>
      </c>
      <c r="L61" s="229">
        <v>0</v>
      </c>
      <c r="M61" s="230">
        <f>M60-$B60</f>
        <v>-317.0808513252282</v>
      </c>
      <c r="N61" s="229">
        <v>0</v>
      </c>
      <c r="O61" s="229">
        <v>0</v>
      </c>
      <c r="P61" s="230">
        <f>P60-$B60</f>
        <v>-217.0808513252282</v>
      </c>
      <c r="Q61" s="229">
        <v>0</v>
      </c>
      <c r="R61" s="229">
        <v>0</v>
      </c>
      <c r="S61" s="230">
        <f>S60-$B60</f>
        <v>522.85414867477175</v>
      </c>
      <c r="T61" s="229">
        <v>0</v>
      </c>
      <c r="U61" s="229">
        <v>0</v>
      </c>
      <c r="V61" s="230">
        <f>V60-$B60</f>
        <v>1466.3012374631162</v>
      </c>
      <c r="W61" s="231">
        <v>0</v>
      </c>
      <c r="X61" s="232">
        <v>0</v>
      </c>
      <c r="Y61" s="233">
        <f>Y60-$B60</f>
        <v>-645.87080066666658</v>
      </c>
      <c r="Z61" s="232">
        <v>0</v>
      </c>
      <c r="AA61" s="232">
        <v>0</v>
      </c>
      <c r="AB61" s="233">
        <f>AB60-$B60</f>
        <v>-545.87080066666658</v>
      </c>
      <c r="AC61" s="228">
        <f>AC60-$B60</f>
        <v>2402.3461538461543</v>
      </c>
      <c r="AD61" s="229">
        <f>AD60-$B60</f>
        <v>2393.421875</v>
      </c>
      <c r="AE61" s="230">
        <f>AE60-$B60</f>
        <v>2736</v>
      </c>
      <c r="AG61" s="12"/>
      <c r="AH61" s="12" t="s">
        <v>71</v>
      </c>
      <c r="AI61" s="12"/>
      <c r="AJ61" s="12"/>
      <c r="AK61" s="12"/>
      <c r="AL61" s="12"/>
      <c r="AM61" s="12"/>
      <c r="AN61" s="12"/>
      <c r="AO61" s="12"/>
    </row>
    <row r="62" spans="1:41" ht="13">
      <c r="A62" s="234" t="s">
        <v>462</v>
      </c>
      <c r="B62" s="235">
        <f t="shared" ref="B62:J62" si="10">ROUND(B61,-2)</f>
        <v>0</v>
      </c>
      <c r="C62" s="236">
        <f t="shared" si="10"/>
        <v>100</v>
      </c>
      <c r="D62" s="236">
        <f t="shared" si="10"/>
        <v>1400</v>
      </c>
      <c r="E62" s="237">
        <f t="shared" si="10"/>
        <v>3000</v>
      </c>
      <c r="F62" s="235">
        <f t="shared" si="10"/>
        <v>300</v>
      </c>
      <c r="G62" s="235">
        <f>ROUND(G61,-2)</f>
        <v>400</v>
      </c>
      <c r="H62" s="236">
        <f>ROUND(H61,-2)</f>
        <v>2200</v>
      </c>
      <c r="I62" s="235">
        <f>ROUND(I61,-2)</f>
        <v>2700</v>
      </c>
      <c r="J62" s="235">
        <f t="shared" si="10"/>
        <v>2000</v>
      </c>
      <c r="K62" s="235"/>
      <c r="L62" s="236"/>
      <c r="M62" s="237">
        <f>ROUND(M61,-2)</f>
        <v>-300</v>
      </c>
      <c r="N62" s="236"/>
      <c r="O62" s="236"/>
      <c r="P62" s="237">
        <f>ROUND(P61,-2)</f>
        <v>-200</v>
      </c>
      <c r="Q62" s="236"/>
      <c r="R62" s="236"/>
      <c r="S62" s="237">
        <f>ROUND(S61,-2)</f>
        <v>500</v>
      </c>
      <c r="T62" s="236"/>
      <c r="U62" s="236"/>
      <c r="V62" s="237">
        <f>ROUND(V61,-2)</f>
        <v>1500</v>
      </c>
      <c r="W62" s="238"/>
      <c r="X62" s="239"/>
      <c r="Y62" s="240">
        <f>ROUND(Y61,-2)</f>
        <v>-600</v>
      </c>
      <c r="Z62" s="239"/>
      <c r="AA62" s="239"/>
      <c r="AB62" s="240">
        <f>ROUND(AB61,-2)</f>
        <v>-500</v>
      </c>
      <c r="AC62" s="235">
        <f>ROUND(AC61,-2)</f>
        <v>2400</v>
      </c>
      <c r="AD62" s="236">
        <f>ROUND(AD61,-2)</f>
        <v>2400</v>
      </c>
      <c r="AE62" s="237">
        <f>ROUND(AE61,-2)</f>
        <v>2700</v>
      </c>
      <c r="AM62" s="12"/>
      <c r="AN62" s="12"/>
      <c r="AO62" s="12"/>
    </row>
    <row r="63" spans="1:41" ht="13">
      <c r="B63" s="241"/>
      <c r="C63" s="242"/>
      <c r="D63" s="242"/>
      <c r="E63" s="243"/>
      <c r="F63" s="241"/>
      <c r="G63" s="241"/>
      <c r="H63" s="241"/>
      <c r="I63" s="241"/>
      <c r="J63" s="241"/>
      <c r="K63" s="241"/>
      <c r="L63" s="242"/>
      <c r="M63" s="243"/>
      <c r="N63" s="242"/>
      <c r="O63" s="242"/>
      <c r="P63" s="243"/>
      <c r="Q63" s="242"/>
      <c r="R63" s="242"/>
      <c r="S63" s="243"/>
      <c r="T63" s="242"/>
      <c r="U63" s="242"/>
      <c r="V63" s="243"/>
      <c r="W63" s="241"/>
      <c r="X63" s="242"/>
      <c r="Y63" s="243"/>
      <c r="Z63" s="242"/>
      <c r="AA63" s="242"/>
      <c r="AB63" s="243"/>
      <c r="AC63" s="241"/>
      <c r="AD63" s="242"/>
      <c r="AE63" s="243"/>
      <c r="AM63" s="12"/>
      <c r="AN63" s="12"/>
      <c r="AO63" s="12"/>
    </row>
    <row r="64" spans="1:41">
      <c r="A64" s="10" t="s">
        <v>463</v>
      </c>
      <c r="B64" s="264">
        <v>0</v>
      </c>
      <c r="C64" s="265">
        <v>1000</v>
      </c>
      <c r="D64" s="265">
        <v>1200</v>
      </c>
      <c r="E64" s="266">
        <v>2500</v>
      </c>
      <c r="F64" s="187"/>
      <c r="G64" s="187"/>
      <c r="H64" s="187"/>
      <c r="I64" s="187"/>
      <c r="J64" s="187"/>
      <c r="K64" s="264"/>
      <c r="L64" s="29"/>
      <c r="M64" s="30"/>
      <c r="N64" s="265"/>
      <c r="O64" s="29"/>
      <c r="P64" s="30"/>
      <c r="Q64" s="265"/>
      <c r="R64" s="29"/>
      <c r="S64" s="30"/>
      <c r="T64" s="265"/>
      <c r="U64" s="29"/>
      <c r="V64" s="30"/>
      <c r="W64" s="264"/>
      <c r="X64" s="265"/>
      <c r="Y64" s="266"/>
      <c r="Z64" s="265"/>
      <c r="AA64" s="265"/>
      <c r="AB64" s="266"/>
      <c r="AC64" s="28">
        <v>4500</v>
      </c>
      <c r="AD64" s="29">
        <v>4500</v>
      </c>
      <c r="AE64" s="30">
        <v>4000</v>
      </c>
      <c r="AM64" s="12"/>
      <c r="AN64" s="12"/>
      <c r="AO64" s="12"/>
    </row>
    <row r="65" spans="1:41">
      <c r="A65" s="244" t="s">
        <v>464</v>
      </c>
      <c r="B65" s="245" t="s">
        <v>465</v>
      </c>
      <c r="C65" s="245"/>
      <c r="D65" s="245"/>
      <c r="E65" s="245"/>
      <c r="F65" s="245"/>
      <c r="G65" s="245"/>
      <c r="H65" s="245"/>
      <c r="I65" s="245"/>
      <c r="J65" s="245"/>
      <c r="K65" s="245"/>
      <c r="L65" s="245"/>
      <c r="M65" s="245"/>
      <c r="N65" s="245"/>
      <c r="O65" s="245"/>
      <c r="P65" s="245"/>
      <c r="Q65" s="245"/>
      <c r="R65" s="245"/>
      <c r="S65" s="245"/>
      <c r="T65" s="245"/>
      <c r="U65" s="245"/>
      <c r="V65" s="245"/>
      <c r="W65" s="245"/>
      <c r="X65" s="245"/>
      <c r="Y65" s="245"/>
      <c r="Z65" s="245"/>
      <c r="AA65" s="245"/>
      <c r="AB65" s="245"/>
      <c r="AC65" s="245"/>
      <c r="AD65" s="245"/>
      <c r="AE65" s="246"/>
      <c r="AG65" s="200"/>
      <c r="AM65" s="12"/>
      <c r="AN65" s="12"/>
      <c r="AO65" s="12"/>
    </row>
    <row r="66" spans="1:41" ht="13">
      <c r="A66" s="26"/>
      <c r="B66" s="12"/>
      <c r="C66" s="12"/>
      <c r="D66" s="12"/>
      <c r="E66" s="12"/>
      <c r="F66" s="247"/>
      <c r="G66" s="247"/>
      <c r="H66" s="247"/>
      <c r="I66" s="247"/>
      <c r="J66" s="247"/>
      <c r="K66" s="8"/>
      <c r="L66" s="8"/>
      <c r="M66" s="247"/>
      <c r="N66" s="8"/>
      <c r="O66" s="8"/>
      <c r="P66" s="247"/>
      <c r="Q66" s="8"/>
      <c r="R66" s="8"/>
      <c r="S66" s="247"/>
      <c r="T66" s="8"/>
      <c r="U66" s="8"/>
      <c r="V66" s="247"/>
      <c r="W66" s="247"/>
      <c r="X66" s="247"/>
      <c r="Y66" s="247"/>
      <c r="Z66" s="247"/>
      <c r="AA66" s="247"/>
      <c r="AB66" s="247"/>
      <c r="AC66" s="247"/>
      <c r="AD66" s="247"/>
      <c r="AE66" s="247"/>
      <c r="AG66" s="200"/>
      <c r="AM66" s="12"/>
      <c r="AN66" s="12"/>
      <c r="AO66" s="12"/>
    </row>
    <row r="67" spans="1:41" ht="13">
      <c r="K67" s="8"/>
      <c r="L67" s="8"/>
      <c r="M67" s="248"/>
      <c r="N67" s="8"/>
      <c r="O67" s="8"/>
      <c r="P67" s="248"/>
      <c r="Q67" s="8"/>
      <c r="R67" s="8"/>
      <c r="S67" s="248"/>
      <c r="T67" s="8"/>
      <c r="U67" s="8"/>
      <c r="V67" s="248" t="s">
        <v>466</v>
      </c>
      <c r="W67" s="249">
        <v>65</v>
      </c>
      <c r="X67" s="36" t="s">
        <v>467</v>
      </c>
      <c r="Y67" s="247"/>
      <c r="Z67" s="247"/>
      <c r="AA67" s="36"/>
      <c r="AB67" s="247"/>
      <c r="AC67" s="247"/>
      <c r="AD67" s="247"/>
      <c r="AE67" s="247"/>
      <c r="AG67" s="200"/>
      <c r="AI67" s="12"/>
      <c r="AJ67" s="12"/>
      <c r="AK67" s="12"/>
      <c r="AL67" s="12"/>
      <c r="AM67" s="12"/>
      <c r="AN67" s="12"/>
      <c r="AO67" s="12"/>
    </row>
    <row r="68" spans="1:41" ht="13">
      <c r="M68" s="250"/>
      <c r="P68" s="250"/>
      <c r="S68" s="250"/>
      <c r="V68" s="250" t="s">
        <v>468</v>
      </c>
      <c r="W68" s="251">
        <v>1150</v>
      </c>
      <c r="X68" s="92" t="s">
        <v>469</v>
      </c>
      <c r="Y68" s="252"/>
      <c r="Z68" s="247"/>
      <c r="AA68" s="36"/>
      <c r="AB68" s="160"/>
      <c r="AC68" s="160"/>
      <c r="AD68" s="252"/>
      <c r="AE68" s="252"/>
      <c r="AI68" s="12"/>
      <c r="AJ68" s="12"/>
      <c r="AK68" s="12"/>
      <c r="AL68" s="12"/>
      <c r="AM68" s="12"/>
      <c r="AN68" s="12"/>
      <c r="AO68" s="12"/>
    </row>
    <row r="69" spans="1:41" ht="13">
      <c r="K69" s="10" t="s">
        <v>71</v>
      </c>
      <c r="M69" s="250"/>
      <c r="P69" s="250"/>
      <c r="S69" s="250"/>
      <c r="V69" s="250" t="s">
        <v>470</v>
      </c>
      <c r="W69" s="251">
        <v>2500</v>
      </c>
      <c r="X69" s="92" t="s">
        <v>471</v>
      </c>
      <c r="Z69" s="247"/>
      <c r="AA69" s="36"/>
      <c r="AB69" s="26"/>
      <c r="AC69" s="26"/>
      <c r="AI69" s="12"/>
      <c r="AJ69" s="12"/>
      <c r="AK69" s="12"/>
      <c r="AL69" s="12"/>
      <c r="AM69" s="12"/>
      <c r="AN69" s="12"/>
      <c r="AO69" s="12"/>
    </row>
    <row r="70" spans="1:41" ht="13">
      <c r="M70" s="253"/>
      <c r="P70" s="253"/>
      <c r="S70" s="253"/>
      <c r="V70" s="253" t="s">
        <v>472</v>
      </c>
      <c r="W70" s="254">
        <v>100</v>
      </c>
      <c r="X70" s="255" t="s">
        <v>473</v>
      </c>
      <c r="Z70" s="247"/>
      <c r="AA70" s="267"/>
      <c r="AB70" s="26"/>
      <c r="AC70" s="26"/>
      <c r="AI70" s="12"/>
      <c r="AJ70" s="12"/>
      <c r="AK70" s="12"/>
      <c r="AL70" s="12"/>
      <c r="AM70" s="12"/>
      <c r="AN70" s="12"/>
      <c r="AO70" s="12"/>
    </row>
    <row r="71" spans="1:41">
      <c r="AI71" s="12"/>
      <c r="AJ71" s="12"/>
      <c r="AK71" s="12"/>
      <c r="AL71" s="12"/>
      <c r="AM71" s="12"/>
      <c r="AN71" s="12"/>
      <c r="AO71" s="12"/>
    </row>
    <row r="73" spans="1:41" ht="87.5">
      <c r="A73" s="184" t="s">
        <v>547</v>
      </c>
      <c r="B73" s="12"/>
      <c r="C73" s="12"/>
      <c r="D73" s="12"/>
      <c r="E73" s="12"/>
      <c r="F73" s="12"/>
      <c r="G73" s="12"/>
      <c r="H73" s="12"/>
      <c r="I73" s="12"/>
      <c r="J73" s="12"/>
      <c r="K73" s="12"/>
      <c r="L73" s="12"/>
      <c r="M73" s="12"/>
      <c r="N73" s="12"/>
      <c r="O73" s="12"/>
      <c r="P73" s="12"/>
      <c r="Q73" s="12"/>
      <c r="R73" s="12"/>
      <c r="S73" s="12"/>
      <c r="T73" s="12"/>
      <c r="U73" s="12"/>
      <c r="V73" s="12"/>
      <c r="W73" s="12" t="s">
        <v>71</v>
      </c>
      <c r="X73" s="12"/>
      <c r="Y73" s="12"/>
      <c r="Z73" s="12"/>
      <c r="AA73" s="12"/>
      <c r="AB73" s="12"/>
      <c r="AC73" s="12"/>
      <c r="AD73" s="12"/>
      <c r="AE73" s="12"/>
      <c r="AG73" s="12"/>
      <c r="AH73" s="12"/>
      <c r="AI73" s="12"/>
      <c r="AJ73" s="12"/>
      <c r="AK73" s="12"/>
      <c r="AL73" s="12"/>
    </row>
    <row r="74" spans="1:41">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G74" s="12"/>
      <c r="AH74" s="12"/>
      <c r="AI74" s="12"/>
      <c r="AJ74" s="12"/>
      <c r="AK74" s="12"/>
      <c r="AL74" s="12"/>
    </row>
    <row r="75" spans="1:4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G75" s="12"/>
      <c r="AH75" s="12"/>
      <c r="AI75" s="12"/>
      <c r="AJ75" s="12"/>
      <c r="AK75" s="12"/>
      <c r="AL75" s="12"/>
    </row>
    <row r="76" spans="1:41">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G76" s="12"/>
      <c r="AH76" s="12"/>
      <c r="AI76" s="12"/>
      <c r="AJ76" s="12"/>
      <c r="AK76" s="12"/>
      <c r="AL76" s="12"/>
      <c r="AM76" s="8"/>
      <c r="AN76" s="8"/>
      <c r="AO76" s="8"/>
    </row>
    <row r="77" spans="1:4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G77" s="12"/>
      <c r="AH77" s="12"/>
      <c r="AI77" s="12"/>
      <c r="AJ77" s="12"/>
      <c r="AK77" s="12"/>
      <c r="AL77" s="12"/>
      <c r="AM77" s="8"/>
      <c r="AN77" s="8"/>
      <c r="AO77" s="8"/>
    </row>
    <row r="78" spans="1:4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G78" s="12"/>
      <c r="AH78" s="12"/>
      <c r="AI78" s="12"/>
      <c r="AJ78" s="12"/>
      <c r="AK78" s="12"/>
      <c r="AL78" s="12"/>
    </row>
  </sheetData>
  <mergeCells count="1">
    <mergeCell ref="AL8:AO8"/>
  </mergeCells>
  <pageMargins left="0.5" right="0.5" top="0.4" bottom="0.4" header="0.5" footer="0.5"/>
  <pageSetup scale="73" fitToHeight="2" orientation="landscape" horizontalDpi="4294967292" verticalDpi="4294967292"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499984740745262"/>
    <pageSetUpPr fitToPage="1"/>
  </sheetPr>
  <dimension ref="A1:AT78"/>
  <sheetViews>
    <sheetView zoomScale="80" zoomScaleNormal="80" workbookViewId="0">
      <pane ySplit="1670" topLeftCell="A31" activePane="bottomLeft"/>
      <selection activeCell="M1" sqref="M1:AC1048576"/>
      <selection pane="bottomLeft" activeCell="P73" sqref="P73"/>
    </sheetView>
  </sheetViews>
  <sheetFormatPr defaultColWidth="10.1796875" defaultRowHeight="12.5"/>
  <cols>
    <col min="1" max="1" width="41.54296875" style="10" customWidth="1"/>
    <col min="2" max="2" width="8.54296875" style="10" customWidth="1"/>
    <col min="3" max="31" width="7.453125" style="10" customWidth="1"/>
    <col min="32" max="32" width="8.54296875" style="12" customWidth="1"/>
    <col min="33" max="34" width="7.453125" style="375" customWidth="1"/>
    <col min="35" max="35" width="10.81640625" style="375" customWidth="1"/>
    <col min="36" max="36" width="10" style="375" customWidth="1"/>
    <col min="37" max="37" width="10.453125" style="10" customWidth="1"/>
    <col min="38" max="38" width="17.1796875" style="10" customWidth="1"/>
    <col min="39" max="41" width="7.453125" style="10" customWidth="1"/>
    <col min="42" max="271" width="10.1796875" style="12"/>
    <col min="272" max="272" width="41.54296875" style="12" customWidth="1"/>
    <col min="273" max="273" width="8.54296875" style="12" customWidth="1"/>
    <col min="274" max="287" width="7.453125" style="12" customWidth="1"/>
    <col min="288" max="288" width="8.54296875" style="12" customWidth="1"/>
    <col min="289" max="290" width="7.453125" style="12" customWidth="1"/>
    <col min="291" max="291" width="10.81640625" style="12" customWidth="1"/>
    <col min="292" max="292" width="10" style="12" customWidth="1"/>
    <col min="293" max="293" width="10.453125" style="12" customWidth="1"/>
    <col min="294" max="294" width="17.1796875" style="12" customWidth="1"/>
    <col min="295" max="297" width="7.453125" style="12" customWidth="1"/>
    <col min="298" max="527" width="10.1796875" style="12"/>
    <col min="528" max="528" width="41.54296875" style="12" customWidth="1"/>
    <col min="529" max="529" width="8.54296875" style="12" customWidth="1"/>
    <col min="530" max="543" width="7.453125" style="12" customWidth="1"/>
    <col min="544" max="544" width="8.54296875" style="12" customWidth="1"/>
    <col min="545" max="546" width="7.453125" style="12" customWidth="1"/>
    <col min="547" max="547" width="10.81640625" style="12" customWidth="1"/>
    <col min="548" max="548" width="10" style="12" customWidth="1"/>
    <col min="549" max="549" width="10.453125" style="12" customWidth="1"/>
    <col min="550" max="550" width="17.1796875" style="12" customWidth="1"/>
    <col min="551" max="553" width="7.453125" style="12" customWidth="1"/>
    <col min="554" max="783" width="10.1796875" style="12"/>
    <col min="784" max="784" width="41.54296875" style="12" customWidth="1"/>
    <col min="785" max="785" width="8.54296875" style="12" customWidth="1"/>
    <col min="786" max="799" width="7.453125" style="12" customWidth="1"/>
    <col min="800" max="800" width="8.54296875" style="12" customWidth="1"/>
    <col min="801" max="802" width="7.453125" style="12" customWidth="1"/>
    <col min="803" max="803" width="10.81640625" style="12" customWidth="1"/>
    <col min="804" max="804" width="10" style="12" customWidth="1"/>
    <col min="805" max="805" width="10.453125" style="12" customWidth="1"/>
    <col min="806" max="806" width="17.1796875" style="12" customWidth="1"/>
    <col min="807" max="809" width="7.453125" style="12" customWidth="1"/>
    <col min="810" max="1039" width="10.1796875" style="12"/>
    <col min="1040" max="1040" width="41.54296875" style="12" customWidth="1"/>
    <col min="1041" max="1041" width="8.54296875" style="12" customWidth="1"/>
    <col min="1042" max="1055" width="7.453125" style="12" customWidth="1"/>
    <col min="1056" max="1056" width="8.54296875" style="12" customWidth="1"/>
    <col min="1057" max="1058" width="7.453125" style="12" customWidth="1"/>
    <col min="1059" max="1059" width="10.81640625" style="12" customWidth="1"/>
    <col min="1060" max="1060" width="10" style="12" customWidth="1"/>
    <col min="1061" max="1061" width="10.453125" style="12" customWidth="1"/>
    <col min="1062" max="1062" width="17.1796875" style="12" customWidth="1"/>
    <col min="1063" max="1065" width="7.453125" style="12" customWidth="1"/>
    <col min="1066" max="1295" width="10.1796875" style="12"/>
    <col min="1296" max="1296" width="41.54296875" style="12" customWidth="1"/>
    <col min="1297" max="1297" width="8.54296875" style="12" customWidth="1"/>
    <col min="1298" max="1311" width="7.453125" style="12" customWidth="1"/>
    <col min="1312" max="1312" width="8.54296875" style="12" customWidth="1"/>
    <col min="1313" max="1314" width="7.453125" style="12" customWidth="1"/>
    <col min="1315" max="1315" width="10.81640625" style="12" customWidth="1"/>
    <col min="1316" max="1316" width="10" style="12" customWidth="1"/>
    <col min="1317" max="1317" width="10.453125" style="12" customWidth="1"/>
    <col min="1318" max="1318" width="17.1796875" style="12" customWidth="1"/>
    <col min="1319" max="1321" width="7.453125" style="12" customWidth="1"/>
    <col min="1322" max="1551" width="10.1796875" style="12"/>
    <col min="1552" max="1552" width="41.54296875" style="12" customWidth="1"/>
    <col min="1553" max="1553" width="8.54296875" style="12" customWidth="1"/>
    <col min="1554" max="1567" width="7.453125" style="12" customWidth="1"/>
    <col min="1568" max="1568" width="8.54296875" style="12" customWidth="1"/>
    <col min="1569" max="1570" width="7.453125" style="12" customWidth="1"/>
    <col min="1571" max="1571" width="10.81640625" style="12" customWidth="1"/>
    <col min="1572" max="1572" width="10" style="12" customWidth="1"/>
    <col min="1573" max="1573" width="10.453125" style="12" customWidth="1"/>
    <col min="1574" max="1574" width="17.1796875" style="12" customWidth="1"/>
    <col min="1575" max="1577" width="7.453125" style="12" customWidth="1"/>
    <col min="1578" max="1807" width="10.1796875" style="12"/>
    <col min="1808" max="1808" width="41.54296875" style="12" customWidth="1"/>
    <col min="1809" max="1809" width="8.54296875" style="12" customWidth="1"/>
    <col min="1810" max="1823" width="7.453125" style="12" customWidth="1"/>
    <col min="1824" max="1824" width="8.54296875" style="12" customWidth="1"/>
    <col min="1825" max="1826" width="7.453125" style="12" customWidth="1"/>
    <col min="1827" max="1827" width="10.81640625" style="12" customWidth="1"/>
    <col min="1828" max="1828" width="10" style="12" customWidth="1"/>
    <col min="1829" max="1829" width="10.453125" style="12" customWidth="1"/>
    <col min="1830" max="1830" width="17.1796875" style="12" customWidth="1"/>
    <col min="1831" max="1833" width="7.453125" style="12" customWidth="1"/>
    <col min="1834" max="2063" width="10.1796875" style="12"/>
    <col min="2064" max="2064" width="41.54296875" style="12" customWidth="1"/>
    <col min="2065" max="2065" width="8.54296875" style="12" customWidth="1"/>
    <col min="2066" max="2079" width="7.453125" style="12" customWidth="1"/>
    <col min="2080" max="2080" width="8.54296875" style="12" customWidth="1"/>
    <col min="2081" max="2082" width="7.453125" style="12" customWidth="1"/>
    <col min="2083" max="2083" width="10.81640625" style="12" customWidth="1"/>
    <col min="2084" max="2084" width="10" style="12" customWidth="1"/>
    <col min="2085" max="2085" width="10.453125" style="12" customWidth="1"/>
    <col min="2086" max="2086" width="17.1796875" style="12" customWidth="1"/>
    <col min="2087" max="2089" width="7.453125" style="12" customWidth="1"/>
    <col min="2090" max="2319" width="10.1796875" style="12"/>
    <col min="2320" max="2320" width="41.54296875" style="12" customWidth="1"/>
    <col min="2321" max="2321" width="8.54296875" style="12" customWidth="1"/>
    <col min="2322" max="2335" width="7.453125" style="12" customWidth="1"/>
    <col min="2336" max="2336" width="8.54296875" style="12" customWidth="1"/>
    <col min="2337" max="2338" width="7.453125" style="12" customWidth="1"/>
    <col min="2339" max="2339" width="10.81640625" style="12" customWidth="1"/>
    <col min="2340" max="2340" width="10" style="12" customWidth="1"/>
    <col min="2341" max="2341" width="10.453125" style="12" customWidth="1"/>
    <col min="2342" max="2342" width="17.1796875" style="12" customWidth="1"/>
    <col min="2343" max="2345" width="7.453125" style="12" customWidth="1"/>
    <col min="2346" max="2575" width="10.1796875" style="12"/>
    <col min="2576" max="2576" width="41.54296875" style="12" customWidth="1"/>
    <col min="2577" max="2577" width="8.54296875" style="12" customWidth="1"/>
    <col min="2578" max="2591" width="7.453125" style="12" customWidth="1"/>
    <col min="2592" max="2592" width="8.54296875" style="12" customWidth="1"/>
    <col min="2593" max="2594" width="7.453125" style="12" customWidth="1"/>
    <col min="2595" max="2595" width="10.81640625" style="12" customWidth="1"/>
    <col min="2596" max="2596" width="10" style="12" customWidth="1"/>
    <col min="2597" max="2597" width="10.453125" style="12" customWidth="1"/>
    <col min="2598" max="2598" width="17.1796875" style="12" customWidth="1"/>
    <col min="2599" max="2601" width="7.453125" style="12" customWidth="1"/>
    <col min="2602" max="2831" width="10.1796875" style="12"/>
    <col min="2832" max="2832" width="41.54296875" style="12" customWidth="1"/>
    <col min="2833" max="2833" width="8.54296875" style="12" customWidth="1"/>
    <col min="2834" max="2847" width="7.453125" style="12" customWidth="1"/>
    <col min="2848" max="2848" width="8.54296875" style="12" customWidth="1"/>
    <col min="2849" max="2850" width="7.453125" style="12" customWidth="1"/>
    <col min="2851" max="2851" width="10.81640625" style="12" customWidth="1"/>
    <col min="2852" max="2852" width="10" style="12" customWidth="1"/>
    <col min="2853" max="2853" width="10.453125" style="12" customWidth="1"/>
    <col min="2854" max="2854" width="17.1796875" style="12" customWidth="1"/>
    <col min="2855" max="2857" width="7.453125" style="12" customWidth="1"/>
    <col min="2858" max="3087" width="10.1796875" style="12"/>
    <col min="3088" max="3088" width="41.54296875" style="12" customWidth="1"/>
    <col min="3089" max="3089" width="8.54296875" style="12" customWidth="1"/>
    <col min="3090" max="3103" width="7.453125" style="12" customWidth="1"/>
    <col min="3104" max="3104" width="8.54296875" style="12" customWidth="1"/>
    <col min="3105" max="3106" width="7.453125" style="12" customWidth="1"/>
    <col min="3107" max="3107" width="10.81640625" style="12" customWidth="1"/>
    <col min="3108" max="3108" width="10" style="12" customWidth="1"/>
    <col min="3109" max="3109" width="10.453125" style="12" customWidth="1"/>
    <col min="3110" max="3110" width="17.1796875" style="12" customWidth="1"/>
    <col min="3111" max="3113" width="7.453125" style="12" customWidth="1"/>
    <col min="3114" max="3343" width="10.1796875" style="12"/>
    <col min="3344" max="3344" width="41.54296875" style="12" customWidth="1"/>
    <col min="3345" max="3345" width="8.54296875" style="12" customWidth="1"/>
    <col min="3346" max="3359" width="7.453125" style="12" customWidth="1"/>
    <col min="3360" max="3360" width="8.54296875" style="12" customWidth="1"/>
    <col min="3361" max="3362" width="7.453125" style="12" customWidth="1"/>
    <col min="3363" max="3363" width="10.81640625" style="12" customWidth="1"/>
    <col min="3364" max="3364" width="10" style="12" customWidth="1"/>
    <col min="3365" max="3365" width="10.453125" style="12" customWidth="1"/>
    <col min="3366" max="3366" width="17.1796875" style="12" customWidth="1"/>
    <col min="3367" max="3369" width="7.453125" style="12" customWidth="1"/>
    <col min="3370" max="3599" width="10.1796875" style="12"/>
    <col min="3600" max="3600" width="41.54296875" style="12" customWidth="1"/>
    <col min="3601" max="3601" width="8.54296875" style="12" customWidth="1"/>
    <col min="3602" max="3615" width="7.453125" style="12" customWidth="1"/>
    <col min="3616" max="3616" width="8.54296875" style="12" customWidth="1"/>
    <col min="3617" max="3618" width="7.453125" style="12" customWidth="1"/>
    <col min="3619" max="3619" width="10.81640625" style="12" customWidth="1"/>
    <col min="3620" max="3620" width="10" style="12" customWidth="1"/>
    <col min="3621" max="3621" width="10.453125" style="12" customWidth="1"/>
    <col min="3622" max="3622" width="17.1796875" style="12" customWidth="1"/>
    <col min="3623" max="3625" width="7.453125" style="12" customWidth="1"/>
    <col min="3626" max="3855" width="10.1796875" style="12"/>
    <col min="3856" max="3856" width="41.54296875" style="12" customWidth="1"/>
    <col min="3857" max="3857" width="8.54296875" style="12" customWidth="1"/>
    <col min="3858" max="3871" width="7.453125" style="12" customWidth="1"/>
    <col min="3872" max="3872" width="8.54296875" style="12" customWidth="1"/>
    <col min="3873" max="3874" width="7.453125" style="12" customWidth="1"/>
    <col min="3875" max="3875" width="10.81640625" style="12" customWidth="1"/>
    <col min="3876" max="3876" width="10" style="12" customWidth="1"/>
    <col min="3877" max="3877" width="10.453125" style="12" customWidth="1"/>
    <col min="3878" max="3878" width="17.1796875" style="12" customWidth="1"/>
    <col min="3879" max="3881" width="7.453125" style="12" customWidth="1"/>
    <col min="3882" max="4111" width="10.1796875" style="12"/>
    <col min="4112" max="4112" width="41.54296875" style="12" customWidth="1"/>
    <col min="4113" max="4113" width="8.54296875" style="12" customWidth="1"/>
    <col min="4114" max="4127" width="7.453125" style="12" customWidth="1"/>
    <col min="4128" max="4128" width="8.54296875" style="12" customWidth="1"/>
    <col min="4129" max="4130" width="7.453125" style="12" customWidth="1"/>
    <col min="4131" max="4131" width="10.81640625" style="12" customWidth="1"/>
    <col min="4132" max="4132" width="10" style="12" customWidth="1"/>
    <col min="4133" max="4133" width="10.453125" style="12" customWidth="1"/>
    <col min="4134" max="4134" width="17.1796875" style="12" customWidth="1"/>
    <col min="4135" max="4137" width="7.453125" style="12" customWidth="1"/>
    <col min="4138" max="4367" width="10.1796875" style="12"/>
    <col min="4368" max="4368" width="41.54296875" style="12" customWidth="1"/>
    <col min="4369" max="4369" width="8.54296875" style="12" customWidth="1"/>
    <col min="4370" max="4383" width="7.453125" style="12" customWidth="1"/>
    <col min="4384" max="4384" width="8.54296875" style="12" customWidth="1"/>
    <col min="4385" max="4386" width="7.453125" style="12" customWidth="1"/>
    <col min="4387" max="4387" width="10.81640625" style="12" customWidth="1"/>
    <col min="4388" max="4388" width="10" style="12" customWidth="1"/>
    <col min="4389" max="4389" width="10.453125" style="12" customWidth="1"/>
    <col min="4390" max="4390" width="17.1796875" style="12" customWidth="1"/>
    <col min="4391" max="4393" width="7.453125" style="12" customWidth="1"/>
    <col min="4394" max="4623" width="10.1796875" style="12"/>
    <col min="4624" max="4624" width="41.54296875" style="12" customWidth="1"/>
    <col min="4625" max="4625" width="8.54296875" style="12" customWidth="1"/>
    <col min="4626" max="4639" width="7.453125" style="12" customWidth="1"/>
    <col min="4640" max="4640" width="8.54296875" style="12" customWidth="1"/>
    <col min="4641" max="4642" width="7.453125" style="12" customWidth="1"/>
    <col min="4643" max="4643" width="10.81640625" style="12" customWidth="1"/>
    <col min="4644" max="4644" width="10" style="12" customWidth="1"/>
    <col min="4645" max="4645" width="10.453125" style="12" customWidth="1"/>
    <col min="4646" max="4646" width="17.1796875" style="12" customWidth="1"/>
    <col min="4647" max="4649" width="7.453125" style="12" customWidth="1"/>
    <col min="4650" max="4879" width="10.1796875" style="12"/>
    <col min="4880" max="4880" width="41.54296875" style="12" customWidth="1"/>
    <col min="4881" max="4881" width="8.54296875" style="12" customWidth="1"/>
    <col min="4882" max="4895" width="7.453125" style="12" customWidth="1"/>
    <col min="4896" max="4896" width="8.54296875" style="12" customWidth="1"/>
    <col min="4897" max="4898" width="7.453125" style="12" customWidth="1"/>
    <col min="4899" max="4899" width="10.81640625" style="12" customWidth="1"/>
    <col min="4900" max="4900" width="10" style="12" customWidth="1"/>
    <col min="4901" max="4901" width="10.453125" style="12" customWidth="1"/>
    <col min="4902" max="4902" width="17.1796875" style="12" customWidth="1"/>
    <col min="4903" max="4905" width="7.453125" style="12" customWidth="1"/>
    <col min="4906" max="5135" width="10.1796875" style="12"/>
    <col min="5136" max="5136" width="41.54296875" style="12" customWidth="1"/>
    <col min="5137" max="5137" width="8.54296875" style="12" customWidth="1"/>
    <col min="5138" max="5151" width="7.453125" style="12" customWidth="1"/>
    <col min="5152" max="5152" width="8.54296875" style="12" customWidth="1"/>
    <col min="5153" max="5154" width="7.453125" style="12" customWidth="1"/>
    <col min="5155" max="5155" width="10.81640625" style="12" customWidth="1"/>
    <col min="5156" max="5156" width="10" style="12" customWidth="1"/>
    <col min="5157" max="5157" width="10.453125" style="12" customWidth="1"/>
    <col min="5158" max="5158" width="17.1796875" style="12" customWidth="1"/>
    <col min="5159" max="5161" width="7.453125" style="12" customWidth="1"/>
    <col min="5162" max="5391" width="10.1796875" style="12"/>
    <col min="5392" max="5392" width="41.54296875" style="12" customWidth="1"/>
    <col min="5393" max="5393" width="8.54296875" style="12" customWidth="1"/>
    <col min="5394" max="5407" width="7.453125" style="12" customWidth="1"/>
    <col min="5408" max="5408" width="8.54296875" style="12" customWidth="1"/>
    <col min="5409" max="5410" width="7.453125" style="12" customWidth="1"/>
    <col min="5411" max="5411" width="10.81640625" style="12" customWidth="1"/>
    <col min="5412" max="5412" width="10" style="12" customWidth="1"/>
    <col min="5413" max="5413" width="10.453125" style="12" customWidth="1"/>
    <col min="5414" max="5414" width="17.1796875" style="12" customWidth="1"/>
    <col min="5415" max="5417" width="7.453125" style="12" customWidth="1"/>
    <col min="5418" max="5647" width="10.1796875" style="12"/>
    <col min="5648" max="5648" width="41.54296875" style="12" customWidth="1"/>
    <col min="5649" max="5649" width="8.54296875" style="12" customWidth="1"/>
    <col min="5650" max="5663" width="7.453125" style="12" customWidth="1"/>
    <col min="5664" max="5664" width="8.54296875" style="12" customWidth="1"/>
    <col min="5665" max="5666" width="7.453125" style="12" customWidth="1"/>
    <col min="5667" max="5667" width="10.81640625" style="12" customWidth="1"/>
    <col min="5668" max="5668" width="10" style="12" customWidth="1"/>
    <col min="5669" max="5669" width="10.453125" style="12" customWidth="1"/>
    <col min="5670" max="5670" width="17.1796875" style="12" customWidth="1"/>
    <col min="5671" max="5673" width="7.453125" style="12" customWidth="1"/>
    <col min="5674" max="5903" width="10.1796875" style="12"/>
    <col min="5904" max="5904" width="41.54296875" style="12" customWidth="1"/>
    <col min="5905" max="5905" width="8.54296875" style="12" customWidth="1"/>
    <col min="5906" max="5919" width="7.453125" style="12" customWidth="1"/>
    <col min="5920" max="5920" width="8.54296875" style="12" customWidth="1"/>
    <col min="5921" max="5922" width="7.453125" style="12" customWidth="1"/>
    <col min="5923" max="5923" width="10.81640625" style="12" customWidth="1"/>
    <col min="5924" max="5924" width="10" style="12" customWidth="1"/>
    <col min="5925" max="5925" width="10.453125" style="12" customWidth="1"/>
    <col min="5926" max="5926" width="17.1796875" style="12" customWidth="1"/>
    <col min="5927" max="5929" width="7.453125" style="12" customWidth="1"/>
    <col min="5930" max="6159" width="10.1796875" style="12"/>
    <col min="6160" max="6160" width="41.54296875" style="12" customWidth="1"/>
    <col min="6161" max="6161" width="8.54296875" style="12" customWidth="1"/>
    <col min="6162" max="6175" width="7.453125" style="12" customWidth="1"/>
    <col min="6176" max="6176" width="8.54296875" style="12" customWidth="1"/>
    <col min="6177" max="6178" width="7.453125" style="12" customWidth="1"/>
    <col min="6179" max="6179" width="10.81640625" style="12" customWidth="1"/>
    <col min="6180" max="6180" width="10" style="12" customWidth="1"/>
    <col min="6181" max="6181" width="10.453125" style="12" customWidth="1"/>
    <col min="6182" max="6182" width="17.1796875" style="12" customWidth="1"/>
    <col min="6183" max="6185" width="7.453125" style="12" customWidth="1"/>
    <col min="6186" max="6415" width="10.1796875" style="12"/>
    <col min="6416" max="6416" width="41.54296875" style="12" customWidth="1"/>
    <col min="6417" max="6417" width="8.54296875" style="12" customWidth="1"/>
    <col min="6418" max="6431" width="7.453125" style="12" customWidth="1"/>
    <col min="6432" max="6432" width="8.54296875" style="12" customWidth="1"/>
    <col min="6433" max="6434" width="7.453125" style="12" customWidth="1"/>
    <col min="6435" max="6435" width="10.81640625" style="12" customWidth="1"/>
    <col min="6436" max="6436" width="10" style="12" customWidth="1"/>
    <col min="6437" max="6437" width="10.453125" style="12" customWidth="1"/>
    <col min="6438" max="6438" width="17.1796875" style="12" customWidth="1"/>
    <col min="6439" max="6441" width="7.453125" style="12" customWidth="1"/>
    <col min="6442" max="6671" width="10.1796875" style="12"/>
    <col min="6672" max="6672" width="41.54296875" style="12" customWidth="1"/>
    <col min="6673" max="6673" width="8.54296875" style="12" customWidth="1"/>
    <col min="6674" max="6687" width="7.453125" style="12" customWidth="1"/>
    <col min="6688" max="6688" width="8.54296875" style="12" customWidth="1"/>
    <col min="6689" max="6690" width="7.453125" style="12" customWidth="1"/>
    <col min="6691" max="6691" width="10.81640625" style="12" customWidth="1"/>
    <col min="6692" max="6692" width="10" style="12" customWidth="1"/>
    <col min="6693" max="6693" width="10.453125" style="12" customWidth="1"/>
    <col min="6694" max="6694" width="17.1796875" style="12" customWidth="1"/>
    <col min="6695" max="6697" width="7.453125" style="12" customWidth="1"/>
    <col min="6698" max="6927" width="10.1796875" style="12"/>
    <col min="6928" max="6928" width="41.54296875" style="12" customWidth="1"/>
    <col min="6929" max="6929" width="8.54296875" style="12" customWidth="1"/>
    <col min="6930" max="6943" width="7.453125" style="12" customWidth="1"/>
    <col min="6944" max="6944" width="8.54296875" style="12" customWidth="1"/>
    <col min="6945" max="6946" width="7.453125" style="12" customWidth="1"/>
    <col min="6947" max="6947" width="10.81640625" style="12" customWidth="1"/>
    <col min="6948" max="6948" width="10" style="12" customWidth="1"/>
    <col min="6949" max="6949" width="10.453125" style="12" customWidth="1"/>
    <col min="6950" max="6950" width="17.1796875" style="12" customWidth="1"/>
    <col min="6951" max="6953" width="7.453125" style="12" customWidth="1"/>
    <col min="6954" max="7183" width="10.1796875" style="12"/>
    <col min="7184" max="7184" width="41.54296875" style="12" customWidth="1"/>
    <col min="7185" max="7185" width="8.54296875" style="12" customWidth="1"/>
    <col min="7186" max="7199" width="7.453125" style="12" customWidth="1"/>
    <col min="7200" max="7200" width="8.54296875" style="12" customWidth="1"/>
    <col min="7201" max="7202" width="7.453125" style="12" customWidth="1"/>
    <col min="7203" max="7203" width="10.81640625" style="12" customWidth="1"/>
    <col min="7204" max="7204" width="10" style="12" customWidth="1"/>
    <col min="7205" max="7205" width="10.453125" style="12" customWidth="1"/>
    <col min="7206" max="7206" width="17.1796875" style="12" customWidth="1"/>
    <col min="7207" max="7209" width="7.453125" style="12" customWidth="1"/>
    <col min="7210" max="7439" width="10.1796875" style="12"/>
    <col min="7440" max="7440" width="41.54296875" style="12" customWidth="1"/>
    <col min="7441" max="7441" width="8.54296875" style="12" customWidth="1"/>
    <col min="7442" max="7455" width="7.453125" style="12" customWidth="1"/>
    <col min="7456" max="7456" width="8.54296875" style="12" customWidth="1"/>
    <col min="7457" max="7458" width="7.453125" style="12" customWidth="1"/>
    <col min="7459" max="7459" width="10.81640625" style="12" customWidth="1"/>
    <col min="7460" max="7460" width="10" style="12" customWidth="1"/>
    <col min="7461" max="7461" width="10.453125" style="12" customWidth="1"/>
    <col min="7462" max="7462" width="17.1796875" style="12" customWidth="1"/>
    <col min="7463" max="7465" width="7.453125" style="12" customWidth="1"/>
    <col min="7466" max="7695" width="10.1796875" style="12"/>
    <col min="7696" max="7696" width="41.54296875" style="12" customWidth="1"/>
    <col min="7697" max="7697" width="8.54296875" style="12" customWidth="1"/>
    <col min="7698" max="7711" width="7.453125" style="12" customWidth="1"/>
    <col min="7712" max="7712" width="8.54296875" style="12" customWidth="1"/>
    <col min="7713" max="7714" width="7.453125" style="12" customWidth="1"/>
    <col min="7715" max="7715" width="10.81640625" style="12" customWidth="1"/>
    <col min="7716" max="7716" width="10" style="12" customWidth="1"/>
    <col min="7717" max="7717" width="10.453125" style="12" customWidth="1"/>
    <col min="7718" max="7718" width="17.1796875" style="12" customWidth="1"/>
    <col min="7719" max="7721" width="7.453125" style="12" customWidth="1"/>
    <col min="7722" max="7951" width="10.1796875" style="12"/>
    <col min="7952" max="7952" width="41.54296875" style="12" customWidth="1"/>
    <col min="7953" max="7953" width="8.54296875" style="12" customWidth="1"/>
    <col min="7954" max="7967" width="7.453125" style="12" customWidth="1"/>
    <col min="7968" max="7968" width="8.54296875" style="12" customWidth="1"/>
    <col min="7969" max="7970" width="7.453125" style="12" customWidth="1"/>
    <col min="7971" max="7971" width="10.81640625" style="12" customWidth="1"/>
    <col min="7972" max="7972" width="10" style="12" customWidth="1"/>
    <col min="7973" max="7973" width="10.453125" style="12" customWidth="1"/>
    <col min="7974" max="7974" width="17.1796875" style="12" customWidth="1"/>
    <col min="7975" max="7977" width="7.453125" style="12" customWidth="1"/>
    <col min="7978" max="8207" width="10.1796875" style="12"/>
    <col min="8208" max="8208" width="41.54296875" style="12" customWidth="1"/>
    <col min="8209" max="8209" width="8.54296875" style="12" customWidth="1"/>
    <col min="8210" max="8223" width="7.453125" style="12" customWidth="1"/>
    <col min="8224" max="8224" width="8.54296875" style="12" customWidth="1"/>
    <col min="8225" max="8226" width="7.453125" style="12" customWidth="1"/>
    <col min="8227" max="8227" width="10.81640625" style="12" customWidth="1"/>
    <col min="8228" max="8228" width="10" style="12" customWidth="1"/>
    <col min="8229" max="8229" width="10.453125" style="12" customWidth="1"/>
    <col min="8230" max="8230" width="17.1796875" style="12" customWidth="1"/>
    <col min="8231" max="8233" width="7.453125" style="12" customWidth="1"/>
    <col min="8234" max="8463" width="10.1796875" style="12"/>
    <col min="8464" max="8464" width="41.54296875" style="12" customWidth="1"/>
    <col min="8465" max="8465" width="8.54296875" style="12" customWidth="1"/>
    <col min="8466" max="8479" width="7.453125" style="12" customWidth="1"/>
    <col min="8480" max="8480" width="8.54296875" style="12" customWidth="1"/>
    <col min="8481" max="8482" width="7.453125" style="12" customWidth="1"/>
    <col min="8483" max="8483" width="10.81640625" style="12" customWidth="1"/>
    <col min="8484" max="8484" width="10" style="12" customWidth="1"/>
    <col min="8485" max="8485" width="10.453125" style="12" customWidth="1"/>
    <col min="8486" max="8486" width="17.1796875" style="12" customWidth="1"/>
    <col min="8487" max="8489" width="7.453125" style="12" customWidth="1"/>
    <col min="8490" max="8719" width="10.1796875" style="12"/>
    <col min="8720" max="8720" width="41.54296875" style="12" customWidth="1"/>
    <col min="8721" max="8721" width="8.54296875" style="12" customWidth="1"/>
    <col min="8722" max="8735" width="7.453125" style="12" customWidth="1"/>
    <col min="8736" max="8736" width="8.54296875" style="12" customWidth="1"/>
    <col min="8737" max="8738" width="7.453125" style="12" customWidth="1"/>
    <col min="8739" max="8739" width="10.81640625" style="12" customWidth="1"/>
    <col min="8740" max="8740" width="10" style="12" customWidth="1"/>
    <col min="8741" max="8741" width="10.453125" style="12" customWidth="1"/>
    <col min="8742" max="8742" width="17.1796875" style="12" customWidth="1"/>
    <col min="8743" max="8745" width="7.453125" style="12" customWidth="1"/>
    <col min="8746" max="8975" width="10.1796875" style="12"/>
    <col min="8976" max="8976" width="41.54296875" style="12" customWidth="1"/>
    <col min="8977" max="8977" width="8.54296875" style="12" customWidth="1"/>
    <col min="8978" max="8991" width="7.453125" style="12" customWidth="1"/>
    <col min="8992" max="8992" width="8.54296875" style="12" customWidth="1"/>
    <col min="8993" max="8994" width="7.453125" style="12" customWidth="1"/>
    <col min="8995" max="8995" width="10.81640625" style="12" customWidth="1"/>
    <col min="8996" max="8996" width="10" style="12" customWidth="1"/>
    <col min="8997" max="8997" width="10.453125" style="12" customWidth="1"/>
    <col min="8998" max="8998" width="17.1796875" style="12" customWidth="1"/>
    <col min="8999" max="9001" width="7.453125" style="12" customWidth="1"/>
    <col min="9002" max="9231" width="10.1796875" style="12"/>
    <col min="9232" max="9232" width="41.54296875" style="12" customWidth="1"/>
    <col min="9233" max="9233" width="8.54296875" style="12" customWidth="1"/>
    <col min="9234" max="9247" width="7.453125" style="12" customWidth="1"/>
    <col min="9248" max="9248" width="8.54296875" style="12" customWidth="1"/>
    <col min="9249" max="9250" width="7.453125" style="12" customWidth="1"/>
    <col min="9251" max="9251" width="10.81640625" style="12" customWidth="1"/>
    <col min="9252" max="9252" width="10" style="12" customWidth="1"/>
    <col min="9253" max="9253" width="10.453125" style="12" customWidth="1"/>
    <col min="9254" max="9254" width="17.1796875" style="12" customWidth="1"/>
    <col min="9255" max="9257" width="7.453125" style="12" customWidth="1"/>
    <col min="9258" max="9487" width="10.1796875" style="12"/>
    <col min="9488" max="9488" width="41.54296875" style="12" customWidth="1"/>
    <col min="9489" max="9489" width="8.54296875" style="12" customWidth="1"/>
    <col min="9490" max="9503" width="7.453125" style="12" customWidth="1"/>
    <col min="9504" max="9504" width="8.54296875" style="12" customWidth="1"/>
    <col min="9505" max="9506" width="7.453125" style="12" customWidth="1"/>
    <col min="9507" max="9507" width="10.81640625" style="12" customWidth="1"/>
    <col min="9508" max="9508" width="10" style="12" customWidth="1"/>
    <col min="9509" max="9509" width="10.453125" style="12" customWidth="1"/>
    <col min="9510" max="9510" width="17.1796875" style="12" customWidth="1"/>
    <col min="9511" max="9513" width="7.453125" style="12" customWidth="1"/>
    <col min="9514" max="9743" width="10.1796875" style="12"/>
    <col min="9744" max="9744" width="41.54296875" style="12" customWidth="1"/>
    <col min="9745" max="9745" width="8.54296875" style="12" customWidth="1"/>
    <col min="9746" max="9759" width="7.453125" style="12" customWidth="1"/>
    <col min="9760" max="9760" width="8.54296875" style="12" customWidth="1"/>
    <col min="9761" max="9762" width="7.453125" style="12" customWidth="1"/>
    <col min="9763" max="9763" width="10.81640625" style="12" customWidth="1"/>
    <col min="9764" max="9764" width="10" style="12" customWidth="1"/>
    <col min="9765" max="9765" width="10.453125" style="12" customWidth="1"/>
    <col min="9766" max="9766" width="17.1796875" style="12" customWidth="1"/>
    <col min="9767" max="9769" width="7.453125" style="12" customWidth="1"/>
    <col min="9770" max="9999" width="10.1796875" style="12"/>
    <col min="10000" max="10000" width="41.54296875" style="12" customWidth="1"/>
    <col min="10001" max="10001" width="8.54296875" style="12" customWidth="1"/>
    <col min="10002" max="10015" width="7.453125" style="12" customWidth="1"/>
    <col min="10016" max="10016" width="8.54296875" style="12" customWidth="1"/>
    <col min="10017" max="10018" width="7.453125" style="12" customWidth="1"/>
    <col min="10019" max="10019" width="10.81640625" style="12" customWidth="1"/>
    <col min="10020" max="10020" width="10" style="12" customWidth="1"/>
    <col min="10021" max="10021" width="10.453125" style="12" customWidth="1"/>
    <col min="10022" max="10022" width="17.1796875" style="12" customWidth="1"/>
    <col min="10023" max="10025" width="7.453125" style="12" customWidth="1"/>
    <col min="10026" max="10255" width="10.1796875" style="12"/>
    <col min="10256" max="10256" width="41.54296875" style="12" customWidth="1"/>
    <col min="10257" max="10257" width="8.54296875" style="12" customWidth="1"/>
    <col min="10258" max="10271" width="7.453125" style="12" customWidth="1"/>
    <col min="10272" max="10272" width="8.54296875" style="12" customWidth="1"/>
    <col min="10273" max="10274" width="7.453125" style="12" customWidth="1"/>
    <col min="10275" max="10275" width="10.81640625" style="12" customWidth="1"/>
    <col min="10276" max="10276" width="10" style="12" customWidth="1"/>
    <col min="10277" max="10277" width="10.453125" style="12" customWidth="1"/>
    <col min="10278" max="10278" width="17.1796875" style="12" customWidth="1"/>
    <col min="10279" max="10281" width="7.453125" style="12" customWidth="1"/>
    <col min="10282" max="10511" width="10.1796875" style="12"/>
    <col min="10512" max="10512" width="41.54296875" style="12" customWidth="1"/>
    <col min="10513" max="10513" width="8.54296875" style="12" customWidth="1"/>
    <col min="10514" max="10527" width="7.453125" style="12" customWidth="1"/>
    <col min="10528" max="10528" width="8.54296875" style="12" customWidth="1"/>
    <col min="10529" max="10530" width="7.453125" style="12" customWidth="1"/>
    <col min="10531" max="10531" width="10.81640625" style="12" customWidth="1"/>
    <col min="10532" max="10532" width="10" style="12" customWidth="1"/>
    <col min="10533" max="10533" width="10.453125" style="12" customWidth="1"/>
    <col min="10534" max="10534" width="17.1796875" style="12" customWidth="1"/>
    <col min="10535" max="10537" width="7.453125" style="12" customWidth="1"/>
    <col min="10538" max="10767" width="10.1796875" style="12"/>
    <col min="10768" max="10768" width="41.54296875" style="12" customWidth="1"/>
    <col min="10769" max="10769" width="8.54296875" style="12" customWidth="1"/>
    <col min="10770" max="10783" width="7.453125" style="12" customWidth="1"/>
    <col min="10784" max="10784" width="8.54296875" style="12" customWidth="1"/>
    <col min="10785" max="10786" width="7.453125" style="12" customWidth="1"/>
    <col min="10787" max="10787" width="10.81640625" style="12" customWidth="1"/>
    <col min="10788" max="10788" width="10" style="12" customWidth="1"/>
    <col min="10789" max="10789" width="10.453125" style="12" customWidth="1"/>
    <col min="10790" max="10790" width="17.1796875" style="12" customWidth="1"/>
    <col min="10791" max="10793" width="7.453125" style="12" customWidth="1"/>
    <col min="10794" max="11023" width="10.1796875" style="12"/>
    <col min="11024" max="11024" width="41.54296875" style="12" customWidth="1"/>
    <col min="11025" max="11025" width="8.54296875" style="12" customWidth="1"/>
    <col min="11026" max="11039" width="7.453125" style="12" customWidth="1"/>
    <col min="11040" max="11040" width="8.54296875" style="12" customWidth="1"/>
    <col min="11041" max="11042" width="7.453125" style="12" customWidth="1"/>
    <col min="11043" max="11043" width="10.81640625" style="12" customWidth="1"/>
    <col min="11044" max="11044" width="10" style="12" customWidth="1"/>
    <col min="11045" max="11045" width="10.453125" style="12" customWidth="1"/>
    <col min="11046" max="11046" width="17.1796875" style="12" customWidth="1"/>
    <col min="11047" max="11049" width="7.453125" style="12" customWidth="1"/>
    <col min="11050" max="11279" width="10.1796875" style="12"/>
    <col min="11280" max="11280" width="41.54296875" style="12" customWidth="1"/>
    <col min="11281" max="11281" width="8.54296875" style="12" customWidth="1"/>
    <col min="11282" max="11295" width="7.453125" style="12" customWidth="1"/>
    <col min="11296" max="11296" width="8.54296875" style="12" customWidth="1"/>
    <col min="11297" max="11298" width="7.453125" style="12" customWidth="1"/>
    <col min="11299" max="11299" width="10.81640625" style="12" customWidth="1"/>
    <col min="11300" max="11300" width="10" style="12" customWidth="1"/>
    <col min="11301" max="11301" width="10.453125" style="12" customWidth="1"/>
    <col min="11302" max="11302" width="17.1796875" style="12" customWidth="1"/>
    <col min="11303" max="11305" width="7.453125" style="12" customWidth="1"/>
    <col min="11306" max="11535" width="10.1796875" style="12"/>
    <col min="11536" max="11536" width="41.54296875" style="12" customWidth="1"/>
    <col min="11537" max="11537" width="8.54296875" style="12" customWidth="1"/>
    <col min="11538" max="11551" width="7.453125" style="12" customWidth="1"/>
    <col min="11552" max="11552" width="8.54296875" style="12" customWidth="1"/>
    <col min="11553" max="11554" width="7.453125" style="12" customWidth="1"/>
    <col min="11555" max="11555" width="10.81640625" style="12" customWidth="1"/>
    <col min="11556" max="11556" width="10" style="12" customWidth="1"/>
    <col min="11557" max="11557" width="10.453125" style="12" customWidth="1"/>
    <col min="11558" max="11558" width="17.1796875" style="12" customWidth="1"/>
    <col min="11559" max="11561" width="7.453125" style="12" customWidth="1"/>
    <col min="11562" max="11791" width="10.1796875" style="12"/>
    <col min="11792" max="11792" width="41.54296875" style="12" customWidth="1"/>
    <col min="11793" max="11793" width="8.54296875" style="12" customWidth="1"/>
    <col min="11794" max="11807" width="7.453125" style="12" customWidth="1"/>
    <col min="11808" max="11808" width="8.54296875" style="12" customWidth="1"/>
    <col min="11809" max="11810" width="7.453125" style="12" customWidth="1"/>
    <col min="11811" max="11811" width="10.81640625" style="12" customWidth="1"/>
    <col min="11812" max="11812" width="10" style="12" customWidth="1"/>
    <col min="11813" max="11813" width="10.453125" style="12" customWidth="1"/>
    <col min="11814" max="11814" width="17.1796875" style="12" customWidth="1"/>
    <col min="11815" max="11817" width="7.453125" style="12" customWidth="1"/>
    <col min="11818" max="12047" width="10.1796875" style="12"/>
    <col min="12048" max="12048" width="41.54296875" style="12" customWidth="1"/>
    <col min="12049" max="12049" width="8.54296875" style="12" customWidth="1"/>
    <col min="12050" max="12063" width="7.453125" style="12" customWidth="1"/>
    <col min="12064" max="12064" width="8.54296875" style="12" customWidth="1"/>
    <col min="12065" max="12066" width="7.453125" style="12" customWidth="1"/>
    <col min="12067" max="12067" width="10.81640625" style="12" customWidth="1"/>
    <col min="12068" max="12068" width="10" style="12" customWidth="1"/>
    <col min="12069" max="12069" width="10.453125" style="12" customWidth="1"/>
    <col min="12070" max="12070" width="17.1796875" style="12" customWidth="1"/>
    <col min="12071" max="12073" width="7.453125" style="12" customWidth="1"/>
    <col min="12074" max="12303" width="10.1796875" style="12"/>
    <col min="12304" max="12304" width="41.54296875" style="12" customWidth="1"/>
    <col min="12305" max="12305" width="8.54296875" style="12" customWidth="1"/>
    <col min="12306" max="12319" width="7.453125" style="12" customWidth="1"/>
    <col min="12320" max="12320" width="8.54296875" style="12" customWidth="1"/>
    <col min="12321" max="12322" width="7.453125" style="12" customWidth="1"/>
    <col min="12323" max="12323" width="10.81640625" style="12" customWidth="1"/>
    <col min="12324" max="12324" width="10" style="12" customWidth="1"/>
    <col min="12325" max="12325" width="10.453125" style="12" customWidth="1"/>
    <col min="12326" max="12326" width="17.1796875" style="12" customWidth="1"/>
    <col min="12327" max="12329" width="7.453125" style="12" customWidth="1"/>
    <col min="12330" max="12559" width="10.1796875" style="12"/>
    <col min="12560" max="12560" width="41.54296875" style="12" customWidth="1"/>
    <col min="12561" max="12561" width="8.54296875" style="12" customWidth="1"/>
    <col min="12562" max="12575" width="7.453125" style="12" customWidth="1"/>
    <col min="12576" max="12576" width="8.54296875" style="12" customWidth="1"/>
    <col min="12577" max="12578" width="7.453125" style="12" customWidth="1"/>
    <col min="12579" max="12579" width="10.81640625" style="12" customWidth="1"/>
    <col min="12580" max="12580" width="10" style="12" customWidth="1"/>
    <col min="12581" max="12581" width="10.453125" style="12" customWidth="1"/>
    <col min="12582" max="12582" width="17.1796875" style="12" customWidth="1"/>
    <col min="12583" max="12585" width="7.453125" style="12" customWidth="1"/>
    <col min="12586" max="12815" width="10.1796875" style="12"/>
    <col min="12816" max="12816" width="41.54296875" style="12" customWidth="1"/>
    <col min="12817" max="12817" width="8.54296875" style="12" customWidth="1"/>
    <col min="12818" max="12831" width="7.453125" style="12" customWidth="1"/>
    <col min="12832" max="12832" width="8.54296875" style="12" customWidth="1"/>
    <col min="12833" max="12834" width="7.453125" style="12" customWidth="1"/>
    <col min="12835" max="12835" width="10.81640625" style="12" customWidth="1"/>
    <col min="12836" max="12836" width="10" style="12" customWidth="1"/>
    <col min="12837" max="12837" width="10.453125" style="12" customWidth="1"/>
    <col min="12838" max="12838" width="17.1796875" style="12" customWidth="1"/>
    <col min="12839" max="12841" width="7.453125" style="12" customWidth="1"/>
    <col min="12842" max="13071" width="10.1796875" style="12"/>
    <col min="13072" max="13072" width="41.54296875" style="12" customWidth="1"/>
    <col min="13073" max="13073" width="8.54296875" style="12" customWidth="1"/>
    <col min="13074" max="13087" width="7.453125" style="12" customWidth="1"/>
    <col min="13088" max="13088" width="8.54296875" style="12" customWidth="1"/>
    <col min="13089" max="13090" width="7.453125" style="12" customWidth="1"/>
    <col min="13091" max="13091" width="10.81640625" style="12" customWidth="1"/>
    <col min="13092" max="13092" width="10" style="12" customWidth="1"/>
    <col min="13093" max="13093" width="10.453125" style="12" customWidth="1"/>
    <col min="13094" max="13094" width="17.1796875" style="12" customWidth="1"/>
    <col min="13095" max="13097" width="7.453125" style="12" customWidth="1"/>
    <col min="13098" max="13327" width="10.1796875" style="12"/>
    <col min="13328" max="13328" width="41.54296875" style="12" customWidth="1"/>
    <col min="13329" max="13329" width="8.54296875" style="12" customWidth="1"/>
    <col min="13330" max="13343" width="7.453125" style="12" customWidth="1"/>
    <col min="13344" max="13344" width="8.54296875" style="12" customWidth="1"/>
    <col min="13345" max="13346" width="7.453125" style="12" customWidth="1"/>
    <col min="13347" max="13347" width="10.81640625" style="12" customWidth="1"/>
    <col min="13348" max="13348" width="10" style="12" customWidth="1"/>
    <col min="13349" max="13349" width="10.453125" style="12" customWidth="1"/>
    <col min="13350" max="13350" width="17.1796875" style="12" customWidth="1"/>
    <col min="13351" max="13353" width="7.453125" style="12" customWidth="1"/>
    <col min="13354" max="13583" width="10.1796875" style="12"/>
    <col min="13584" max="13584" width="41.54296875" style="12" customWidth="1"/>
    <col min="13585" max="13585" width="8.54296875" style="12" customWidth="1"/>
    <col min="13586" max="13599" width="7.453125" style="12" customWidth="1"/>
    <col min="13600" max="13600" width="8.54296875" style="12" customWidth="1"/>
    <col min="13601" max="13602" width="7.453125" style="12" customWidth="1"/>
    <col min="13603" max="13603" width="10.81640625" style="12" customWidth="1"/>
    <col min="13604" max="13604" width="10" style="12" customWidth="1"/>
    <col min="13605" max="13605" width="10.453125" style="12" customWidth="1"/>
    <col min="13606" max="13606" width="17.1796875" style="12" customWidth="1"/>
    <col min="13607" max="13609" width="7.453125" style="12" customWidth="1"/>
    <col min="13610" max="13839" width="10.1796875" style="12"/>
    <col min="13840" max="13840" width="41.54296875" style="12" customWidth="1"/>
    <col min="13841" max="13841" width="8.54296875" style="12" customWidth="1"/>
    <col min="13842" max="13855" width="7.453125" style="12" customWidth="1"/>
    <col min="13856" max="13856" width="8.54296875" style="12" customWidth="1"/>
    <col min="13857" max="13858" width="7.453125" style="12" customWidth="1"/>
    <col min="13859" max="13859" width="10.81640625" style="12" customWidth="1"/>
    <col min="13860" max="13860" width="10" style="12" customWidth="1"/>
    <col min="13861" max="13861" width="10.453125" style="12" customWidth="1"/>
    <col min="13862" max="13862" width="17.1796875" style="12" customWidth="1"/>
    <col min="13863" max="13865" width="7.453125" style="12" customWidth="1"/>
    <col min="13866" max="14095" width="10.1796875" style="12"/>
    <col min="14096" max="14096" width="41.54296875" style="12" customWidth="1"/>
    <col min="14097" max="14097" width="8.54296875" style="12" customWidth="1"/>
    <col min="14098" max="14111" width="7.453125" style="12" customWidth="1"/>
    <col min="14112" max="14112" width="8.54296875" style="12" customWidth="1"/>
    <col min="14113" max="14114" width="7.453125" style="12" customWidth="1"/>
    <col min="14115" max="14115" width="10.81640625" style="12" customWidth="1"/>
    <col min="14116" max="14116" width="10" style="12" customWidth="1"/>
    <col min="14117" max="14117" width="10.453125" style="12" customWidth="1"/>
    <col min="14118" max="14118" width="17.1796875" style="12" customWidth="1"/>
    <col min="14119" max="14121" width="7.453125" style="12" customWidth="1"/>
    <col min="14122" max="14351" width="10.1796875" style="12"/>
    <col min="14352" max="14352" width="41.54296875" style="12" customWidth="1"/>
    <col min="14353" max="14353" width="8.54296875" style="12" customWidth="1"/>
    <col min="14354" max="14367" width="7.453125" style="12" customWidth="1"/>
    <col min="14368" max="14368" width="8.54296875" style="12" customWidth="1"/>
    <col min="14369" max="14370" width="7.453125" style="12" customWidth="1"/>
    <col min="14371" max="14371" width="10.81640625" style="12" customWidth="1"/>
    <col min="14372" max="14372" width="10" style="12" customWidth="1"/>
    <col min="14373" max="14373" width="10.453125" style="12" customWidth="1"/>
    <col min="14374" max="14374" width="17.1796875" style="12" customWidth="1"/>
    <col min="14375" max="14377" width="7.453125" style="12" customWidth="1"/>
    <col min="14378" max="14607" width="10.1796875" style="12"/>
    <col min="14608" max="14608" width="41.54296875" style="12" customWidth="1"/>
    <col min="14609" max="14609" width="8.54296875" style="12" customWidth="1"/>
    <col min="14610" max="14623" width="7.453125" style="12" customWidth="1"/>
    <col min="14624" max="14624" width="8.54296875" style="12" customWidth="1"/>
    <col min="14625" max="14626" width="7.453125" style="12" customWidth="1"/>
    <col min="14627" max="14627" width="10.81640625" style="12" customWidth="1"/>
    <col min="14628" max="14628" width="10" style="12" customWidth="1"/>
    <col min="14629" max="14629" width="10.453125" style="12" customWidth="1"/>
    <col min="14630" max="14630" width="17.1796875" style="12" customWidth="1"/>
    <col min="14631" max="14633" width="7.453125" style="12" customWidth="1"/>
    <col min="14634" max="14863" width="10.1796875" style="12"/>
    <col min="14864" max="14864" width="41.54296875" style="12" customWidth="1"/>
    <col min="14865" max="14865" width="8.54296875" style="12" customWidth="1"/>
    <col min="14866" max="14879" width="7.453125" style="12" customWidth="1"/>
    <col min="14880" max="14880" width="8.54296875" style="12" customWidth="1"/>
    <col min="14881" max="14882" width="7.453125" style="12" customWidth="1"/>
    <col min="14883" max="14883" width="10.81640625" style="12" customWidth="1"/>
    <col min="14884" max="14884" width="10" style="12" customWidth="1"/>
    <col min="14885" max="14885" width="10.453125" style="12" customWidth="1"/>
    <col min="14886" max="14886" width="17.1796875" style="12" customWidth="1"/>
    <col min="14887" max="14889" width="7.453125" style="12" customWidth="1"/>
    <col min="14890" max="15119" width="10.1796875" style="12"/>
    <col min="15120" max="15120" width="41.54296875" style="12" customWidth="1"/>
    <col min="15121" max="15121" width="8.54296875" style="12" customWidth="1"/>
    <col min="15122" max="15135" width="7.453125" style="12" customWidth="1"/>
    <col min="15136" max="15136" width="8.54296875" style="12" customWidth="1"/>
    <col min="15137" max="15138" width="7.453125" style="12" customWidth="1"/>
    <col min="15139" max="15139" width="10.81640625" style="12" customWidth="1"/>
    <col min="15140" max="15140" width="10" style="12" customWidth="1"/>
    <col min="15141" max="15141" width="10.453125" style="12" customWidth="1"/>
    <col min="15142" max="15142" width="17.1796875" style="12" customWidth="1"/>
    <col min="15143" max="15145" width="7.453125" style="12" customWidth="1"/>
    <col min="15146" max="15375" width="10.1796875" style="12"/>
    <col min="15376" max="15376" width="41.54296875" style="12" customWidth="1"/>
    <col min="15377" max="15377" width="8.54296875" style="12" customWidth="1"/>
    <col min="15378" max="15391" width="7.453125" style="12" customWidth="1"/>
    <col min="15392" max="15392" width="8.54296875" style="12" customWidth="1"/>
    <col min="15393" max="15394" width="7.453125" style="12" customWidth="1"/>
    <col min="15395" max="15395" width="10.81640625" style="12" customWidth="1"/>
    <col min="15396" max="15396" width="10" style="12" customWidth="1"/>
    <col min="15397" max="15397" width="10.453125" style="12" customWidth="1"/>
    <col min="15398" max="15398" width="17.1796875" style="12" customWidth="1"/>
    <col min="15399" max="15401" width="7.453125" style="12" customWidth="1"/>
    <col min="15402" max="15631" width="10.1796875" style="12"/>
    <col min="15632" max="15632" width="41.54296875" style="12" customWidth="1"/>
    <col min="15633" max="15633" width="8.54296875" style="12" customWidth="1"/>
    <col min="15634" max="15647" width="7.453125" style="12" customWidth="1"/>
    <col min="15648" max="15648" width="8.54296875" style="12" customWidth="1"/>
    <col min="15649" max="15650" width="7.453125" style="12" customWidth="1"/>
    <col min="15651" max="15651" width="10.81640625" style="12" customWidth="1"/>
    <col min="15652" max="15652" width="10" style="12" customWidth="1"/>
    <col min="15653" max="15653" width="10.453125" style="12" customWidth="1"/>
    <col min="15654" max="15654" width="17.1796875" style="12" customWidth="1"/>
    <col min="15655" max="15657" width="7.453125" style="12" customWidth="1"/>
    <col min="15658" max="15887" width="10.1796875" style="12"/>
    <col min="15888" max="15888" width="41.54296875" style="12" customWidth="1"/>
    <col min="15889" max="15889" width="8.54296875" style="12" customWidth="1"/>
    <col min="15890" max="15903" width="7.453125" style="12" customWidth="1"/>
    <col min="15904" max="15904" width="8.54296875" style="12" customWidth="1"/>
    <col min="15905" max="15906" width="7.453125" style="12" customWidth="1"/>
    <col min="15907" max="15907" width="10.81640625" style="12" customWidth="1"/>
    <col min="15908" max="15908" width="10" style="12" customWidth="1"/>
    <col min="15909" max="15909" width="10.453125" style="12" customWidth="1"/>
    <col min="15910" max="15910" width="17.1796875" style="12" customWidth="1"/>
    <col min="15911" max="15913" width="7.453125" style="12" customWidth="1"/>
    <col min="15914" max="16143" width="10.1796875" style="12"/>
    <col min="16144" max="16144" width="41.54296875" style="12" customWidth="1"/>
    <col min="16145" max="16145" width="8.54296875" style="12" customWidth="1"/>
    <col min="16146" max="16159" width="7.453125" style="12" customWidth="1"/>
    <col min="16160" max="16160" width="8.54296875" style="12" customWidth="1"/>
    <col min="16161" max="16162" width="7.453125" style="12" customWidth="1"/>
    <col min="16163" max="16163" width="10.81640625" style="12" customWidth="1"/>
    <col min="16164" max="16164" width="10" style="12" customWidth="1"/>
    <col min="16165" max="16165" width="10.453125" style="12" customWidth="1"/>
    <col min="16166" max="16166" width="17.1796875" style="12" customWidth="1"/>
    <col min="16167" max="16169" width="7.453125" style="12" customWidth="1"/>
    <col min="16170" max="16384" width="10.1796875" style="12"/>
  </cols>
  <sheetData>
    <row r="1" spans="1:46" s="184" customFormat="1" ht="26">
      <c r="A1" s="1" t="s">
        <v>421</v>
      </c>
      <c r="B1" s="2" t="s">
        <v>422</v>
      </c>
      <c r="C1" s="3" t="s">
        <v>423</v>
      </c>
      <c r="D1" s="3" t="s">
        <v>516</v>
      </c>
      <c r="E1" s="4" t="s">
        <v>424</v>
      </c>
      <c r="F1" s="183" t="s">
        <v>425</v>
      </c>
      <c r="G1" s="183" t="s">
        <v>512</v>
      </c>
      <c r="H1" s="183" t="s">
        <v>515</v>
      </c>
      <c r="I1" s="183" t="s">
        <v>514</v>
      </c>
      <c r="J1" s="183" t="s">
        <v>332</v>
      </c>
      <c r="K1" s="2" t="s">
        <v>426</v>
      </c>
      <c r="L1" s="3" t="s">
        <v>427</v>
      </c>
      <c r="M1" s="4" t="s">
        <v>428</v>
      </c>
      <c r="N1" s="3" t="s">
        <v>511</v>
      </c>
      <c r="O1" s="3" t="s">
        <v>427</v>
      </c>
      <c r="P1" s="4" t="s">
        <v>428</v>
      </c>
      <c r="Q1" s="3" t="s">
        <v>517</v>
      </c>
      <c r="R1" s="3" t="s">
        <v>427</v>
      </c>
      <c r="S1" s="4" t="s">
        <v>428</v>
      </c>
      <c r="T1" s="3" t="s">
        <v>513</v>
      </c>
      <c r="U1" s="3" t="s">
        <v>427</v>
      </c>
      <c r="V1" s="4" t="s">
        <v>428</v>
      </c>
      <c r="W1" s="2" t="s">
        <v>426</v>
      </c>
      <c r="X1" s="3" t="s">
        <v>427</v>
      </c>
      <c r="Y1" s="4" t="s">
        <v>428</v>
      </c>
      <c r="Z1" s="3" t="s">
        <v>511</v>
      </c>
      <c r="AA1" s="3" t="s">
        <v>427</v>
      </c>
      <c r="AB1" s="4" t="s">
        <v>428</v>
      </c>
      <c r="AC1" s="2" t="s">
        <v>429</v>
      </c>
      <c r="AD1" s="3" t="s">
        <v>6</v>
      </c>
      <c r="AE1" s="4" t="s">
        <v>8</v>
      </c>
      <c r="AL1" s="185" t="s">
        <v>430</v>
      </c>
      <c r="AM1" s="185" t="s">
        <v>431</v>
      </c>
      <c r="AN1" s="185" t="s">
        <v>432</v>
      </c>
      <c r="AO1" s="186" t="s">
        <v>433</v>
      </c>
      <c r="AP1" s="103" t="s">
        <v>434</v>
      </c>
      <c r="AQ1" s="103"/>
      <c r="AR1" s="103" t="s">
        <v>435</v>
      </c>
      <c r="AS1" s="3" t="s">
        <v>436</v>
      </c>
      <c r="AT1" s="3" t="s">
        <v>437</v>
      </c>
    </row>
    <row r="2" spans="1:46" ht="13">
      <c r="A2" s="6" t="s">
        <v>438</v>
      </c>
      <c r="B2" s="7"/>
      <c r="C2" s="8"/>
      <c r="D2" s="8"/>
      <c r="E2" s="9"/>
      <c r="F2" s="187"/>
      <c r="G2" s="187"/>
      <c r="H2" s="8"/>
      <c r="I2" s="187"/>
      <c r="J2" s="187"/>
      <c r="K2" s="7"/>
      <c r="L2" s="8"/>
      <c r="M2" s="9"/>
      <c r="N2" s="8"/>
      <c r="O2" s="8"/>
      <c r="P2" s="9"/>
      <c r="Q2" s="8"/>
      <c r="R2" s="8"/>
      <c r="S2" s="9"/>
      <c r="T2" s="8"/>
      <c r="U2" s="8"/>
      <c r="V2" s="9"/>
      <c r="W2" s="41"/>
      <c r="X2" s="42"/>
      <c r="Y2" s="43"/>
      <c r="Z2" s="42"/>
      <c r="AA2" s="42"/>
      <c r="AB2" s="43"/>
      <c r="AC2" s="7"/>
      <c r="AD2" s="8"/>
      <c r="AE2" s="9"/>
      <c r="AL2" s="375"/>
      <c r="AM2" s="375"/>
      <c r="AN2" s="375"/>
      <c r="AO2" s="375"/>
      <c r="AP2" s="8"/>
      <c r="AQ2" s="8"/>
      <c r="AR2" s="8"/>
      <c r="AS2" s="8"/>
      <c r="AT2" s="8"/>
    </row>
    <row r="3" spans="1:46">
      <c r="A3" s="10" t="s">
        <v>9</v>
      </c>
      <c r="B3" s="7"/>
      <c r="C3" s="8"/>
      <c r="D3" s="8"/>
      <c r="E3" s="9"/>
      <c r="F3" s="187"/>
      <c r="G3" s="187"/>
      <c r="H3" s="8"/>
      <c r="I3" s="187"/>
      <c r="J3" s="187"/>
      <c r="K3" s="7"/>
      <c r="L3" s="8"/>
      <c r="M3" s="9"/>
      <c r="N3" s="8"/>
      <c r="O3" s="8"/>
      <c r="P3" s="9"/>
      <c r="Q3" s="8"/>
      <c r="R3" s="8"/>
      <c r="S3" s="9"/>
      <c r="T3" s="8"/>
      <c r="U3" s="8"/>
      <c r="V3" s="9"/>
      <c r="W3" s="7"/>
      <c r="X3" s="8"/>
      <c r="Y3" s="9"/>
      <c r="Z3" s="8"/>
      <c r="AA3" s="8"/>
      <c r="AB3" s="9"/>
      <c r="AC3" s="7"/>
      <c r="AD3" s="8"/>
      <c r="AE3" s="9"/>
      <c r="AL3" s="375"/>
      <c r="AM3" s="375"/>
      <c r="AN3" s="375"/>
      <c r="AO3" s="375"/>
      <c r="AP3" s="8"/>
      <c r="AQ3" s="8"/>
      <c r="AR3" s="8"/>
      <c r="AS3" s="8"/>
      <c r="AT3" s="8"/>
    </row>
    <row r="4" spans="1:46">
      <c r="A4" s="10" t="s">
        <v>11</v>
      </c>
      <c r="B4" s="11"/>
      <c r="C4" s="37"/>
      <c r="D4" s="37"/>
      <c r="E4" s="44"/>
      <c r="F4" s="189"/>
      <c r="G4" s="189"/>
      <c r="H4" s="37"/>
      <c r="I4" s="189"/>
      <c r="J4" s="187"/>
      <c r="K4" s="17">
        <f>AVERAGE(0.3,0.45)</f>
        <v>0.375</v>
      </c>
      <c r="L4" s="8"/>
      <c r="M4" s="9"/>
      <c r="N4" s="45">
        <f>AVERAGE(0.3,0.45)</f>
        <v>0.375</v>
      </c>
      <c r="O4" s="8"/>
      <c r="P4" s="9"/>
      <c r="Q4" s="45">
        <f>AVERAGE(0.3,0.45)</f>
        <v>0.375</v>
      </c>
      <c r="R4" s="8"/>
      <c r="S4" s="9"/>
      <c r="T4" s="45">
        <f>AVERAGE(0.3,0.45)</f>
        <v>0.375</v>
      </c>
      <c r="U4" s="8"/>
      <c r="V4" s="9"/>
      <c r="W4" s="17">
        <f>AVERAGE(0.3,0.45)</f>
        <v>0.375</v>
      </c>
      <c r="X4" s="8"/>
      <c r="Y4" s="9"/>
      <c r="Z4" s="45">
        <f>AVERAGE(0.3,0.45)</f>
        <v>0.375</v>
      </c>
      <c r="AA4" s="8"/>
      <c r="AB4" s="9"/>
      <c r="AC4" s="190" t="s">
        <v>12</v>
      </c>
      <c r="AD4" s="8"/>
      <c r="AE4" s="9"/>
      <c r="AL4" s="375"/>
      <c r="AM4" s="375"/>
      <c r="AN4" s="375"/>
      <c r="AO4" s="375"/>
      <c r="AP4" s="8"/>
      <c r="AQ4" s="8"/>
      <c r="AR4" s="8"/>
      <c r="AS4" s="8"/>
      <c r="AT4" s="8"/>
    </row>
    <row r="5" spans="1:46">
      <c r="A5" s="10" t="s">
        <v>548</v>
      </c>
      <c r="B5" s="11"/>
      <c r="C5" s="37"/>
      <c r="D5" s="37"/>
      <c r="E5" s="44"/>
      <c r="F5" s="187"/>
      <c r="G5" s="187"/>
      <c r="H5" s="37"/>
      <c r="I5" s="187"/>
      <c r="J5" s="187"/>
      <c r="K5" s="7"/>
      <c r="L5" s="8"/>
      <c r="M5" s="9"/>
      <c r="N5" s="8"/>
      <c r="O5" s="8"/>
      <c r="P5" s="9"/>
      <c r="Q5" s="8"/>
      <c r="R5" s="8"/>
      <c r="S5" s="9"/>
      <c r="T5" s="8"/>
      <c r="U5" s="8"/>
      <c r="V5" s="9"/>
      <c r="W5" s="7"/>
      <c r="X5" s="8"/>
      <c r="Y5" s="9"/>
      <c r="Z5" s="8"/>
      <c r="AA5" s="8"/>
      <c r="AB5" s="9"/>
      <c r="AC5" s="13"/>
      <c r="AD5" s="14"/>
      <c r="AE5" s="15"/>
      <c r="AL5" s="375"/>
      <c r="AM5" s="375"/>
      <c r="AN5" s="375"/>
      <c r="AO5" s="375"/>
      <c r="AP5" s="8"/>
      <c r="AQ5" s="8"/>
      <c r="AR5" s="8"/>
      <c r="AS5" s="8"/>
      <c r="AT5" s="8"/>
    </row>
    <row r="6" spans="1:46">
      <c r="A6" s="10" t="s">
        <v>15</v>
      </c>
      <c r="B6" s="11"/>
      <c r="C6" s="37"/>
      <c r="D6" s="37"/>
      <c r="E6" s="44"/>
      <c r="F6" s="187"/>
      <c r="G6" s="187"/>
      <c r="H6" s="37"/>
      <c r="I6" s="187"/>
      <c r="J6" s="187"/>
      <c r="K6" s="7"/>
      <c r="L6" s="8"/>
      <c r="M6" s="9"/>
      <c r="N6" s="8"/>
      <c r="O6" s="8"/>
      <c r="P6" s="9"/>
      <c r="Q6" s="8"/>
      <c r="R6" s="8"/>
      <c r="S6" s="9"/>
      <c r="T6" s="8"/>
      <c r="U6" s="8"/>
      <c r="V6" s="9"/>
      <c r="W6" s="7"/>
      <c r="X6" s="8"/>
      <c r="Y6" s="9"/>
      <c r="Z6" s="8"/>
      <c r="AA6" s="8"/>
      <c r="AB6" s="9"/>
      <c r="AC6" s="13"/>
      <c r="AD6" s="14"/>
      <c r="AE6" s="16"/>
      <c r="AL6" s="375"/>
      <c r="AM6" s="375"/>
      <c r="AN6" s="375"/>
      <c r="AO6" s="375"/>
      <c r="AP6" s="8"/>
      <c r="AQ6" s="8"/>
      <c r="AR6" s="8"/>
      <c r="AS6" s="8"/>
      <c r="AT6" s="8"/>
    </row>
    <row r="7" spans="1:46">
      <c r="A7" s="10" t="s">
        <v>18</v>
      </c>
      <c r="B7" s="11"/>
      <c r="C7" s="37"/>
      <c r="D7" s="37"/>
      <c r="E7" s="44"/>
      <c r="F7" s="189">
        <v>0.8</v>
      </c>
      <c r="G7" s="189">
        <v>0.8</v>
      </c>
      <c r="H7" s="189">
        <v>0.8</v>
      </c>
      <c r="I7" s="189">
        <v>0.8</v>
      </c>
      <c r="J7" s="189">
        <f>J8</f>
        <v>0.80341799999999997</v>
      </c>
      <c r="K7" s="7"/>
      <c r="L7" s="45">
        <f>L8</f>
        <v>0.80341799999999997</v>
      </c>
      <c r="M7" s="46"/>
      <c r="N7" s="8"/>
      <c r="O7" s="45">
        <f>O8</f>
        <v>0.80341799999999997</v>
      </c>
      <c r="P7" s="46"/>
      <c r="Q7" s="8"/>
      <c r="R7" s="45">
        <f>R8</f>
        <v>0.80341799999999997</v>
      </c>
      <c r="S7" s="46"/>
      <c r="T7" s="8"/>
      <c r="U7" s="45">
        <f>U8</f>
        <v>0.80341799999999997</v>
      </c>
      <c r="V7" s="46"/>
      <c r="W7" s="7"/>
      <c r="X7" s="45">
        <f>X8</f>
        <v>0.80341799999999997</v>
      </c>
      <c r="Y7" s="46"/>
      <c r="Z7" s="8"/>
      <c r="AA7" s="45">
        <f>AA8</f>
        <v>0.80341799999999997</v>
      </c>
      <c r="AB7" s="46"/>
      <c r="AC7" s="13">
        <f>J7</f>
        <v>0.80341799999999997</v>
      </c>
      <c r="AD7" s="14">
        <f>J7</f>
        <v>0.80341799999999997</v>
      </c>
      <c r="AE7" s="16">
        <f>J7</f>
        <v>0.80341799999999997</v>
      </c>
      <c r="AL7" s="375"/>
      <c r="AM7" s="375"/>
      <c r="AN7" s="375"/>
      <c r="AO7" s="375"/>
      <c r="AP7" s="8"/>
      <c r="AQ7" s="8"/>
      <c r="AR7" s="8"/>
      <c r="AS7" s="8"/>
      <c r="AT7" s="8"/>
    </row>
    <row r="8" spans="1:46">
      <c r="A8" s="10" t="s">
        <v>439</v>
      </c>
      <c r="B8" s="268">
        <v>0.2442</v>
      </c>
      <c r="C8" s="37"/>
      <c r="D8" s="37"/>
      <c r="E8" s="269">
        <f>E9*B8</f>
        <v>0.27594599999999997</v>
      </c>
      <c r="F8" s="189">
        <f>F9*B8</f>
        <v>0.31746000000000002</v>
      </c>
      <c r="G8" s="189">
        <f>G9*B8</f>
        <v>0.31746000000000002</v>
      </c>
      <c r="H8" s="189">
        <f>H9*B8</f>
        <v>0.31746000000000002</v>
      </c>
      <c r="I8" s="189">
        <f>I9*B8</f>
        <v>0.34920599999999996</v>
      </c>
      <c r="J8" s="189">
        <f>J9*B8</f>
        <v>0.80341799999999997</v>
      </c>
      <c r="K8" s="17">
        <f>K9*B8</f>
        <v>0.36630000000000001</v>
      </c>
      <c r="L8" s="45">
        <f>L9*$B8</f>
        <v>0.80341799999999997</v>
      </c>
      <c r="M8" s="46"/>
      <c r="N8" s="45">
        <f>N9*B8</f>
        <v>0.36630000000000001</v>
      </c>
      <c r="O8" s="45">
        <f>O9*$B8</f>
        <v>0.80341799999999997</v>
      </c>
      <c r="P8" s="46"/>
      <c r="Q8" s="45">
        <f>Q9*B8</f>
        <v>0.36630000000000001</v>
      </c>
      <c r="R8" s="45">
        <f>R9*$B8</f>
        <v>0.80341799999999997</v>
      </c>
      <c r="S8" s="46"/>
      <c r="T8" s="45">
        <f>T9*B8</f>
        <v>0.39804599999999996</v>
      </c>
      <c r="U8" s="45">
        <f>U9*$B8</f>
        <v>0.80341799999999997</v>
      </c>
      <c r="V8" s="46"/>
      <c r="W8" s="17">
        <f>W9*B8</f>
        <v>0.36630000000000001</v>
      </c>
      <c r="X8" s="45">
        <f>X9*$B8</f>
        <v>0.80341799999999997</v>
      </c>
      <c r="Y8" s="46"/>
      <c r="Z8" s="45">
        <f>Z9*B8</f>
        <v>0.36630000000000001</v>
      </c>
      <c r="AA8" s="45">
        <f>AA9*$B8</f>
        <v>0.80341799999999997</v>
      </c>
      <c r="AB8" s="46"/>
      <c r="AC8" s="17">
        <f>AC9*$B8</f>
        <v>0.28571399999999997</v>
      </c>
      <c r="AD8" s="45">
        <f>AD9*$B8</f>
        <v>0.31257600000000002</v>
      </c>
      <c r="AE8" s="46">
        <f>AE9*$B8</f>
        <v>0.43956000000000001</v>
      </c>
      <c r="AL8" s="447" t="s">
        <v>440</v>
      </c>
      <c r="AM8" s="447"/>
      <c r="AN8" s="447"/>
      <c r="AO8" s="447"/>
      <c r="AP8" s="8"/>
      <c r="AQ8" s="8"/>
      <c r="AR8" s="8"/>
      <c r="AS8" s="8"/>
      <c r="AT8" s="8"/>
    </row>
    <row r="9" spans="1:46">
      <c r="A9" s="10" t="s">
        <v>22</v>
      </c>
      <c r="B9" s="270">
        <v>1</v>
      </c>
      <c r="C9" s="271">
        <v>1</v>
      </c>
      <c r="D9" s="271">
        <v>1</v>
      </c>
      <c r="E9" s="272">
        <v>1.1299999999999999</v>
      </c>
      <c r="F9" s="195">
        <v>1.3</v>
      </c>
      <c r="G9" s="195">
        <v>1.3</v>
      </c>
      <c r="H9" s="271">
        <v>1.3</v>
      </c>
      <c r="I9" s="195">
        <v>1.43</v>
      </c>
      <c r="J9" s="195">
        <v>3.29</v>
      </c>
      <c r="K9" s="196">
        <v>1.5</v>
      </c>
      <c r="L9" s="197">
        <v>3.29</v>
      </c>
      <c r="M9" s="198"/>
      <c r="N9" s="197">
        <v>1.5</v>
      </c>
      <c r="O9" s="197">
        <v>3.29</v>
      </c>
      <c r="P9" s="198"/>
      <c r="Q9" s="197">
        <v>1.5</v>
      </c>
      <c r="R9" s="197">
        <v>3.29</v>
      </c>
      <c r="S9" s="198"/>
      <c r="T9" s="197">
        <v>1.63</v>
      </c>
      <c r="U9" s="197">
        <v>3.29</v>
      </c>
      <c r="V9" s="198"/>
      <c r="W9" s="196">
        <v>1.5</v>
      </c>
      <c r="X9" s="197">
        <v>3.29</v>
      </c>
      <c r="Y9" s="198"/>
      <c r="Z9" s="197">
        <v>1.5</v>
      </c>
      <c r="AA9" s="197">
        <v>3.29</v>
      </c>
      <c r="AB9" s="198"/>
      <c r="AC9" s="196">
        <v>1.17</v>
      </c>
      <c r="AD9" s="197">
        <v>1.28</v>
      </c>
      <c r="AE9" s="198">
        <v>1.8</v>
      </c>
      <c r="AF9" s="197"/>
      <c r="AL9" s="375"/>
      <c r="AM9" s="375"/>
      <c r="AN9" s="375"/>
      <c r="AO9" s="375"/>
      <c r="AP9" s="8"/>
      <c r="AQ9" s="8"/>
      <c r="AR9" s="8"/>
      <c r="AS9" s="8"/>
      <c r="AT9" s="8"/>
    </row>
    <row r="10" spans="1:46" ht="13">
      <c r="A10" s="10" t="s">
        <v>441</v>
      </c>
      <c r="B10" s="18">
        <f>B11*B8</f>
        <v>0.59340599999999999</v>
      </c>
      <c r="C10" s="37"/>
      <c r="D10" s="37"/>
      <c r="E10" s="44"/>
      <c r="F10" s="199">
        <f>F11*F8</f>
        <v>0.59340599999999999</v>
      </c>
      <c r="G10" s="199">
        <f>G11*G8</f>
        <v>0.59340599999999999</v>
      </c>
      <c r="H10" s="199">
        <f>H11*H8</f>
        <v>0.59340599999999999</v>
      </c>
      <c r="I10" s="199">
        <f>I11*I8</f>
        <v>0.59340599999999999</v>
      </c>
      <c r="J10" s="199">
        <f>J11*J8</f>
        <v>0.59340599999999999</v>
      </c>
      <c r="K10" s="7"/>
      <c r="L10" s="19">
        <f>L11*L8</f>
        <v>0.59340599999999999</v>
      </c>
      <c r="M10" s="20"/>
      <c r="N10" s="8"/>
      <c r="O10" s="19">
        <f>O11*O8</f>
        <v>0.59340599999999999</v>
      </c>
      <c r="P10" s="20"/>
      <c r="Q10" s="8"/>
      <c r="R10" s="19">
        <f>R11*R8</f>
        <v>0.59340599999999999</v>
      </c>
      <c r="S10" s="20"/>
      <c r="T10" s="8"/>
      <c r="U10" s="19">
        <f>U11*U8</f>
        <v>0.59340599999999999</v>
      </c>
      <c r="V10" s="20"/>
      <c r="W10" s="7"/>
      <c r="X10" s="19">
        <f>X11*X8</f>
        <v>0.59340599999999999</v>
      </c>
      <c r="Y10" s="20"/>
      <c r="Z10" s="8"/>
      <c r="AA10" s="19">
        <f>AA11*AA8</f>
        <v>0.59340599999999999</v>
      </c>
      <c r="AB10" s="20"/>
      <c r="AC10" s="18">
        <f>AC11*AC8</f>
        <v>0.59340599999999999</v>
      </c>
      <c r="AD10" s="19">
        <f>AD11*AD8</f>
        <v>0.59340599999999999</v>
      </c>
      <c r="AE10" s="20">
        <f>AE11*AE8</f>
        <v>0.5934060000000001</v>
      </c>
      <c r="AG10" s="375" t="s">
        <v>442</v>
      </c>
      <c r="AH10" s="375" t="s">
        <v>443</v>
      </c>
      <c r="AI10" s="200" t="s">
        <v>444</v>
      </c>
      <c r="AL10" s="375"/>
      <c r="AM10" s="375"/>
      <c r="AN10" s="375"/>
      <c r="AO10" s="201">
        <v>0.42</v>
      </c>
      <c r="AP10" s="8"/>
      <c r="AQ10" s="8"/>
      <c r="AR10" s="8"/>
      <c r="AS10" s="8"/>
      <c r="AT10" s="8"/>
    </row>
    <row r="11" spans="1:46">
      <c r="A11" s="10" t="s">
        <v>445</v>
      </c>
      <c r="B11" s="18">
        <v>2.4300000000000002</v>
      </c>
      <c r="C11" s="19">
        <f t="shared" ref="C11:I11" si="0">$B$11/C9</f>
        <v>2.4300000000000002</v>
      </c>
      <c r="D11" s="19">
        <f t="shared" si="0"/>
        <v>2.4300000000000002</v>
      </c>
      <c r="E11" s="20">
        <f>$B$11/E9</f>
        <v>2.1504424778761067</v>
      </c>
      <c r="F11" s="19">
        <f>$B$11/F9</f>
        <v>1.8692307692307693</v>
      </c>
      <c r="G11" s="19">
        <f t="shared" si="0"/>
        <v>1.8692307692307693</v>
      </c>
      <c r="H11" s="19">
        <f t="shared" si="0"/>
        <v>1.8692307692307693</v>
      </c>
      <c r="I11" s="19">
        <f t="shared" si="0"/>
        <v>1.6993006993006994</v>
      </c>
      <c r="J11" s="199">
        <f>$B11/J9</f>
        <v>0.73860182370820671</v>
      </c>
      <c r="K11" s="18">
        <f>$B11/K9</f>
        <v>1.62</v>
      </c>
      <c r="L11" s="19">
        <f>$B11/L9</f>
        <v>0.73860182370820671</v>
      </c>
      <c r="M11" s="20"/>
      <c r="N11" s="19">
        <f>$B11/N9</f>
        <v>1.62</v>
      </c>
      <c r="O11" s="19">
        <f>$B11/O9</f>
        <v>0.73860182370820671</v>
      </c>
      <c r="P11" s="20"/>
      <c r="Q11" s="19">
        <f>$B11/Q9</f>
        <v>1.62</v>
      </c>
      <c r="R11" s="19">
        <f>$B11/R9</f>
        <v>0.73860182370820671</v>
      </c>
      <c r="S11" s="20"/>
      <c r="T11" s="19">
        <f>$B11/T9</f>
        <v>1.4907975460122702</v>
      </c>
      <c r="U11" s="19">
        <f>$B11/U9</f>
        <v>0.73860182370820671</v>
      </c>
      <c r="V11" s="20"/>
      <c r="W11" s="18">
        <f>$B11/W9</f>
        <v>1.62</v>
      </c>
      <c r="X11" s="19">
        <f>$B11/X9</f>
        <v>0.73860182370820671</v>
      </c>
      <c r="Y11" s="20"/>
      <c r="Z11" s="19">
        <f>$B11/Z9</f>
        <v>1.62</v>
      </c>
      <c r="AA11" s="19">
        <f>$B11/AA9</f>
        <v>0.73860182370820671</v>
      </c>
      <c r="AB11" s="20"/>
      <c r="AC11" s="18">
        <f>$B11/AC9</f>
        <v>2.0769230769230771</v>
      </c>
      <c r="AD11" s="19">
        <f>$B11/AD9</f>
        <v>1.8984375</v>
      </c>
      <c r="AE11" s="20">
        <f>$B11/AE9</f>
        <v>1.35</v>
      </c>
      <c r="AF11" s="375"/>
      <c r="AG11" s="375">
        <v>2.4300000000000002</v>
      </c>
      <c r="AH11" s="375">
        <f>(AG11/AI11)*10</f>
        <v>0.69428571428571439</v>
      </c>
      <c r="AI11" s="375">
        <v>35</v>
      </c>
      <c r="AL11" s="375"/>
      <c r="AM11" s="375"/>
      <c r="AN11" s="375"/>
      <c r="AO11" s="375"/>
      <c r="AP11" s="8"/>
      <c r="AQ11" s="8"/>
      <c r="AR11" s="8"/>
      <c r="AS11" s="8"/>
      <c r="AT11" s="8"/>
    </row>
    <row r="12" spans="1:46">
      <c r="A12" s="10" t="s">
        <v>24</v>
      </c>
      <c r="B12" s="18"/>
      <c r="C12" s="19"/>
      <c r="D12" s="19"/>
      <c r="E12" s="20"/>
      <c r="F12" s="199">
        <f>F10/F7</f>
        <v>0.74175749999999996</v>
      </c>
      <c r="G12" s="199">
        <f>G10/G7</f>
        <v>0.74175749999999996</v>
      </c>
      <c r="H12" s="199">
        <f>H10/H7</f>
        <v>0.74175749999999996</v>
      </c>
      <c r="I12" s="199">
        <f>I10/I7</f>
        <v>0.74175749999999996</v>
      </c>
      <c r="J12" s="199">
        <f>J10/J7</f>
        <v>0.73860182370820671</v>
      </c>
      <c r="K12" s="18"/>
      <c r="L12" s="19">
        <f>L10/L7</f>
        <v>0.73860182370820671</v>
      </c>
      <c r="M12" s="20"/>
      <c r="N12" s="19"/>
      <c r="O12" s="19">
        <f>O10/O7</f>
        <v>0.73860182370820671</v>
      </c>
      <c r="P12" s="20"/>
      <c r="Q12" s="19"/>
      <c r="R12" s="19">
        <f>R10/R7</f>
        <v>0.73860182370820671</v>
      </c>
      <c r="S12" s="20"/>
      <c r="T12" s="19"/>
      <c r="U12" s="19">
        <f>U10/U7</f>
        <v>0.73860182370820671</v>
      </c>
      <c r="V12" s="20"/>
      <c r="W12" s="18"/>
      <c r="X12" s="19">
        <f>X10/X7</f>
        <v>0.73860182370820671</v>
      </c>
      <c r="Y12" s="20"/>
      <c r="Z12" s="19"/>
      <c r="AA12" s="19">
        <f>AA10/AA7</f>
        <v>0.73860182370820671</v>
      </c>
      <c r="AB12" s="20"/>
      <c r="AC12" s="18">
        <f>AC10/AC7</f>
        <v>0.73860182370820671</v>
      </c>
      <c r="AD12" s="19">
        <f>AD10/AD7</f>
        <v>0.73860182370820671</v>
      </c>
      <c r="AE12" s="20">
        <f>AE10/AE7</f>
        <v>0.73860182370820682</v>
      </c>
      <c r="AL12" s="375"/>
      <c r="AM12" s="375"/>
      <c r="AN12" s="375"/>
      <c r="AO12" s="375"/>
      <c r="AP12" s="8"/>
      <c r="AQ12" s="8"/>
      <c r="AR12" s="8"/>
      <c r="AS12" s="8"/>
      <c r="AT12" s="8"/>
    </row>
    <row r="13" spans="1:46">
      <c r="B13" s="18"/>
      <c r="C13" s="19"/>
      <c r="D13" s="19"/>
      <c r="E13" s="20"/>
      <c r="F13" s="199"/>
      <c r="G13" s="199"/>
      <c r="H13" s="19"/>
      <c r="I13" s="199"/>
      <c r="J13" s="199"/>
      <c r="K13" s="18"/>
      <c r="L13" s="19"/>
      <c r="M13" s="20"/>
      <c r="N13" s="19"/>
      <c r="O13" s="19"/>
      <c r="P13" s="20"/>
      <c r="Q13" s="19"/>
      <c r="R13" s="19"/>
      <c r="S13" s="20"/>
      <c r="T13" s="19"/>
      <c r="U13" s="19"/>
      <c r="V13" s="20"/>
      <c r="W13" s="18"/>
      <c r="X13" s="19"/>
      <c r="Y13" s="20"/>
      <c r="Z13" s="19"/>
      <c r="AA13" s="19"/>
      <c r="AB13" s="20"/>
      <c r="AC13" s="18"/>
      <c r="AD13" s="19"/>
      <c r="AE13" s="20"/>
      <c r="AL13" s="375"/>
      <c r="AM13" s="375"/>
      <c r="AN13" s="375"/>
      <c r="AO13" s="375"/>
      <c r="AP13" s="8"/>
      <c r="AQ13" s="8"/>
      <c r="AR13" s="8"/>
      <c r="AS13" s="10"/>
      <c r="AT13" s="8"/>
    </row>
    <row r="14" spans="1:46">
      <c r="A14" s="10" t="s">
        <v>446</v>
      </c>
      <c r="B14" s="7">
        <v>500</v>
      </c>
      <c r="C14" s="8">
        <v>500</v>
      </c>
      <c r="D14" s="8">
        <v>500</v>
      </c>
      <c r="E14" s="9">
        <v>500</v>
      </c>
      <c r="F14" s="187">
        <v>500</v>
      </c>
      <c r="G14" s="187">
        <v>500</v>
      </c>
      <c r="H14" s="8">
        <v>500</v>
      </c>
      <c r="I14" s="187">
        <v>500</v>
      </c>
      <c r="J14" s="202"/>
      <c r="K14" s="7">
        <f>500-O15</f>
        <v>435</v>
      </c>
      <c r="L14" s="8"/>
      <c r="M14" s="9"/>
      <c r="N14" s="8">
        <f>500-O15</f>
        <v>435</v>
      </c>
      <c r="O14" s="8"/>
      <c r="P14" s="9"/>
      <c r="Q14" s="8">
        <f>500-R15</f>
        <v>435</v>
      </c>
      <c r="R14" s="8"/>
      <c r="S14" s="9"/>
      <c r="T14" s="8">
        <f>500-U15</f>
        <v>435</v>
      </c>
      <c r="U14" s="8"/>
      <c r="V14" s="9"/>
      <c r="W14" s="7">
        <f>500-AA15</f>
        <v>465</v>
      </c>
      <c r="X14" s="8"/>
      <c r="Y14" s="9"/>
      <c r="Z14" s="8">
        <f>500-AA15</f>
        <v>465</v>
      </c>
      <c r="AA14" s="8"/>
      <c r="AB14" s="9"/>
      <c r="AC14" s="7">
        <v>500</v>
      </c>
      <c r="AD14" s="8">
        <v>500</v>
      </c>
      <c r="AE14" s="9">
        <v>500</v>
      </c>
      <c r="AL14" s="8"/>
      <c r="AM14" s="8"/>
      <c r="AN14" s="8"/>
      <c r="AO14" s="375"/>
      <c r="AP14" s="8"/>
      <c r="AQ14" s="8"/>
      <c r="AR14" s="8"/>
      <c r="AS14" s="10"/>
      <c r="AT14" s="8"/>
    </row>
    <row r="15" spans="1:46" ht="13">
      <c r="A15" s="10" t="s">
        <v>447</v>
      </c>
      <c r="B15" s="7"/>
      <c r="C15" s="8"/>
      <c r="D15" s="8"/>
      <c r="E15" s="9"/>
      <c r="F15" s="187">
        <v>2</v>
      </c>
      <c r="G15" s="187">
        <v>2</v>
      </c>
      <c r="H15" s="187">
        <v>2</v>
      </c>
      <c r="I15" s="187">
        <v>2</v>
      </c>
      <c r="J15" s="203">
        <v>200</v>
      </c>
      <c r="K15" s="7"/>
      <c r="L15" s="204">
        <v>65</v>
      </c>
      <c r="M15" s="9"/>
      <c r="N15" s="8"/>
      <c r="O15" s="204">
        <v>65</v>
      </c>
      <c r="P15" s="9"/>
      <c r="Q15" s="8"/>
      <c r="R15" s="204">
        <v>65</v>
      </c>
      <c r="S15" s="9"/>
      <c r="T15" s="8"/>
      <c r="U15" s="204">
        <v>65</v>
      </c>
      <c r="V15" s="9"/>
      <c r="W15" s="7"/>
      <c r="X15" s="204">
        <v>35</v>
      </c>
      <c r="Y15" s="9"/>
      <c r="Z15" s="8"/>
      <c r="AA15" s="204">
        <v>35</v>
      </c>
      <c r="AB15" s="9"/>
      <c r="AC15" s="7">
        <f>F15</f>
        <v>2</v>
      </c>
      <c r="AD15" s="8">
        <f>F15</f>
        <v>2</v>
      </c>
      <c r="AE15" s="9">
        <f>F15</f>
        <v>2</v>
      </c>
      <c r="AL15" s="8">
        <v>2</v>
      </c>
      <c r="AM15" s="8">
        <v>2.9</v>
      </c>
      <c r="AN15" s="8"/>
      <c r="AO15" s="375">
        <v>64</v>
      </c>
      <c r="AP15" s="8"/>
      <c r="AQ15" s="8"/>
      <c r="AR15" s="8"/>
      <c r="AS15" s="10"/>
      <c r="AT15" s="8"/>
    </row>
    <row r="16" spans="1:46">
      <c r="A16" s="10" t="s">
        <v>448</v>
      </c>
      <c r="B16" s="18">
        <f t="shared" ref="B16:I16" si="1">B11*B14/1000</f>
        <v>1.2150000000000001</v>
      </c>
      <c r="C16" s="19">
        <f t="shared" si="1"/>
        <v>1.2150000000000001</v>
      </c>
      <c r="D16" s="19">
        <f t="shared" si="1"/>
        <v>1.2150000000000001</v>
      </c>
      <c r="E16" s="20">
        <f t="shared" si="1"/>
        <v>1.0752212389380533</v>
      </c>
      <c r="F16" s="199">
        <f t="shared" si="1"/>
        <v>0.93461538461538463</v>
      </c>
      <c r="G16" s="199">
        <f t="shared" si="1"/>
        <v>0.93461538461538463</v>
      </c>
      <c r="H16" s="19">
        <f t="shared" si="1"/>
        <v>0.93461538461538463</v>
      </c>
      <c r="I16" s="199">
        <f t="shared" si="1"/>
        <v>0.84965034965034969</v>
      </c>
      <c r="J16" s="202"/>
      <c r="K16" s="18">
        <f>K11*K14/1000</f>
        <v>0.70469999999999999</v>
      </c>
      <c r="L16" s="8"/>
      <c r="M16" s="9"/>
      <c r="N16" s="19">
        <f>N11*N14/1000</f>
        <v>0.70469999999999999</v>
      </c>
      <c r="O16" s="8"/>
      <c r="P16" s="9"/>
      <c r="Q16" s="19">
        <f>Q11*Q14/1000</f>
        <v>0.70469999999999999</v>
      </c>
      <c r="R16" s="8"/>
      <c r="S16" s="9"/>
      <c r="T16" s="19">
        <f>T11*T14/1000</f>
        <v>0.64849693251533758</v>
      </c>
      <c r="U16" s="8"/>
      <c r="V16" s="9"/>
      <c r="W16" s="18">
        <f>W11*W14/1000</f>
        <v>0.75330000000000008</v>
      </c>
      <c r="X16" s="8"/>
      <c r="Y16" s="9"/>
      <c r="Z16" s="19">
        <f>Z11*Z14/1000</f>
        <v>0.75330000000000008</v>
      </c>
      <c r="AA16" s="8"/>
      <c r="AB16" s="9"/>
      <c r="AC16" s="18">
        <f>AC11*AC14/1000</f>
        <v>1.0384615384615385</v>
      </c>
      <c r="AD16" s="19">
        <f>AD11*AD14/1000</f>
        <v>0.94921875</v>
      </c>
      <c r="AE16" s="20">
        <f>AE11*AE14/1000</f>
        <v>0.67500000000000004</v>
      </c>
      <c r="AL16" s="8"/>
      <c r="AM16" s="8"/>
      <c r="AN16" s="8"/>
      <c r="AO16" s="375"/>
      <c r="AP16" s="8"/>
      <c r="AQ16" s="8"/>
      <c r="AR16" s="8"/>
      <c r="AS16" s="10"/>
      <c r="AT16" s="8"/>
    </row>
    <row r="17" spans="1:46">
      <c r="A17" s="10" t="s">
        <v>29</v>
      </c>
      <c r="B17" s="18"/>
      <c r="C17" s="19"/>
      <c r="D17" s="19"/>
      <c r="E17" s="20"/>
      <c r="F17" s="195">
        <v>5</v>
      </c>
      <c r="G17" s="195">
        <v>5</v>
      </c>
      <c r="H17" s="195">
        <v>5</v>
      </c>
      <c r="I17" s="195">
        <v>5</v>
      </c>
      <c r="J17" s="196">
        <f>1/0.8</f>
        <v>1.25</v>
      </c>
      <c r="K17" s="18"/>
      <c r="L17" s="197">
        <f>1/0.8</f>
        <v>1.25</v>
      </c>
      <c r="M17" s="9"/>
      <c r="N17" s="19"/>
      <c r="O17" s="197">
        <f>1/0.8</f>
        <v>1.25</v>
      </c>
      <c r="P17" s="9"/>
      <c r="Q17" s="19"/>
      <c r="R17" s="197">
        <f>1/0.8</f>
        <v>1.25</v>
      </c>
      <c r="S17" s="9"/>
      <c r="T17" s="19"/>
      <c r="U17" s="197">
        <f>1/0.8</f>
        <v>1.25</v>
      </c>
      <c r="V17" s="9"/>
      <c r="W17" s="18"/>
      <c r="X17" s="197">
        <f>1/0.8</f>
        <v>1.25</v>
      </c>
      <c r="Y17" s="9"/>
      <c r="Z17" s="19"/>
      <c r="AA17" s="197">
        <f>1/0.8</f>
        <v>1.25</v>
      </c>
      <c r="AB17" s="9"/>
      <c r="AC17" s="196">
        <v>5</v>
      </c>
      <c r="AD17" s="197">
        <v>5</v>
      </c>
      <c r="AE17" s="198">
        <v>5</v>
      </c>
      <c r="AL17" s="8">
        <v>5</v>
      </c>
      <c r="AM17" s="205">
        <f>1/0.45</f>
        <v>2.2222222222222223</v>
      </c>
      <c r="AN17" s="205">
        <f>1/0.7</f>
        <v>1.4285714285714286</v>
      </c>
      <c r="AO17" s="206">
        <v>2</v>
      </c>
      <c r="AP17" s="8"/>
      <c r="AQ17" s="8"/>
      <c r="AR17" s="8"/>
      <c r="AS17" s="10"/>
      <c r="AT17" s="8"/>
    </row>
    <row r="18" spans="1:46">
      <c r="A18" s="10" t="s">
        <v>449</v>
      </c>
      <c r="B18" s="18"/>
      <c r="C18" s="19"/>
      <c r="D18" s="19"/>
      <c r="E18" s="20"/>
      <c r="F18" s="207">
        <f>F17*F12*F15/1000</f>
        <v>7.4175749999999992E-3</v>
      </c>
      <c r="G18" s="207">
        <f>G17*G12*G15/1000</f>
        <v>7.4175749999999992E-3</v>
      </c>
      <c r="H18" s="207">
        <f>H17*H12*H15/1000</f>
        <v>7.4175749999999992E-3</v>
      </c>
      <c r="I18" s="207">
        <f>I17*I12*I15/1000</f>
        <v>7.4175749999999992E-3</v>
      </c>
      <c r="J18" s="199">
        <f>J17*J12*J15/1000</f>
        <v>0.18465045592705168</v>
      </c>
      <c r="K18" s="18"/>
      <c r="L18" s="19">
        <f>L17*L12*L15/1000</f>
        <v>6.0011398176291794E-2</v>
      </c>
      <c r="M18" s="20"/>
      <c r="N18" s="19"/>
      <c r="O18" s="19">
        <f>O17*O12*O15/1000</f>
        <v>6.0011398176291794E-2</v>
      </c>
      <c r="P18" s="20"/>
      <c r="Q18" s="19"/>
      <c r="R18" s="19">
        <f>R17*R12*R15/1000</f>
        <v>6.0011398176291794E-2</v>
      </c>
      <c r="S18" s="20"/>
      <c r="T18" s="19"/>
      <c r="U18" s="19">
        <f>U17*U12*U15/1000</f>
        <v>6.0011398176291794E-2</v>
      </c>
      <c r="V18" s="20"/>
      <c r="W18" s="18"/>
      <c r="X18" s="19">
        <f>X17*X12*X15/1000</f>
        <v>3.2313829787234044E-2</v>
      </c>
      <c r="Y18" s="20"/>
      <c r="Z18" s="19"/>
      <c r="AA18" s="19">
        <f>AA17*AA12*AA15/1000</f>
        <v>3.2313829787234044E-2</v>
      </c>
      <c r="AB18" s="20"/>
      <c r="AC18" s="208">
        <f>AC17*AC12*AC15/1000</f>
        <v>7.3860182370820669E-3</v>
      </c>
      <c r="AD18" s="209">
        <f>AD17*AD12*AD15/1000</f>
        <v>7.3860182370820669E-3</v>
      </c>
      <c r="AE18" s="210">
        <f>AE17*AE12*AE15/1000</f>
        <v>7.3860182370820678E-3</v>
      </c>
      <c r="AL18" s="8"/>
      <c r="AM18" s="8"/>
      <c r="AN18" s="8"/>
      <c r="AO18" s="375"/>
      <c r="AP18" s="8"/>
      <c r="AQ18" s="8"/>
      <c r="AR18" s="8"/>
      <c r="AS18" s="10"/>
      <c r="AT18" s="8"/>
    </row>
    <row r="19" spans="1:46">
      <c r="A19" s="10" t="s">
        <v>450</v>
      </c>
      <c r="B19" s="18"/>
      <c r="C19" s="19"/>
      <c r="D19" s="19"/>
      <c r="E19" s="20"/>
      <c r="F19" s="211">
        <f>F18*1000000000/3600/1000</f>
        <v>2.0604374999999995</v>
      </c>
      <c r="G19" s="211">
        <f>G18*1000000000/3600/1000</f>
        <v>2.0604374999999995</v>
      </c>
      <c r="H19" s="211">
        <f>H18*1000000000/3600/1000</f>
        <v>2.0604374999999995</v>
      </c>
      <c r="I19" s="211">
        <f>I18*1000000000/3600/1000</f>
        <v>2.0604374999999995</v>
      </c>
      <c r="J19" s="212">
        <f>J18*1000000000/3600/1000</f>
        <v>51.29179331306991</v>
      </c>
      <c r="K19" s="18"/>
      <c r="L19" s="205">
        <f>L18*1000000000/3600/1000</f>
        <v>16.669832826747719</v>
      </c>
      <c r="M19" s="20"/>
      <c r="N19" s="19"/>
      <c r="O19" s="205">
        <f>O18*1000000000/3600/1000</f>
        <v>16.669832826747719</v>
      </c>
      <c r="P19" s="20"/>
      <c r="Q19" s="19"/>
      <c r="R19" s="205">
        <f>R18*1000000000/3600/1000</f>
        <v>16.669832826747719</v>
      </c>
      <c r="S19" s="20"/>
      <c r="T19" s="19"/>
      <c r="U19" s="205">
        <f>U18*1000000000/3600/1000</f>
        <v>16.669832826747719</v>
      </c>
      <c r="V19" s="20"/>
      <c r="W19" s="18"/>
      <c r="X19" s="205">
        <f>X18*1000000000/3600/1000</f>
        <v>8.9760638297872362</v>
      </c>
      <c r="Y19" s="20"/>
      <c r="Z19" s="19"/>
      <c r="AA19" s="205">
        <f>AA18*1000000000/3600/1000</f>
        <v>8.9760638297872362</v>
      </c>
      <c r="AB19" s="20"/>
      <c r="AC19" s="18">
        <f>AC18*1000000000/3600/1000</f>
        <v>2.0516717325227964</v>
      </c>
      <c r="AD19" s="19">
        <f>AD18*1000000000/3600/1000</f>
        <v>2.0516717325227964</v>
      </c>
      <c r="AE19" s="20">
        <f>AE18*1000000000/3600/1000</f>
        <v>2.0516717325227964</v>
      </c>
      <c r="AL19" s="8">
        <v>1.3</v>
      </c>
      <c r="AM19" s="205">
        <v>2</v>
      </c>
      <c r="AN19" s="8">
        <v>10</v>
      </c>
      <c r="AO19" s="375">
        <v>16</v>
      </c>
      <c r="AP19" s="8"/>
      <c r="AQ19" s="8"/>
      <c r="AR19" s="8"/>
      <c r="AS19" s="10"/>
      <c r="AT19" s="8"/>
    </row>
    <row r="20" spans="1:46">
      <c r="B20" s="18"/>
      <c r="C20" s="19"/>
      <c r="D20" s="19"/>
      <c r="E20" s="20"/>
      <c r="F20" s="199"/>
      <c r="G20" s="199"/>
      <c r="H20" s="19"/>
      <c r="I20" s="199"/>
      <c r="J20" s="199"/>
      <c r="K20" s="18"/>
      <c r="L20" s="19"/>
      <c r="M20" s="20"/>
      <c r="N20" s="19"/>
      <c r="O20" s="19"/>
      <c r="P20" s="20"/>
      <c r="Q20" s="19"/>
      <c r="R20" s="19"/>
      <c r="S20" s="20"/>
      <c r="T20" s="19"/>
      <c r="U20" s="19"/>
      <c r="V20" s="20"/>
      <c r="W20" s="18"/>
      <c r="X20" s="19"/>
      <c r="Y20" s="20"/>
      <c r="Z20" s="19"/>
      <c r="AA20" s="19"/>
      <c r="AB20" s="20"/>
      <c r="AC20" s="18"/>
      <c r="AD20" s="19"/>
      <c r="AE20" s="20"/>
      <c r="AL20" s="8"/>
      <c r="AM20" s="8"/>
      <c r="AN20" s="8"/>
      <c r="AO20" s="375"/>
      <c r="AP20" s="8"/>
      <c r="AQ20" s="8"/>
      <c r="AR20" s="8"/>
      <c r="AS20" s="10"/>
      <c r="AT20" s="8"/>
    </row>
    <row r="21" spans="1:46">
      <c r="A21" s="10" t="s">
        <v>451</v>
      </c>
      <c r="B21" s="7">
        <v>80</v>
      </c>
      <c r="C21" s="8">
        <v>80</v>
      </c>
      <c r="D21" s="8">
        <v>80</v>
      </c>
      <c r="E21" s="9">
        <v>80</v>
      </c>
      <c r="F21" s="187">
        <v>80</v>
      </c>
      <c r="G21" s="187">
        <v>80</v>
      </c>
      <c r="H21" s="8">
        <v>80</v>
      </c>
      <c r="I21" s="187">
        <v>80</v>
      </c>
      <c r="J21" s="187">
        <v>80</v>
      </c>
      <c r="K21" s="7"/>
      <c r="L21" s="8"/>
      <c r="M21" s="9">
        <v>80</v>
      </c>
      <c r="N21" s="8"/>
      <c r="O21" s="8"/>
      <c r="P21" s="9">
        <v>80</v>
      </c>
      <c r="Q21" s="8"/>
      <c r="R21" s="8"/>
      <c r="S21" s="9">
        <v>80</v>
      </c>
      <c r="T21" s="8"/>
      <c r="U21" s="8"/>
      <c r="V21" s="9">
        <v>80</v>
      </c>
      <c r="W21" s="7"/>
      <c r="X21" s="8"/>
      <c r="Y21" s="9">
        <v>80</v>
      </c>
      <c r="Z21" s="8"/>
      <c r="AA21" s="8"/>
      <c r="AB21" s="9">
        <v>80</v>
      </c>
      <c r="AC21" s="7">
        <v>80</v>
      </c>
      <c r="AD21" s="8">
        <v>80</v>
      </c>
      <c r="AE21" s="9">
        <v>80</v>
      </c>
      <c r="AL21" s="8">
        <v>82</v>
      </c>
      <c r="AM21" s="8">
        <v>116</v>
      </c>
      <c r="AN21" s="8"/>
      <c r="AO21" s="375" t="s">
        <v>452</v>
      </c>
      <c r="AP21" s="36" t="s">
        <v>453</v>
      </c>
      <c r="AQ21" s="36"/>
      <c r="AR21" s="10"/>
      <c r="AS21" s="10"/>
      <c r="AT21" s="10"/>
    </row>
    <row r="22" spans="1:46" ht="13">
      <c r="A22" s="10" t="s">
        <v>32</v>
      </c>
      <c r="B22" s="7">
        <f>B21</f>
        <v>80</v>
      </c>
      <c r="C22" s="8">
        <f>C21</f>
        <v>80</v>
      </c>
      <c r="D22" s="8">
        <f>D21</f>
        <v>80</v>
      </c>
      <c r="E22" s="9">
        <f>E21</f>
        <v>80</v>
      </c>
      <c r="F22" s="187">
        <v>60</v>
      </c>
      <c r="G22" s="187">
        <v>60</v>
      </c>
      <c r="H22" s="8">
        <f>H21</f>
        <v>80</v>
      </c>
      <c r="I22" s="187">
        <v>60</v>
      </c>
      <c r="J22" s="213"/>
      <c r="K22" s="28">
        <f>P39</f>
        <v>26.521951499999997</v>
      </c>
      <c r="L22" s="8"/>
      <c r="M22" s="30"/>
      <c r="N22" s="29">
        <f>P39</f>
        <v>26.521951499999997</v>
      </c>
      <c r="O22" s="8"/>
      <c r="P22" s="30"/>
      <c r="Q22" s="29">
        <f>S39</f>
        <v>26.521951499999997</v>
      </c>
      <c r="R22" s="8"/>
      <c r="S22" s="30"/>
      <c r="T22" s="29">
        <f>V39</f>
        <v>26.521951499999997</v>
      </c>
      <c r="U22" s="8"/>
      <c r="V22" s="30"/>
      <c r="W22" s="28">
        <f>AB39</f>
        <v>26.521951499999997</v>
      </c>
      <c r="X22" s="8"/>
      <c r="Y22" s="30"/>
      <c r="Z22" s="29">
        <f>AB39</f>
        <v>26.521951499999997</v>
      </c>
      <c r="AA22" s="8"/>
      <c r="AB22" s="30"/>
      <c r="AC22" s="25"/>
      <c r="AD22" s="26"/>
      <c r="AE22" s="27"/>
      <c r="AL22" s="8">
        <v>57</v>
      </c>
      <c r="AM22" s="8">
        <v>99</v>
      </c>
      <c r="AN22" s="8"/>
      <c r="AO22" s="375">
        <v>53</v>
      </c>
      <c r="AR22" s="10"/>
      <c r="AS22" s="10"/>
      <c r="AT22" s="10"/>
    </row>
    <row r="23" spans="1:46">
      <c r="A23" s="10" t="s">
        <v>33</v>
      </c>
      <c r="B23" s="7"/>
      <c r="C23" s="8"/>
      <c r="D23" s="8"/>
      <c r="E23" s="9"/>
      <c r="F23" s="187">
        <v>40</v>
      </c>
      <c r="G23" s="187">
        <v>40</v>
      </c>
      <c r="H23" s="187">
        <v>40</v>
      </c>
      <c r="I23" s="187">
        <v>40</v>
      </c>
      <c r="J23" s="212">
        <f>J21</f>
        <v>80</v>
      </c>
      <c r="K23" s="7"/>
      <c r="L23" s="8">
        <v>60</v>
      </c>
      <c r="M23" s="20"/>
      <c r="N23" s="8"/>
      <c r="O23" s="8">
        <v>60</v>
      </c>
      <c r="P23" s="20"/>
      <c r="Q23" s="8"/>
      <c r="R23" s="8">
        <v>60</v>
      </c>
      <c r="S23" s="20"/>
      <c r="T23" s="8"/>
      <c r="U23" s="8">
        <v>60</v>
      </c>
      <c r="V23" s="20"/>
      <c r="W23" s="7"/>
      <c r="X23" s="8">
        <v>60</v>
      </c>
      <c r="Y23" s="20"/>
      <c r="Z23" s="8"/>
      <c r="AA23" s="8">
        <v>60</v>
      </c>
      <c r="AB23" s="20"/>
      <c r="AC23" s="28">
        <v>80</v>
      </c>
      <c r="AD23" s="29">
        <v>80</v>
      </c>
      <c r="AE23" s="30">
        <v>80</v>
      </c>
      <c r="AL23" s="8">
        <v>50</v>
      </c>
      <c r="AM23" s="8">
        <v>70</v>
      </c>
      <c r="AN23" s="8"/>
      <c r="AO23" s="375">
        <v>120</v>
      </c>
      <c r="AR23" s="10"/>
      <c r="AS23" s="10"/>
      <c r="AT23" s="10"/>
    </row>
    <row r="24" spans="1:46">
      <c r="A24" s="10" t="s">
        <v>34</v>
      </c>
      <c r="B24" s="7">
        <f t="shared" ref="B24:J24" si="2">B22+B23</f>
        <v>80</v>
      </c>
      <c r="C24" s="8">
        <f t="shared" si="2"/>
        <v>80</v>
      </c>
      <c r="D24" s="8">
        <f t="shared" si="2"/>
        <v>80</v>
      </c>
      <c r="E24" s="9">
        <f t="shared" si="2"/>
        <v>80</v>
      </c>
      <c r="F24" s="187">
        <f t="shared" si="2"/>
        <v>100</v>
      </c>
      <c r="G24" s="187">
        <f t="shared" si="2"/>
        <v>100</v>
      </c>
      <c r="H24" s="187">
        <f t="shared" si="2"/>
        <v>120</v>
      </c>
      <c r="I24" s="187">
        <f t="shared" si="2"/>
        <v>100</v>
      </c>
      <c r="J24" s="187">
        <f t="shared" si="2"/>
        <v>80</v>
      </c>
      <c r="K24" s="7"/>
      <c r="L24" s="8"/>
      <c r="M24" s="30">
        <f>E22+L23</f>
        <v>140</v>
      </c>
      <c r="N24" s="8"/>
      <c r="O24" s="8"/>
      <c r="P24" s="30">
        <f>K22+O23</f>
        <v>86.5219515</v>
      </c>
      <c r="Q24" s="8"/>
      <c r="R24" s="8"/>
      <c r="S24" s="30">
        <f>N22+R23</f>
        <v>86.5219515</v>
      </c>
      <c r="T24" s="8"/>
      <c r="U24" s="8"/>
      <c r="V24" s="30">
        <f>N22+U23</f>
        <v>86.5219515</v>
      </c>
      <c r="W24" s="7"/>
      <c r="X24" s="8"/>
      <c r="Y24" s="30">
        <f>N22+X23</f>
        <v>86.5219515</v>
      </c>
      <c r="Z24" s="8"/>
      <c r="AA24" s="8"/>
      <c r="AB24" s="30">
        <f>W22+AA23</f>
        <v>86.5219515</v>
      </c>
      <c r="AC24" s="7">
        <f>AC22+AC23</f>
        <v>80</v>
      </c>
      <c r="AD24" s="8">
        <f>AD22+AD23</f>
        <v>80</v>
      </c>
      <c r="AE24" s="9">
        <f>AE22+AE23</f>
        <v>80</v>
      </c>
      <c r="AL24" s="8">
        <f>AL22+AL23</f>
        <v>107</v>
      </c>
      <c r="AM24" s="8">
        <f>AM22+AM23</f>
        <v>169</v>
      </c>
      <c r="AN24" s="8"/>
      <c r="AO24" s="375">
        <f>AO22+AO23</f>
        <v>173</v>
      </c>
      <c r="AR24" s="10"/>
      <c r="AS24" s="10"/>
      <c r="AT24" s="10"/>
    </row>
    <row r="25" spans="1:46">
      <c r="A25" s="10" t="s">
        <v>35</v>
      </c>
      <c r="B25" s="7"/>
      <c r="C25" s="8"/>
      <c r="D25" s="8"/>
      <c r="E25" s="9"/>
      <c r="F25" s="189">
        <f>F23/F24</f>
        <v>0.4</v>
      </c>
      <c r="G25" s="189">
        <f>G23/G24</f>
        <v>0.4</v>
      </c>
      <c r="H25" s="189">
        <f>H23/H24</f>
        <v>0.33333333333333331</v>
      </c>
      <c r="I25" s="189">
        <f>I23/I24</f>
        <v>0.4</v>
      </c>
      <c r="J25" s="189"/>
      <c r="K25" s="7"/>
      <c r="L25" s="8"/>
      <c r="M25" s="214">
        <f>L23/M24</f>
        <v>0.42857142857142855</v>
      </c>
      <c r="N25" s="8"/>
      <c r="O25" s="8"/>
      <c r="P25" s="214">
        <f>O23/P24</f>
        <v>0.6934656345563357</v>
      </c>
      <c r="Q25" s="8"/>
      <c r="R25" s="8"/>
      <c r="S25" s="214">
        <f>R23/S24</f>
        <v>0.6934656345563357</v>
      </c>
      <c r="T25" s="8"/>
      <c r="U25" s="8"/>
      <c r="V25" s="214">
        <f>U23/V24</f>
        <v>0.6934656345563357</v>
      </c>
      <c r="W25" s="7"/>
      <c r="X25" s="8"/>
      <c r="Y25" s="214">
        <f>X23/Y24</f>
        <v>0.6934656345563357</v>
      </c>
      <c r="Z25" s="8"/>
      <c r="AA25" s="8"/>
      <c r="AB25" s="214">
        <f>AA23/AB24</f>
        <v>0.6934656345563357</v>
      </c>
      <c r="AC25" s="7"/>
      <c r="AD25" s="8"/>
      <c r="AE25" s="9"/>
      <c r="AL25" s="215">
        <f>AL23/AL24</f>
        <v>0.46728971962616822</v>
      </c>
      <c r="AM25" s="215">
        <f>AM23/AM24</f>
        <v>0.41420118343195267</v>
      </c>
      <c r="AN25" s="375"/>
      <c r="AO25" s="215">
        <f>AO23/AO24</f>
        <v>0.69364161849710981</v>
      </c>
      <c r="AR25" s="10"/>
      <c r="AS25" s="10"/>
      <c r="AT25" s="10"/>
    </row>
    <row r="26" spans="1:46">
      <c r="B26" s="7"/>
      <c r="C26" s="8"/>
      <c r="D26" s="8"/>
      <c r="E26" s="9"/>
      <c r="F26" s="187"/>
      <c r="G26" s="187"/>
      <c r="H26" s="8"/>
      <c r="I26" s="187"/>
      <c r="J26" s="187"/>
      <c r="K26" s="7"/>
      <c r="L26" s="8"/>
      <c r="M26" s="20"/>
      <c r="N26" s="8"/>
      <c r="O26" s="8"/>
      <c r="P26" s="20"/>
      <c r="Q26" s="8"/>
      <c r="R26" s="8"/>
      <c r="S26" s="20"/>
      <c r="T26" s="8"/>
      <c r="U26" s="8"/>
      <c r="V26" s="20"/>
      <c r="W26" s="7"/>
      <c r="X26" s="8"/>
      <c r="Y26" s="20"/>
      <c r="Z26" s="8"/>
      <c r="AA26" s="8"/>
      <c r="AB26" s="20"/>
      <c r="AC26" s="7"/>
      <c r="AD26" s="8"/>
      <c r="AE26" s="9"/>
      <c r="AL26" s="8"/>
      <c r="AM26" s="8"/>
      <c r="AN26" s="8"/>
      <c r="AO26" s="375"/>
      <c r="AP26" s="36"/>
      <c r="AQ26" s="36"/>
      <c r="AR26" s="10"/>
      <c r="AS26" s="10"/>
      <c r="AT26" s="10"/>
    </row>
    <row r="27" spans="1:46">
      <c r="A27" s="10" t="s">
        <v>36</v>
      </c>
      <c r="B27" s="7"/>
      <c r="C27" s="8"/>
      <c r="D27" s="8"/>
      <c r="E27" s="9"/>
      <c r="F27" s="187"/>
      <c r="G27" s="187"/>
      <c r="H27" s="8"/>
      <c r="I27" s="187"/>
      <c r="J27" s="212"/>
      <c r="K27" s="7"/>
      <c r="L27" s="8"/>
      <c r="M27" s="9"/>
      <c r="N27" s="8"/>
      <c r="O27" s="8"/>
      <c r="P27" s="9"/>
      <c r="Q27" s="8"/>
      <c r="R27" s="8"/>
      <c r="S27" s="9"/>
      <c r="T27" s="8"/>
      <c r="U27" s="8"/>
      <c r="V27" s="9"/>
      <c r="W27" s="7"/>
      <c r="X27" s="8"/>
      <c r="Y27" s="9"/>
      <c r="Z27" s="8"/>
      <c r="AA27" s="8"/>
      <c r="AB27" s="9"/>
      <c r="AC27" s="28"/>
      <c r="AD27" s="29"/>
      <c r="AE27" s="30"/>
      <c r="AL27" s="375"/>
      <c r="AM27" s="375"/>
      <c r="AN27" s="375"/>
      <c r="AO27" s="375"/>
      <c r="AP27" s="10"/>
      <c r="AQ27" s="10"/>
      <c r="AR27" s="10"/>
      <c r="AS27" s="10"/>
      <c r="AT27" s="10"/>
    </row>
    <row r="28" spans="1:46">
      <c r="A28" s="10" t="s">
        <v>37</v>
      </c>
      <c r="B28" s="7"/>
      <c r="C28" s="8"/>
      <c r="D28" s="8"/>
      <c r="E28" s="9"/>
      <c r="F28" s="187"/>
      <c r="G28" s="187"/>
      <c r="H28" s="8"/>
      <c r="I28" s="187"/>
      <c r="J28" s="212"/>
      <c r="K28" s="7"/>
      <c r="L28" s="8"/>
      <c r="M28" s="9"/>
      <c r="N28" s="8"/>
      <c r="O28" s="8"/>
      <c r="P28" s="9"/>
      <c r="Q28" s="8"/>
      <c r="R28" s="8"/>
      <c r="S28" s="9"/>
      <c r="T28" s="8"/>
      <c r="U28" s="8"/>
      <c r="V28" s="9"/>
      <c r="W28" s="7"/>
      <c r="X28" s="8"/>
      <c r="Y28" s="9"/>
      <c r="Z28" s="8"/>
      <c r="AA28" s="8"/>
      <c r="AB28" s="9"/>
      <c r="AC28" s="28"/>
      <c r="AD28" s="29"/>
      <c r="AE28" s="30"/>
      <c r="AL28" s="375"/>
      <c r="AM28" s="375"/>
      <c r="AN28" s="375"/>
      <c r="AO28" s="375"/>
      <c r="AP28" s="8"/>
      <c r="AQ28" s="8"/>
      <c r="AR28" s="8"/>
      <c r="AS28" s="8"/>
      <c r="AT28" s="8"/>
    </row>
    <row r="29" spans="1:46" ht="13">
      <c r="A29" s="10" t="s">
        <v>38</v>
      </c>
      <c r="B29" s="7"/>
      <c r="C29" s="8"/>
      <c r="D29" s="8"/>
      <c r="E29" s="9"/>
      <c r="F29" s="187"/>
      <c r="G29" s="187"/>
      <c r="H29" s="8"/>
      <c r="I29" s="187"/>
      <c r="J29" s="203"/>
      <c r="K29" s="7"/>
      <c r="L29" s="8"/>
      <c r="M29" s="9"/>
      <c r="N29" s="8"/>
      <c r="O29" s="8"/>
      <c r="P29" s="9"/>
      <c r="Q29" s="8"/>
      <c r="R29" s="8"/>
      <c r="S29" s="9"/>
      <c r="T29" s="8"/>
      <c r="U29" s="8"/>
      <c r="V29" s="9"/>
      <c r="W29" s="7"/>
      <c r="X29" s="8"/>
      <c r="Y29" s="9"/>
      <c r="Z29" s="8"/>
      <c r="AA29" s="8"/>
      <c r="AB29" s="9"/>
      <c r="AC29" s="7">
        <v>50</v>
      </c>
      <c r="AD29" s="8">
        <v>50</v>
      </c>
      <c r="AE29" s="9">
        <v>50</v>
      </c>
      <c r="AL29" s="375"/>
      <c r="AM29" s="375"/>
      <c r="AN29" s="375"/>
      <c r="AO29" s="375"/>
      <c r="AP29" s="8"/>
      <c r="AQ29" s="8"/>
      <c r="AR29" s="8"/>
      <c r="AS29" s="8"/>
      <c r="AT29" s="8"/>
    </row>
    <row r="30" spans="1:46">
      <c r="A30" s="10" t="s">
        <v>39</v>
      </c>
      <c r="B30" s="18"/>
      <c r="C30" s="19"/>
      <c r="D30" s="19"/>
      <c r="E30" s="20"/>
      <c r="F30" s="30">
        <f>F23/0.9</f>
        <v>44.444444444444443</v>
      </c>
      <c r="G30" s="30">
        <f>G23/0.9</f>
        <v>44.444444444444443</v>
      </c>
      <c r="H30" s="30">
        <f>H23/0.9</f>
        <v>44.444444444444443</v>
      </c>
      <c r="I30" s="30">
        <f>I23/0.9</f>
        <v>44.444444444444443</v>
      </c>
      <c r="J30" s="212">
        <f>J23/0.9</f>
        <v>88.888888888888886</v>
      </c>
      <c r="K30" s="7"/>
      <c r="L30" s="29">
        <f>L23/0.9</f>
        <v>66.666666666666671</v>
      </c>
      <c r="M30" s="9"/>
      <c r="N30" s="8"/>
      <c r="O30" s="29">
        <f>O23/0.9</f>
        <v>66.666666666666671</v>
      </c>
      <c r="P30" s="9"/>
      <c r="Q30" s="8"/>
      <c r="R30" s="29">
        <f>R23/0.9</f>
        <v>66.666666666666671</v>
      </c>
      <c r="S30" s="9"/>
      <c r="T30" s="8"/>
      <c r="U30" s="29">
        <f>U23/0.9</f>
        <v>66.666666666666671</v>
      </c>
      <c r="V30" s="9"/>
      <c r="W30" s="7"/>
      <c r="X30" s="29">
        <f>X23/0.9</f>
        <v>66.666666666666671</v>
      </c>
      <c r="Y30" s="9"/>
      <c r="Z30" s="8"/>
      <c r="AA30" s="29">
        <f>AA23/0.9</f>
        <v>66.666666666666671</v>
      </c>
      <c r="AB30" s="9"/>
      <c r="AC30" s="28">
        <v>44</v>
      </c>
      <c r="AD30" s="29">
        <v>44</v>
      </c>
      <c r="AE30" s="30">
        <v>44</v>
      </c>
      <c r="AL30" s="375"/>
      <c r="AM30" s="375"/>
      <c r="AN30" s="375"/>
      <c r="AO30" s="375"/>
      <c r="AP30" s="8"/>
      <c r="AQ30" s="8"/>
      <c r="AR30" s="8"/>
      <c r="AS30" s="8"/>
      <c r="AT30" s="8"/>
    </row>
    <row r="31" spans="1:46">
      <c r="B31" s="25"/>
      <c r="C31" s="26"/>
      <c r="D31" s="26"/>
      <c r="E31" s="27"/>
      <c r="F31" s="202"/>
      <c r="G31" s="202"/>
      <c r="H31" s="202"/>
      <c r="I31" s="202"/>
      <c r="J31" s="202"/>
      <c r="K31" s="25"/>
      <c r="L31" s="26"/>
      <c r="M31" s="27"/>
      <c r="N31" s="26"/>
      <c r="O31" s="26"/>
      <c r="P31" s="27"/>
      <c r="Q31" s="26"/>
      <c r="R31" s="26"/>
      <c r="S31" s="27"/>
      <c r="T31" s="26"/>
      <c r="U31" s="26"/>
      <c r="V31" s="27"/>
      <c r="W31" s="25"/>
      <c r="X31" s="26"/>
      <c r="Y31" s="27"/>
      <c r="Z31" s="26"/>
      <c r="AA31" s="26"/>
      <c r="AB31" s="27"/>
      <c r="AC31" s="25"/>
      <c r="AD31" s="26"/>
      <c r="AE31" s="27"/>
      <c r="AL31" s="375"/>
      <c r="AM31" s="375"/>
      <c r="AN31" s="375"/>
      <c r="AO31" s="375"/>
      <c r="AP31" s="26"/>
      <c r="AQ31" s="26"/>
      <c r="AR31" s="26"/>
      <c r="AS31" s="26"/>
      <c r="AT31" s="26"/>
    </row>
    <row r="32" spans="1:46" s="381" customFormat="1" ht="13">
      <c r="A32" s="382" t="s">
        <v>454</v>
      </c>
      <c r="B32" s="383">
        <f>B10*1000000/3600</f>
        <v>164.83500000000001</v>
      </c>
      <c r="C32" s="384">
        <f>B32</f>
        <v>164.83500000000001</v>
      </c>
      <c r="D32" s="384">
        <f>C32</f>
        <v>164.83500000000001</v>
      </c>
      <c r="E32" s="385">
        <f>D32</f>
        <v>164.83500000000001</v>
      </c>
      <c r="F32" s="386">
        <f>F10*1000000/3600</f>
        <v>164.83500000000001</v>
      </c>
      <c r="G32" s="386">
        <f>G10*1000000/3600</f>
        <v>164.83500000000001</v>
      </c>
      <c r="H32" s="386">
        <f>H10*1000000/3600</f>
        <v>164.83500000000001</v>
      </c>
      <c r="I32" s="386">
        <f>I10*1000000/3600</f>
        <v>164.83500000000001</v>
      </c>
      <c r="J32" s="386">
        <f>J10*1000000/3600</f>
        <v>164.83500000000001</v>
      </c>
      <c r="K32" s="383"/>
      <c r="L32" s="384"/>
      <c r="M32" s="385"/>
      <c r="N32" s="384"/>
      <c r="O32" s="384"/>
      <c r="P32" s="385"/>
      <c r="Q32" s="384"/>
      <c r="R32" s="384"/>
      <c r="S32" s="385"/>
      <c r="T32" s="384"/>
      <c r="U32" s="384"/>
      <c r="V32" s="385"/>
      <c r="W32" s="383"/>
      <c r="X32" s="384"/>
      <c r="Y32" s="385"/>
      <c r="Z32" s="384"/>
      <c r="AA32" s="384"/>
      <c r="AB32" s="385"/>
      <c r="AC32" s="383">
        <f>AC10*1000000/3600</f>
        <v>164.83500000000001</v>
      </c>
      <c r="AD32" s="384">
        <f>AD10*1000000/3600</f>
        <v>164.83500000000001</v>
      </c>
      <c r="AE32" s="385">
        <f>AE10*1000000/3600</f>
        <v>164.83500000000004</v>
      </c>
      <c r="AG32" s="201"/>
      <c r="AH32" s="201"/>
      <c r="AI32" s="201"/>
      <c r="AJ32" s="201"/>
      <c r="AK32" s="73"/>
      <c r="AL32" s="201"/>
      <c r="AM32" s="201"/>
      <c r="AN32" s="201"/>
      <c r="AO32" s="201"/>
      <c r="AP32" s="379"/>
      <c r="AQ32" s="379"/>
      <c r="AR32" s="379"/>
      <c r="AS32" s="379"/>
      <c r="AT32" s="379"/>
    </row>
    <row r="33" spans="1:46" s="381" customFormat="1" ht="13">
      <c r="A33" s="382" t="s">
        <v>455</v>
      </c>
      <c r="B33" s="378"/>
      <c r="C33" s="379"/>
      <c r="D33" s="379"/>
      <c r="E33" s="380"/>
      <c r="F33" s="203"/>
      <c r="G33" s="203"/>
      <c r="H33" s="379"/>
      <c r="I33" s="203"/>
      <c r="J33" s="213"/>
      <c r="K33" s="378"/>
      <c r="L33" s="379"/>
      <c r="M33" s="380"/>
      <c r="N33" s="379"/>
      <c r="O33" s="379"/>
      <c r="P33" s="380"/>
      <c r="Q33" s="379"/>
      <c r="R33" s="379"/>
      <c r="S33" s="380"/>
      <c r="T33" s="379"/>
      <c r="U33" s="379"/>
      <c r="V33" s="380"/>
      <c r="W33" s="378"/>
      <c r="X33" s="379"/>
      <c r="Y33" s="380"/>
      <c r="Z33" s="379"/>
      <c r="AA33" s="379"/>
      <c r="AB33" s="380"/>
      <c r="AC33" s="387"/>
      <c r="AD33" s="388"/>
      <c r="AE33" s="389"/>
      <c r="AG33" s="201"/>
      <c r="AH33" s="201"/>
      <c r="AI33" s="201"/>
      <c r="AJ33" s="201"/>
      <c r="AK33" s="73"/>
      <c r="AL33" s="201"/>
      <c r="AM33" s="201"/>
      <c r="AN33" s="201"/>
      <c r="AO33" s="201"/>
      <c r="AP33" s="379"/>
      <c r="AQ33" s="379"/>
      <c r="AR33" s="379"/>
      <c r="AS33" s="379"/>
      <c r="AT33" s="379"/>
    </row>
    <row r="34" spans="1:46" s="381" customFormat="1" ht="13">
      <c r="A34" s="382" t="s">
        <v>37</v>
      </c>
      <c r="B34" s="378"/>
      <c r="C34" s="379"/>
      <c r="D34" s="379"/>
      <c r="E34" s="380"/>
      <c r="F34" s="203"/>
      <c r="G34" s="203"/>
      <c r="H34" s="379"/>
      <c r="I34" s="203"/>
      <c r="J34" s="213"/>
      <c r="K34" s="378"/>
      <c r="L34" s="379"/>
      <c r="M34" s="380"/>
      <c r="N34" s="379"/>
      <c r="O34" s="379"/>
      <c r="P34" s="380"/>
      <c r="Q34" s="379"/>
      <c r="R34" s="379"/>
      <c r="S34" s="380"/>
      <c r="T34" s="379"/>
      <c r="U34" s="379"/>
      <c r="V34" s="380"/>
      <c r="W34" s="378"/>
      <c r="X34" s="379"/>
      <c r="Y34" s="380"/>
      <c r="Z34" s="379"/>
      <c r="AA34" s="379"/>
      <c r="AB34" s="380"/>
      <c r="AC34" s="387"/>
      <c r="AD34" s="388"/>
      <c r="AE34" s="389"/>
      <c r="AG34" s="201"/>
      <c r="AH34" s="201"/>
      <c r="AI34" s="201"/>
      <c r="AJ34" s="201"/>
      <c r="AK34" s="73"/>
      <c r="AL34" s="201"/>
      <c r="AM34" s="201"/>
      <c r="AN34" s="201"/>
      <c r="AO34" s="201"/>
      <c r="AP34" s="379"/>
      <c r="AQ34" s="379"/>
      <c r="AR34" s="379"/>
      <c r="AS34" s="379"/>
      <c r="AT34" s="379"/>
    </row>
    <row r="35" spans="1:46" s="381" customFormat="1" ht="13">
      <c r="A35" s="382" t="s">
        <v>38</v>
      </c>
      <c r="B35" s="390"/>
      <c r="C35" s="391"/>
      <c r="D35" s="391"/>
      <c r="E35" s="392"/>
      <c r="F35" s="393"/>
      <c r="G35" s="393"/>
      <c r="H35" s="391"/>
      <c r="I35" s="393"/>
      <c r="J35" s="386"/>
      <c r="K35" s="390"/>
      <c r="L35" s="391"/>
      <c r="M35" s="392"/>
      <c r="N35" s="391"/>
      <c r="O35" s="391"/>
      <c r="P35" s="392"/>
      <c r="Q35" s="391"/>
      <c r="R35" s="391"/>
      <c r="S35" s="392"/>
      <c r="T35" s="391"/>
      <c r="U35" s="391"/>
      <c r="V35" s="392"/>
      <c r="W35" s="390"/>
      <c r="X35" s="391"/>
      <c r="Y35" s="392"/>
      <c r="Z35" s="391"/>
      <c r="AA35" s="391"/>
      <c r="AB35" s="392"/>
      <c r="AC35" s="390"/>
      <c r="AD35" s="391"/>
      <c r="AE35" s="392"/>
      <c r="AG35" s="201"/>
      <c r="AH35" s="201"/>
      <c r="AI35" s="201"/>
      <c r="AJ35" s="201"/>
      <c r="AK35" s="73"/>
      <c r="AL35" s="201"/>
      <c r="AM35" s="201"/>
      <c r="AN35" s="201"/>
      <c r="AS35" s="379"/>
      <c r="AT35" s="394"/>
    </row>
    <row r="36" spans="1:46" s="381" customFormat="1" ht="13">
      <c r="A36" s="382" t="s">
        <v>333</v>
      </c>
      <c r="B36" s="390"/>
      <c r="C36" s="391"/>
      <c r="D36" s="391"/>
      <c r="E36" s="392"/>
      <c r="F36" s="393"/>
      <c r="G36" s="393"/>
      <c r="H36" s="391"/>
      <c r="I36" s="393"/>
      <c r="J36" s="386"/>
      <c r="K36" s="390"/>
      <c r="L36" s="391"/>
      <c r="M36" s="392"/>
      <c r="N36" s="391"/>
      <c r="O36" s="391"/>
      <c r="P36" s="392"/>
      <c r="Q36" s="391"/>
      <c r="R36" s="391"/>
      <c r="S36" s="392"/>
      <c r="T36" s="391"/>
      <c r="U36" s="391"/>
      <c r="V36" s="392"/>
      <c r="W36" s="390"/>
      <c r="X36" s="391"/>
      <c r="Y36" s="392"/>
      <c r="Z36" s="391"/>
      <c r="AA36" s="391"/>
      <c r="AB36" s="392"/>
      <c r="AC36" s="383"/>
      <c r="AD36" s="384"/>
      <c r="AE36" s="385"/>
      <c r="AG36" s="201"/>
      <c r="AH36" s="201"/>
      <c r="AI36" s="201"/>
      <c r="AJ36" s="201"/>
      <c r="AK36" s="73"/>
      <c r="AL36" s="201"/>
      <c r="AM36" s="201"/>
      <c r="AN36" s="201"/>
      <c r="AO36" s="201"/>
      <c r="AP36" s="379"/>
      <c r="AQ36" s="379"/>
      <c r="AR36" s="379"/>
      <c r="AS36" s="379"/>
      <c r="AT36" s="379"/>
    </row>
    <row r="37" spans="1:46" s="381" customFormat="1" ht="13">
      <c r="A37" s="382"/>
      <c r="B37" s="390"/>
      <c r="C37" s="391"/>
      <c r="D37" s="391"/>
      <c r="E37" s="392"/>
      <c r="F37" s="393"/>
      <c r="G37" s="393"/>
      <c r="H37" s="391"/>
      <c r="I37" s="393"/>
      <c r="J37" s="386"/>
      <c r="K37" s="390"/>
      <c r="L37" s="391"/>
      <c r="M37" s="392"/>
      <c r="N37" s="391"/>
      <c r="O37" s="391"/>
      <c r="P37" s="392"/>
      <c r="Q37" s="391"/>
      <c r="R37" s="391"/>
      <c r="S37" s="392"/>
      <c r="T37" s="391"/>
      <c r="U37" s="391"/>
      <c r="V37" s="392"/>
      <c r="W37" s="390"/>
      <c r="X37" s="391"/>
      <c r="Y37" s="392"/>
      <c r="Z37" s="391"/>
      <c r="AA37" s="391"/>
      <c r="AB37" s="392"/>
      <c r="AC37" s="383"/>
      <c r="AD37" s="384"/>
      <c r="AE37" s="385"/>
      <c r="AG37" s="201"/>
      <c r="AH37" s="201"/>
      <c r="AI37" s="201"/>
      <c r="AJ37" s="201"/>
      <c r="AK37" s="73"/>
      <c r="AL37" s="201"/>
      <c r="AM37" s="201"/>
      <c r="AN37" s="201"/>
      <c r="AO37" s="201"/>
      <c r="AP37" s="379"/>
      <c r="AQ37" s="379"/>
      <c r="AR37" s="379"/>
      <c r="AS37" s="379"/>
      <c r="AT37" s="379"/>
    </row>
    <row r="38" spans="1:46" s="381" customFormat="1" ht="13">
      <c r="A38" s="382" t="s">
        <v>456</v>
      </c>
      <c r="B38" s="383">
        <f t="shared" ref="B38:J38" si="3">100*1.609</f>
        <v>160.9</v>
      </c>
      <c r="C38" s="384">
        <f t="shared" si="3"/>
        <v>160.9</v>
      </c>
      <c r="D38" s="384">
        <f t="shared" si="3"/>
        <v>160.9</v>
      </c>
      <c r="E38" s="385">
        <f t="shared" si="3"/>
        <v>160.9</v>
      </c>
      <c r="F38" s="386">
        <f t="shared" si="3"/>
        <v>160.9</v>
      </c>
      <c r="G38" s="386">
        <f t="shared" si="3"/>
        <v>160.9</v>
      </c>
      <c r="H38" s="384">
        <f t="shared" si="3"/>
        <v>160.9</v>
      </c>
      <c r="I38" s="386">
        <f t="shared" si="3"/>
        <v>160.9</v>
      </c>
      <c r="J38" s="386">
        <f t="shared" si="3"/>
        <v>160.9</v>
      </c>
      <c r="K38" s="390"/>
      <c r="L38" s="391"/>
      <c r="M38" s="385">
        <f>100*1.609</f>
        <v>160.9</v>
      </c>
      <c r="N38" s="391"/>
      <c r="O38" s="391"/>
      <c r="P38" s="385">
        <f>100*1.609</f>
        <v>160.9</v>
      </c>
      <c r="Q38" s="391"/>
      <c r="R38" s="391"/>
      <c r="S38" s="385">
        <f>100*1.609</f>
        <v>160.9</v>
      </c>
      <c r="T38" s="391"/>
      <c r="U38" s="391"/>
      <c r="V38" s="385">
        <f>100*1.609</f>
        <v>160.9</v>
      </c>
      <c r="W38" s="390"/>
      <c r="X38" s="391"/>
      <c r="Y38" s="385">
        <f>100*1.609</f>
        <v>160.9</v>
      </c>
      <c r="Z38" s="391"/>
      <c r="AA38" s="391"/>
      <c r="AB38" s="385">
        <f>100*1.609</f>
        <v>160.9</v>
      </c>
      <c r="AC38" s="383">
        <f>100*1.609</f>
        <v>160.9</v>
      </c>
      <c r="AD38" s="384">
        <f>100*1.609</f>
        <v>160.9</v>
      </c>
      <c r="AE38" s="385">
        <f>100*1.609</f>
        <v>160.9</v>
      </c>
      <c r="AG38" s="201"/>
      <c r="AH38" s="201"/>
      <c r="AI38" s="201"/>
      <c r="AJ38" s="201"/>
      <c r="AK38" s="73"/>
      <c r="AL38" s="201"/>
      <c r="AM38" s="201"/>
      <c r="AN38" s="201"/>
      <c r="AO38" s="395"/>
      <c r="AP38" s="379"/>
      <c r="AQ38" s="379"/>
      <c r="AR38" s="379"/>
      <c r="AS38" s="379"/>
      <c r="AT38" s="379"/>
    </row>
    <row r="39" spans="1:46" s="381" customFormat="1" ht="13">
      <c r="A39" s="382" t="s">
        <v>457</v>
      </c>
      <c r="B39" s="396">
        <f t="shared" ref="B39:J39" si="4">B10*B38/3600*1000</f>
        <v>26.521951499999997</v>
      </c>
      <c r="C39" s="384">
        <f t="shared" si="4"/>
        <v>0</v>
      </c>
      <c r="D39" s="384">
        <f t="shared" si="4"/>
        <v>0</v>
      </c>
      <c r="E39" s="385">
        <f t="shared" si="4"/>
        <v>0</v>
      </c>
      <c r="F39" s="386">
        <f t="shared" si="4"/>
        <v>26.521951499999997</v>
      </c>
      <c r="G39" s="386">
        <f t="shared" si="4"/>
        <v>26.521951499999997</v>
      </c>
      <c r="H39" s="384">
        <f t="shared" si="4"/>
        <v>26.521951499999997</v>
      </c>
      <c r="I39" s="386">
        <f t="shared" si="4"/>
        <v>26.521951499999997</v>
      </c>
      <c r="J39" s="386">
        <f t="shared" si="4"/>
        <v>26.521951499999997</v>
      </c>
      <c r="K39" s="390"/>
      <c r="L39" s="391"/>
      <c r="M39" s="385">
        <f>AVERAGE(E10:L10)*M38/3600*1000</f>
        <v>26.521951499999997</v>
      </c>
      <c r="N39" s="391"/>
      <c r="O39" s="391"/>
      <c r="P39" s="385">
        <f>AVERAGE(K10:O10)*P38/3600*1000</f>
        <v>26.521951499999997</v>
      </c>
      <c r="Q39" s="391"/>
      <c r="R39" s="391"/>
      <c r="S39" s="385">
        <f>AVERAGE(N10:R10)*S38/3600*1000</f>
        <v>26.521951499999997</v>
      </c>
      <c r="T39" s="391"/>
      <c r="U39" s="391"/>
      <c r="V39" s="385">
        <f>AVERAGE(N10:U10)*V38/3600*1000</f>
        <v>26.521951499999997</v>
      </c>
      <c r="W39" s="390"/>
      <c r="X39" s="391"/>
      <c r="Y39" s="385">
        <f>AVERAGE(N10:X10)*Y38/3600*1000</f>
        <v>26.521951499999997</v>
      </c>
      <c r="Z39" s="391"/>
      <c r="AA39" s="391"/>
      <c r="AB39" s="385">
        <f>AVERAGE(W10:AA10)*AB38/3600*1000</f>
        <v>26.521951499999997</v>
      </c>
      <c r="AC39" s="383">
        <f>AC10*AC38/3600*1000</f>
        <v>26.521951499999997</v>
      </c>
      <c r="AD39" s="384">
        <f>AD10*AD38/3600*1000</f>
        <v>26.521951499999997</v>
      </c>
      <c r="AE39" s="385">
        <f>AE10*AE38/3600*1000</f>
        <v>26.521951500000007</v>
      </c>
      <c r="AG39" s="201"/>
      <c r="AH39" s="201"/>
      <c r="AI39" s="201"/>
      <c r="AJ39" s="201"/>
      <c r="AK39" s="73"/>
      <c r="AL39" s="201"/>
      <c r="AM39" s="201"/>
      <c r="AN39" s="201"/>
      <c r="AO39" s="384"/>
      <c r="AP39" s="379"/>
      <c r="AQ39" s="379"/>
      <c r="AR39" s="379"/>
      <c r="AS39" s="379"/>
      <c r="AT39" s="379"/>
    </row>
    <row r="40" spans="1:46" s="381" customFormat="1" ht="13">
      <c r="A40" s="382" t="s">
        <v>458</v>
      </c>
      <c r="B40" s="383"/>
      <c r="C40" s="384"/>
      <c r="D40" s="384"/>
      <c r="E40" s="385"/>
      <c r="F40" s="386"/>
      <c r="G40" s="386"/>
      <c r="H40" s="384"/>
      <c r="I40" s="386"/>
      <c r="J40" s="386"/>
      <c r="K40" s="390"/>
      <c r="L40" s="391"/>
      <c r="M40" s="385">
        <f>M39/0.9</f>
        <v>29.468834999999995</v>
      </c>
      <c r="N40" s="391"/>
      <c r="O40" s="391"/>
      <c r="P40" s="385">
        <f>P39/0.9</f>
        <v>29.468834999999995</v>
      </c>
      <c r="Q40" s="391"/>
      <c r="R40" s="391"/>
      <c r="S40" s="385">
        <f>S39/0.9</f>
        <v>29.468834999999995</v>
      </c>
      <c r="T40" s="391"/>
      <c r="U40" s="391"/>
      <c r="V40" s="385">
        <f>V39/0.9</f>
        <v>29.468834999999995</v>
      </c>
      <c r="W40" s="390"/>
      <c r="X40" s="391"/>
      <c r="Y40" s="385">
        <f>Y39/0.9</f>
        <v>29.468834999999995</v>
      </c>
      <c r="Z40" s="391"/>
      <c r="AA40" s="391"/>
      <c r="AB40" s="385">
        <f>AB39/0.9</f>
        <v>29.468834999999995</v>
      </c>
      <c r="AC40" s="383"/>
      <c r="AD40" s="384"/>
      <c r="AE40" s="385"/>
      <c r="AG40" s="201"/>
      <c r="AH40" s="201"/>
      <c r="AI40" s="201"/>
      <c r="AJ40" s="201"/>
      <c r="AK40" s="73"/>
      <c r="AL40" s="201"/>
      <c r="AM40" s="201"/>
      <c r="AN40" s="201"/>
      <c r="AO40" s="384"/>
      <c r="AP40" s="379"/>
      <c r="AQ40" s="379"/>
      <c r="AR40" s="379"/>
      <c r="AS40" s="379"/>
      <c r="AT40" s="379"/>
    </row>
    <row r="41" spans="1:46">
      <c r="B41" s="7"/>
      <c r="C41" s="8"/>
      <c r="D41" s="8"/>
      <c r="E41" s="9"/>
      <c r="F41" s="187"/>
      <c r="G41" s="187"/>
      <c r="H41" s="8"/>
      <c r="I41" s="187"/>
      <c r="J41" s="187"/>
      <c r="K41" s="7"/>
      <c r="L41" s="8"/>
      <c r="M41" s="9"/>
      <c r="N41" s="8"/>
      <c r="O41" s="8"/>
      <c r="P41" s="9"/>
      <c r="Q41" s="8"/>
      <c r="R41" s="8"/>
      <c r="S41" s="9"/>
      <c r="T41" s="8"/>
      <c r="U41" s="8"/>
      <c r="V41" s="9"/>
      <c r="W41" s="7"/>
      <c r="X41" s="8"/>
      <c r="Y41" s="9"/>
      <c r="Z41" s="8"/>
      <c r="AA41" s="8"/>
      <c r="AB41" s="9"/>
      <c r="AC41" s="7"/>
      <c r="AD41" s="8"/>
      <c r="AE41" s="9"/>
      <c r="AG41" s="8"/>
      <c r="AH41" s="8"/>
      <c r="AI41" s="8"/>
      <c r="AJ41" s="8"/>
      <c r="AK41" s="8"/>
      <c r="AL41" s="8"/>
      <c r="AM41" s="8"/>
      <c r="AN41" s="8"/>
      <c r="AO41" s="8"/>
    </row>
    <row r="42" spans="1:46" ht="13">
      <c r="A42" s="6" t="s">
        <v>40</v>
      </c>
      <c r="B42" s="7"/>
      <c r="C42" s="8"/>
      <c r="D42" s="8"/>
      <c r="E42" s="9"/>
      <c r="F42" s="187"/>
      <c r="G42" s="187"/>
      <c r="H42" s="8"/>
      <c r="I42" s="187"/>
      <c r="J42" s="187"/>
      <c r="K42" s="7"/>
      <c r="L42" s="8"/>
      <c r="M42" s="9"/>
      <c r="N42" s="8"/>
      <c r="O42" s="8"/>
      <c r="P42" s="9"/>
      <c r="Q42" s="8"/>
      <c r="R42" s="8"/>
      <c r="S42" s="9"/>
      <c r="T42" s="8"/>
      <c r="U42" s="8"/>
      <c r="V42" s="9"/>
      <c r="W42" s="7"/>
      <c r="X42" s="8"/>
      <c r="Y42" s="9"/>
      <c r="Z42" s="8"/>
      <c r="AA42" s="8"/>
      <c r="AB42" s="9"/>
      <c r="AC42" s="7"/>
      <c r="AD42" s="8"/>
      <c r="AE42" s="9"/>
      <c r="AG42" s="12"/>
      <c r="AH42" s="12"/>
      <c r="AI42" s="12"/>
      <c r="AJ42" s="12"/>
      <c r="AK42" s="12"/>
      <c r="AL42" s="12"/>
      <c r="AM42" s="12"/>
      <c r="AN42" s="12"/>
      <c r="AO42" s="8"/>
    </row>
    <row r="43" spans="1:46">
      <c r="A43" s="10" t="s">
        <v>41</v>
      </c>
      <c r="B43" s="7">
        <f>'Base data for vehicles'!$B$21</f>
        <v>66</v>
      </c>
      <c r="C43" s="7">
        <f>'Base data for vehicles'!$B$21</f>
        <v>66</v>
      </c>
      <c r="D43" s="7">
        <f>'Base data for vehicles'!$B$21</f>
        <v>66</v>
      </c>
      <c r="E43" s="30">
        <f>'Base data for vehicles'!$B$44</f>
        <v>73.5</v>
      </c>
      <c r="F43" s="7">
        <f>E43</f>
        <v>73.5</v>
      </c>
      <c r="G43" s="7">
        <f>F43</f>
        <v>73.5</v>
      </c>
      <c r="H43" s="7">
        <f>G43</f>
        <v>73.5</v>
      </c>
      <c r="I43" s="187">
        <f>E43</f>
        <v>73.5</v>
      </c>
      <c r="J43" s="187"/>
      <c r="K43" s="7">
        <f>'Base data for vehicles'!$B$21</f>
        <v>66</v>
      </c>
      <c r="L43" s="8"/>
      <c r="M43" s="9"/>
      <c r="N43" s="7">
        <f>'Base data for vehicles'!$B$21</f>
        <v>66</v>
      </c>
      <c r="O43" s="8"/>
      <c r="P43" s="9"/>
      <c r="Q43" s="7">
        <f>'Base data for vehicles'!$B$21</f>
        <v>66</v>
      </c>
      <c r="R43" s="8"/>
      <c r="S43" s="9"/>
      <c r="T43" s="8">
        <f>E43</f>
        <v>73.5</v>
      </c>
      <c r="U43" s="8"/>
      <c r="V43" s="9"/>
      <c r="W43" s="7">
        <f>'Base data for vehicles'!$B$21</f>
        <v>66</v>
      </c>
      <c r="X43" s="8"/>
      <c r="Y43" s="9"/>
      <c r="Z43" s="7">
        <f>'Base data for vehicles'!$B$21</f>
        <v>66</v>
      </c>
      <c r="AA43" s="8"/>
      <c r="AB43" s="9"/>
      <c r="AC43" s="25"/>
      <c r="AD43" s="26"/>
      <c r="AE43" s="27"/>
      <c r="AG43" s="12"/>
      <c r="AH43" s="12"/>
      <c r="AI43" s="12"/>
      <c r="AJ43" s="12"/>
      <c r="AK43" s="12"/>
      <c r="AL43" s="12"/>
      <c r="AM43" s="12"/>
      <c r="AN43" s="12"/>
      <c r="AO43" s="8"/>
    </row>
    <row r="44" spans="1:46">
      <c r="A44" s="10" t="s">
        <v>459</v>
      </c>
      <c r="B44" s="7"/>
      <c r="C44" s="8"/>
      <c r="D44" s="8"/>
      <c r="E44" s="9"/>
      <c r="F44" s="212">
        <f>'Base data for vehicles'!$B$95</f>
        <v>31.135607049608353</v>
      </c>
      <c r="G44" s="212">
        <f>'Base data for vehicles'!$B$95</f>
        <v>31.135607049608353</v>
      </c>
      <c r="H44" s="212">
        <f>'Base data for vehicles'!$B$95</f>
        <v>31.135607049608353</v>
      </c>
      <c r="I44" s="212">
        <f>'Base data for vehicles'!$B$95</f>
        <v>31.135607049608353</v>
      </c>
      <c r="J44" s="212">
        <f>'Base data for vehicles'!$B$95</f>
        <v>31.135607049608353</v>
      </c>
      <c r="K44" s="7"/>
      <c r="L44" s="212">
        <f>'Base data for vehicles'!$B$95</f>
        <v>31.135607049608353</v>
      </c>
      <c r="M44" s="9"/>
      <c r="N44" s="8"/>
      <c r="O44" s="212">
        <f>'Base data for vehicles'!$B$95</f>
        <v>31.135607049608353</v>
      </c>
      <c r="P44" s="9"/>
      <c r="Q44" s="8"/>
      <c r="R44" s="212">
        <f>'Base data for vehicles'!$B$95</f>
        <v>31.135607049608353</v>
      </c>
      <c r="S44" s="9"/>
      <c r="T44" s="8"/>
      <c r="U44" s="212">
        <f>'Base data for vehicles'!$B$95</f>
        <v>31.135607049608353</v>
      </c>
      <c r="V44" s="9"/>
      <c r="W44" s="7"/>
      <c r="X44" s="212">
        <f>'Base data for vehicles'!$B$95</f>
        <v>31.135607049608353</v>
      </c>
      <c r="Y44" s="9"/>
      <c r="Z44" s="8"/>
      <c r="AA44" s="212">
        <f>'Base data for vehicles'!$B$95</f>
        <v>31.135607049608353</v>
      </c>
      <c r="AB44" s="9"/>
      <c r="AC44" s="212">
        <f>'Base data for vehicles'!$B$95</f>
        <v>31.135607049608353</v>
      </c>
      <c r="AD44" s="212">
        <f>'Base data for vehicles'!$B$95</f>
        <v>31.135607049608353</v>
      </c>
      <c r="AE44" s="212">
        <f>'Base data for vehicles'!$B$95</f>
        <v>31.135607049608353</v>
      </c>
      <c r="AG44" s="12"/>
      <c r="AH44" s="12"/>
      <c r="AI44" s="12"/>
      <c r="AJ44" s="12"/>
      <c r="AK44" s="12"/>
      <c r="AL44" s="12"/>
      <c r="AM44" s="12"/>
      <c r="AN44" s="12"/>
    </row>
    <row r="45" spans="1:46">
      <c r="A45" s="10" t="s">
        <v>44</v>
      </c>
      <c r="B45" s="7"/>
      <c r="C45" s="8"/>
      <c r="D45" s="8"/>
      <c r="E45" s="9"/>
      <c r="F45" s="187"/>
      <c r="G45" s="187"/>
      <c r="H45" s="8"/>
      <c r="I45" s="187"/>
      <c r="J45" s="187"/>
      <c r="K45" s="7"/>
      <c r="L45" s="8"/>
      <c r="M45" s="9"/>
      <c r="N45" s="8"/>
      <c r="O45" s="8"/>
      <c r="P45" s="9"/>
      <c r="Q45" s="8"/>
      <c r="R45" s="8"/>
      <c r="S45" s="9"/>
      <c r="T45" s="8"/>
      <c r="U45" s="8"/>
      <c r="V45" s="9"/>
      <c r="W45" s="7"/>
      <c r="X45" s="8"/>
      <c r="Y45" s="9"/>
      <c r="Z45" s="8"/>
      <c r="AA45" s="8"/>
      <c r="AB45" s="9"/>
      <c r="AC45" s="7">
        <f>$W$67</f>
        <v>200</v>
      </c>
      <c r="AD45" s="8">
        <f>$W$67</f>
        <v>200</v>
      </c>
      <c r="AE45" s="9">
        <f>$W$67</f>
        <v>200</v>
      </c>
      <c r="AG45" s="12"/>
      <c r="AH45" s="12"/>
      <c r="AI45" s="12"/>
      <c r="AJ45" s="12"/>
      <c r="AK45" s="12"/>
      <c r="AL45" s="12"/>
      <c r="AM45" s="12"/>
      <c r="AN45" s="12"/>
    </row>
    <row r="46" spans="1:46">
      <c r="A46" s="10" t="s">
        <v>45</v>
      </c>
      <c r="B46" s="7"/>
      <c r="C46" s="8"/>
      <c r="D46" s="8"/>
      <c r="E46" s="9"/>
      <c r="F46" s="187"/>
      <c r="G46" s="187"/>
      <c r="H46" s="8"/>
      <c r="I46" s="187"/>
      <c r="J46" s="187"/>
      <c r="K46" s="7"/>
      <c r="L46" s="8"/>
      <c r="M46" s="9"/>
      <c r="N46" s="8"/>
      <c r="O46" s="8"/>
      <c r="P46" s="9"/>
      <c r="Q46" s="8"/>
      <c r="R46" s="8"/>
      <c r="S46" s="9"/>
      <c r="T46" s="8"/>
      <c r="U46" s="8"/>
      <c r="V46" s="9"/>
      <c r="W46" s="7"/>
      <c r="X46" s="8"/>
      <c r="Y46" s="9"/>
      <c r="Z46" s="8"/>
      <c r="AA46" s="8"/>
      <c r="AB46" s="9"/>
      <c r="AC46" s="7">
        <v>25</v>
      </c>
      <c r="AD46" s="8">
        <v>25</v>
      </c>
      <c r="AE46" s="9"/>
      <c r="AG46" s="12"/>
      <c r="AH46" s="12"/>
      <c r="AI46" s="12"/>
      <c r="AJ46" s="12"/>
      <c r="AK46" s="12"/>
      <c r="AL46" s="12"/>
      <c r="AM46" s="12"/>
      <c r="AN46" s="12"/>
    </row>
    <row r="47" spans="1:46">
      <c r="A47" s="10" t="s">
        <v>46</v>
      </c>
      <c r="B47" s="7">
        <v>100</v>
      </c>
      <c r="C47" s="8">
        <v>100</v>
      </c>
      <c r="D47" s="8">
        <f>W68</f>
        <v>1725</v>
      </c>
      <c r="E47" s="198">
        <f>W69</f>
        <v>3750</v>
      </c>
      <c r="F47" s="187">
        <f>$B47</f>
        <v>100</v>
      </c>
      <c r="G47" s="187">
        <f>$B47</f>
        <v>100</v>
      </c>
      <c r="H47" s="8">
        <f>W68</f>
        <v>1725</v>
      </c>
      <c r="I47" s="187">
        <v>2500</v>
      </c>
      <c r="J47" s="187"/>
      <c r="K47" s="7">
        <f>$B47</f>
        <v>100</v>
      </c>
      <c r="L47" s="8"/>
      <c r="M47" s="9"/>
      <c r="N47" s="8">
        <f>$B47</f>
        <v>100</v>
      </c>
      <c r="O47" s="8"/>
      <c r="P47" s="9"/>
      <c r="Q47" s="8">
        <f>W68</f>
        <v>1725</v>
      </c>
      <c r="R47" s="8"/>
      <c r="S47" s="9"/>
      <c r="T47" s="8">
        <f>W69</f>
        <v>3750</v>
      </c>
      <c r="U47" s="8"/>
      <c r="V47" s="9"/>
      <c r="W47" s="7">
        <f>$B47</f>
        <v>100</v>
      </c>
      <c r="X47" s="8"/>
      <c r="Y47" s="9"/>
      <c r="Z47" s="8">
        <f>$B47</f>
        <v>100</v>
      </c>
      <c r="AA47" s="8"/>
      <c r="AB47" s="9"/>
      <c r="AC47" s="7">
        <f>$B47</f>
        <v>100</v>
      </c>
      <c r="AD47" s="8">
        <f>$B47</f>
        <v>100</v>
      </c>
      <c r="AE47" s="9">
        <f>W69</f>
        <v>3750</v>
      </c>
      <c r="AG47" s="12"/>
      <c r="AH47" s="12"/>
      <c r="AI47" s="12"/>
      <c r="AJ47" s="12"/>
      <c r="AK47" s="12"/>
      <c r="AL47" s="12"/>
      <c r="AM47" s="12"/>
      <c r="AN47" s="12"/>
    </row>
    <row r="48" spans="1:46">
      <c r="A48" s="10" t="s">
        <v>48</v>
      </c>
      <c r="B48" s="7"/>
      <c r="C48" s="8"/>
      <c r="D48" s="8"/>
      <c r="E48" s="9"/>
      <c r="F48" s="212">
        <f>$W70*1000/3.6</f>
        <v>83333.333333333328</v>
      </c>
      <c r="G48" s="212">
        <f>$W70*1000/3.6</f>
        <v>83333.333333333328</v>
      </c>
      <c r="H48" s="212">
        <f>$W70*1000/3.6</f>
        <v>83333.333333333328</v>
      </c>
      <c r="I48" s="212">
        <f>$W70*1000/3.6</f>
        <v>83333.333333333328</v>
      </c>
      <c r="J48" s="212">
        <f>$W70*1000/3.6</f>
        <v>83333.333333333328</v>
      </c>
      <c r="K48" s="7"/>
      <c r="L48" s="29">
        <f>$W70*1000/3.6</f>
        <v>83333.333333333328</v>
      </c>
      <c r="M48" s="30"/>
      <c r="N48" s="8"/>
      <c r="O48" s="29">
        <f>$W70*1000/3.6</f>
        <v>83333.333333333328</v>
      </c>
      <c r="P48" s="30"/>
      <c r="Q48" s="8"/>
      <c r="R48" s="29">
        <f>$W70*1000/3.6</f>
        <v>83333.333333333328</v>
      </c>
      <c r="S48" s="30"/>
      <c r="T48" s="8"/>
      <c r="U48" s="29">
        <f>$W70*1000/3.6</f>
        <v>83333.333333333328</v>
      </c>
      <c r="V48" s="30"/>
      <c r="W48" s="7"/>
      <c r="X48" s="29">
        <f>$W70*1000/3.6</f>
        <v>83333.333333333328</v>
      </c>
      <c r="Y48" s="30"/>
      <c r="Z48" s="8"/>
      <c r="AA48" s="29">
        <f>$W70*1000/3.6</f>
        <v>83333.333333333328</v>
      </c>
      <c r="AB48" s="30"/>
      <c r="AC48" s="28">
        <f>$W70*1000/3.6</f>
        <v>83333.333333333328</v>
      </c>
      <c r="AD48" s="29">
        <f>$W70*1000/3.6</f>
        <v>83333.333333333328</v>
      </c>
      <c r="AE48" s="30">
        <f>$W70*1000/3.6</f>
        <v>83333.333333333328</v>
      </c>
      <c r="AG48" s="12"/>
      <c r="AH48" s="12"/>
      <c r="AI48" s="12"/>
      <c r="AJ48" s="12"/>
      <c r="AK48" s="12"/>
      <c r="AL48" s="12"/>
      <c r="AM48" s="12"/>
      <c r="AN48" s="12"/>
    </row>
    <row r="49" spans="1:41">
      <c r="A49" s="10" t="s">
        <v>50</v>
      </c>
      <c r="B49" s="7"/>
      <c r="C49" s="8"/>
      <c r="D49" s="8"/>
      <c r="E49" s="9"/>
      <c r="F49" s="212">
        <f>'Base data for vehicles'!$B$110</f>
        <v>35.583550913838117</v>
      </c>
      <c r="G49" s="212">
        <f>'Base data for vehicles'!$B$110</f>
        <v>35.583550913838117</v>
      </c>
      <c r="H49" s="212">
        <f>'Base data for vehicles'!$B$110</f>
        <v>35.583550913838117</v>
      </c>
      <c r="I49" s="212">
        <f>'Base data for vehicles'!$B$110</f>
        <v>35.583550913838117</v>
      </c>
      <c r="J49" s="187"/>
      <c r="K49" s="7"/>
      <c r="L49" s="212">
        <f>'Base data for vehicles'!$B$110</f>
        <v>35.583550913838117</v>
      </c>
      <c r="M49" s="9"/>
      <c r="N49" s="8"/>
      <c r="O49" s="212">
        <f>'Base data for vehicles'!$B$110</f>
        <v>35.583550913838117</v>
      </c>
      <c r="P49" s="9"/>
      <c r="Q49" s="8"/>
      <c r="R49" s="212">
        <f>'Base data for vehicles'!$B$110</f>
        <v>35.583550913838117</v>
      </c>
      <c r="S49" s="9"/>
      <c r="T49" s="8"/>
      <c r="U49" s="212">
        <f>'Base data for vehicles'!$B$110</f>
        <v>35.583550913838117</v>
      </c>
      <c r="V49" s="9"/>
      <c r="W49" s="7"/>
      <c r="X49" s="212">
        <f>'Base data for vehicles'!$B$110</f>
        <v>35.583550913838117</v>
      </c>
      <c r="Y49" s="9"/>
      <c r="Z49" s="8"/>
      <c r="AA49" s="212">
        <f>'Base data for vehicles'!$B$110</f>
        <v>35.583550913838117</v>
      </c>
      <c r="AB49" s="9"/>
      <c r="AC49" s="212">
        <f>'Base data for vehicles'!$B$110</f>
        <v>35.583550913838117</v>
      </c>
      <c r="AD49" s="212">
        <f>'Base data for vehicles'!$B$110</f>
        <v>35.583550913838117</v>
      </c>
      <c r="AE49" s="212">
        <f>'Base data for vehicles'!$B$110</f>
        <v>35.583550913838117</v>
      </c>
      <c r="AG49" s="12"/>
      <c r="AH49" s="12"/>
      <c r="AI49" s="12"/>
      <c r="AJ49" s="12"/>
      <c r="AK49" s="12"/>
      <c r="AL49" s="12"/>
      <c r="AM49" s="12"/>
      <c r="AN49" s="12"/>
    </row>
    <row r="50" spans="1:41" ht="13">
      <c r="A50" s="225" t="s">
        <v>51</v>
      </c>
      <c r="B50" s="7"/>
      <c r="C50" s="8"/>
      <c r="D50" s="8"/>
      <c r="E50" s="9"/>
      <c r="F50" s="187"/>
      <c r="G50" s="187"/>
      <c r="H50" s="8"/>
      <c r="I50" s="187"/>
      <c r="J50" s="187"/>
      <c r="K50" s="7"/>
      <c r="L50" s="8"/>
      <c r="M50" s="9"/>
      <c r="N50" s="8"/>
      <c r="O50" s="8"/>
      <c r="P50" s="9"/>
      <c r="Q50" s="8"/>
      <c r="R50" s="8"/>
      <c r="S50" s="9"/>
      <c r="T50" s="8"/>
      <c r="U50" s="8"/>
      <c r="V50" s="9"/>
      <c r="W50" s="7"/>
      <c r="X50" s="8"/>
      <c r="Y50" s="9"/>
      <c r="Z50" s="8"/>
      <c r="AA50" s="8"/>
      <c r="AB50" s="9"/>
      <c r="AC50" s="7"/>
      <c r="AD50" s="8"/>
      <c r="AE50" s="9"/>
      <c r="AG50" s="12"/>
      <c r="AH50" s="12"/>
      <c r="AI50" s="12"/>
      <c r="AJ50" s="12"/>
      <c r="AK50" s="12"/>
      <c r="AL50" s="12"/>
      <c r="AM50" s="12"/>
      <c r="AN50" s="12"/>
      <c r="AO50" s="8"/>
    </row>
    <row r="51" spans="1:41">
      <c r="B51" s="7"/>
      <c r="C51" s="8"/>
      <c r="D51" s="8"/>
      <c r="E51" s="9"/>
      <c r="F51" s="187"/>
      <c r="G51" s="187"/>
      <c r="H51" s="8"/>
      <c r="I51" s="187"/>
      <c r="J51" s="187"/>
      <c r="K51" s="7"/>
      <c r="L51" s="8"/>
      <c r="M51" s="9"/>
      <c r="N51" s="8"/>
      <c r="O51" s="8"/>
      <c r="P51" s="9"/>
      <c r="Q51" s="8"/>
      <c r="R51" s="8"/>
      <c r="S51" s="9"/>
      <c r="T51" s="8"/>
      <c r="U51" s="8"/>
      <c r="V51" s="9"/>
      <c r="W51" s="7"/>
      <c r="X51" s="8"/>
      <c r="Y51" s="9"/>
      <c r="Z51" s="8"/>
      <c r="AA51" s="8"/>
      <c r="AB51" s="9"/>
      <c r="AC51" s="7"/>
      <c r="AD51" s="8"/>
      <c r="AE51" s="9"/>
      <c r="AG51" s="12"/>
      <c r="AH51" s="12"/>
      <c r="AI51" s="12"/>
      <c r="AJ51" s="12"/>
      <c r="AK51" s="12"/>
      <c r="AL51" s="12"/>
      <c r="AM51" s="12"/>
      <c r="AN51" s="12"/>
      <c r="AO51" s="8"/>
    </row>
    <row r="52" spans="1:41">
      <c r="A52" s="10" t="s">
        <v>52</v>
      </c>
      <c r="B52" s="7">
        <f t="shared" ref="B52:I52" si="5">B43*B22</f>
        <v>5280</v>
      </c>
      <c r="C52" s="8">
        <f t="shared" si="5"/>
        <v>5280</v>
      </c>
      <c r="D52" s="8">
        <f t="shared" si="5"/>
        <v>5280</v>
      </c>
      <c r="E52" s="9">
        <f t="shared" si="5"/>
        <v>5880</v>
      </c>
      <c r="F52" s="187">
        <f t="shared" si="5"/>
        <v>4410</v>
      </c>
      <c r="G52" s="187">
        <f t="shared" si="5"/>
        <v>4410</v>
      </c>
      <c r="H52" s="8">
        <f t="shared" si="5"/>
        <v>5880</v>
      </c>
      <c r="I52" s="187">
        <f t="shared" si="5"/>
        <v>4410</v>
      </c>
      <c r="J52" s="187"/>
      <c r="K52" s="7">
        <f>K43*K22</f>
        <v>1750.4487989999998</v>
      </c>
      <c r="L52" s="8"/>
      <c r="M52" s="9"/>
      <c r="N52" s="8">
        <f>N43*N22</f>
        <v>1750.4487989999998</v>
      </c>
      <c r="O52" s="8"/>
      <c r="P52" s="9"/>
      <c r="Q52" s="8">
        <f>Q43*Q22</f>
        <v>1750.4487989999998</v>
      </c>
      <c r="R52" s="8"/>
      <c r="S52" s="9"/>
      <c r="T52" s="8">
        <f>T43*T22</f>
        <v>1949.3634352499998</v>
      </c>
      <c r="U52" s="8"/>
      <c r="V52" s="9"/>
      <c r="W52" s="7">
        <f>W43*W22</f>
        <v>1750.4487989999998</v>
      </c>
      <c r="X52" s="8"/>
      <c r="Y52" s="9"/>
      <c r="Z52" s="8">
        <f>Z43*Z22</f>
        <v>1750.4487989999998</v>
      </c>
      <c r="AA52" s="8"/>
      <c r="AB52" s="9"/>
      <c r="AC52" s="7"/>
      <c r="AD52" s="8"/>
      <c r="AE52" s="9"/>
      <c r="AG52" s="8"/>
      <c r="AH52" s="8"/>
      <c r="AI52" s="8"/>
      <c r="AJ52" s="8"/>
      <c r="AK52" s="8"/>
      <c r="AL52" s="8"/>
      <c r="AM52" s="8"/>
      <c r="AN52" s="8"/>
      <c r="AO52" s="8"/>
    </row>
    <row r="53" spans="1:41">
      <c r="A53" s="10" t="s">
        <v>53</v>
      </c>
      <c r="B53" s="7"/>
      <c r="C53" s="8"/>
      <c r="D53" s="8"/>
      <c r="E53" s="9"/>
      <c r="F53" s="212">
        <f>F44*F23</f>
        <v>1245.4242819843341</v>
      </c>
      <c r="G53" s="212">
        <f>G44*G23</f>
        <v>1245.4242819843341</v>
      </c>
      <c r="H53" s="212">
        <f>H44*H23</f>
        <v>1245.4242819843341</v>
      </c>
      <c r="I53" s="212">
        <f>I44*I23</f>
        <v>1245.4242819843341</v>
      </c>
      <c r="J53" s="212">
        <f>J23*J44</f>
        <v>2490.8485639686683</v>
      </c>
      <c r="K53" s="7"/>
      <c r="L53" s="29">
        <f>L44*L23</f>
        <v>1868.1364229765013</v>
      </c>
      <c r="M53" s="30"/>
      <c r="N53" s="8"/>
      <c r="O53" s="29">
        <f>O44*O23</f>
        <v>1868.1364229765013</v>
      </c>
      <c r="P53" s="30"/>
      <c r="Q53" s="8"/>
      <c r="R53" s="29">
        <f>R44*R23</f>
        <v>1868.1364229765013</v>
      </c>
      <c r="S53" s="30"/>
      <c r="T53" s="8"/>
      <c r="U53" s="29">
        <f>U44*U23</f>
        <v>1868.1364229765013</v>
      </c>
      <c r="V53" s="30"/>
      <c r="W53" s="7"/>
      <c r="X53" s="29">
        <f>X44*X23</f>
        <v>1868.1364229765013</v>
      </c>
      <c r="Y53" s="30"/>
      <c r="Z53" s="8"/>
      <c r="AA53" s="29">
        <f>AA44*AA23</f>
        <v>1868.1364229765013</v>
      </c>
      <c r="AB53" s="30"/>
      <c r="AC53" s="28">
        <f>AC23*AC44</f>
        <v>2490.8485639686683</v>
      </c>
      <c r="AD53" s="29">
        <f>AD23*AD44</f>
        <v>2490.8485639686683</v>
      </c>
      <c r="AE53" s="30">
        <f>AE23*AE44</f>
        <v>2490.8485639686683</v>
      </c>
      <c r="AG53" s="8"/>
      <c r="AH53" s="8"/>
      <c r="AI53" s="8"/>
      <c r="AJ53" s="8"/>
      <c r="AK53" s="8"/>
      <c r="AL53" s="8"/>
      <c r="AM53" s="8"/>
      <c r="AN53" s="8"/>
      <c r="AO53" s="8"/>
    </row>
    <row r="54" spans="1:41">
      <c r="A54" s="10" t="s">
        <v>54</v>
      </c>
      <c r="B54" s="28"/>
      <c r="C54" s="29"/>
      <c r="D54" s="29"/>
      <c r="E54" s="30"/>
      <c r="F54" s="187"/>
      <c r="G54" s="187"/>
      <c r="H54" s="29"/>
      <c r="I54" s="187"/>
      <c r="J54" s="212"/>
      <c r="K54" s="28"/>
      <c r="L54" s="8"/>
      <c r="M54" s="9"/>
      <c r="N54" s="29"/>
      <c r="O54" s="8"/>
      <c r="P54" s="9"/>
      <c r="Q54" s="29"/>
      <c r="R54" s="8"/>
      <c r="S54" s="9"/>
      <c r="T54" s="29"/>
      <c r="U54" s="8"/>
      <c r="V54" s="9"/>
      <c r="W54" s="28"/>
      <c r="X54" s="8"/>
      <c r="Y54" s="9"/>
      <c r="Z54" s="29"/>
      <c r="AA54" s="8"/>
      <c r="AB54" s="9"/>
      <c r="AC54" s="28">
        <f>AC45*AC29</f>
        <v>10000</v>
      </c>
      <c r="AD54" s="29">
        <f>AD45*AD29</f>
        <v>10000</v>
      </c>
      <c r="AE54" s="30">
        <f>AE45*AE29</f>
        <v>10000</v>
      </c>
      <c r="AG54" s="8"/>
      <c r="AH54" s="8"/>
      <c r="AI54" s="8"/>
      <c r="AJ54" s="8"/>
      <c r="AK54" s="8"/>
      <c r="AL54" s="8"/>
      <c r="AM54" s="8"/>
      <c r="AN54" s="8"/>
      <c r="AO54" s="8"/>
    </row>
    <row r="55" spans="1:41">
      <c r="A55" s="10" t="s">
        <v>55</v>
      </c>
      <c r="B55" s="28"/>
      <c r="C55" s="29"/>
      <c r="D55" s="29"/>
      <c r="E55" s="30"/>
      <c r="F55" s="187"/>
      <c r="G55" s="187"/>
      <c r="H55" s="29"/>
      <c r="I55" s="187"/>
      <c r="J55" s="212"/>
      <c r="K55" s="28"/>
      <c r="L55" s="8"/>
      <c r="M55" s="9"/>
      <c r="N55" s="29"/>
      <c r="O55" s="8"/>
      <c r="P55" s="9"/>
      <c r="Q55" s="29"/>
      <c r="R55" s="8"/>
      <c r="S55" s="9"/>
      <c r="T55" s="29"/>
      <c r="U55" s="8"/>
      <c r="V55" s="9"/>
      <c r="W55" s="28"/>
      <c r="X55" s="8"/>
      <c r="Y55" s="9"/>
      <c r="Z55" s="29"/>
      <c r="AA55" s="8"/>
      <c r="AB55" s="9"/>
      <c r="AC55" s="28">
        <f>AC29*AC46</f>
        <v>1250</v>
      </c>
      <c r="AD55" s="29">
        <f>AD46*AD29</f>
        <v>1250</v>
      </c>
      <c r="AE55" s="30"/>
      <c r="AG55" s="8"/>
      <c r="AH55" s="8"/>
      <c r="AI55" s="8"/>
      <c r="AJ55" s="8"/>
      <c r="AK55" s="8"/>
      <c r="AL55" s="8"/>
      <c r="AM55" s="8"/>
      <c r="AN55" s="8"/>
      <c r="AO55" s="8"/>
    </row>
    <row r="56" spans="1:41">
      <c r="A56" s="10" t="s">
        <v>56</v>
      </c>
      <c r="B56" s="28">
        <f t="shared" ref="B56:I56" si="6">B47*B16</f>
        <v>121.50000000000001</v>
      </c>
      <c r="C56" s="29">
        <f t="shared" si="6"/>
        <v>121.50000000000001</v>
      </c>
      <c r="D56" s="29">
        <f t="shared" si="6"/>
        <v>2095.875</v>
      </c>
      <c r="E56" s="30">
        <f t="shared" si="6"/>
        <v>4032.0796460176998</v>
      </c>
      <c r="F56" s="212">
        <f t="shared" si="6"/>
        <v>93.461538461538467</v>
      </c>
      <c r="G56" s="212">
        <f t="shared" si="6"/>
        <v>93.461538461538467</v>
      </c>
      <c r="H56" s="29">
        <f t="shared" si="6"/>
        <v>1612.2115384615386</v>
      </c>
      <c r="I56" s="212">
        <f t="shared" si="6"/>
        <v>2124.1258741258744</v>
      </c>
      <c r="J56" s="212"/>
      <c r="K56" s="28">
        <f>K47*K16</f>
        <v>70.47</v>
      </c>
      <c r="L56" s="29"/>
      <c r="M56" s="30"/>
      <c r="N56" s="29">
        <f>N47*N16</f>
        <v>70.47</v>
      </c>
      <c r="O56" s="29"/>
      <c r="P56" s="30"/>
      <c r="Q56" s="29">
        <f>Q47*Q16</f>
        <v>1215.6075000000001</v>
      </c>
      <c r="R56" s="29"/>
      <c r="S56" s="30"/>
      <c r="T56" s="29">
        <f>T47*T16</f>
        <v>2431.8634969325158</v>
      </c>
      <c r="U56" s="29"/>
      <c r="V56" s="30"/>
      <c r="W56" s="28">
        <f>W47*W16</f>
        <v>75.330000000000013</v>
      </c>
      <c r="X56" s="29"/>
      <c r="Y56" s="30"/>
      <c r="Z56" s="29">
        <f>Z47*Z16</f>
        <v>75.330000000000013</v>
      </c>
      <c r="AA56" s="29"/>
      <c r="AB56" s="30"/>
      <c r="AC56" s="28">
        <f>AC47*AC16</f>
        <v>103.84615384615385</v>
      </c>
      <c r="AD56" s="29">
        <f>AD47*AD16</f>
        <v>94.921875</v>
      </c>
      <c r="AE56" s="30">
        <f>AE47*AE16</f>
        <v>2531.25</v>
      </c>
      <c r="AG56" s="8"/>
      <c r="AH56" s="8"/>
      <c r="AI56" s="8"/>
      <c r="AJ56" s="8"/>
      <c r="AK56" s="8"/>
      <c r="AL56" s="8"/>
      <c r="AM56" s="8"/>
      <c r="AN56" s="8"/>
      <c r="AO56" s="8"/>
    </row>
    <row r="57" spans="1:41">
      <c r="A57" s="10" t="s">
        <v>565</v>
      </c>
      <c r="B57" s="28"/>
      <c r="C57" s="29"/>
      <c r="D57" s="29"/>
      <c r="E57" s="30"/>
      <c r="F57" s="212">
        <f>MAX(F48*F18,F49*F30)</f>
        <v>1581.4911517261385</v>
      </c>
      <c r="G57" s="212">
        <f t="shared" ref="G57:AE57" si="7">MAX(G48*G18,G49*G30)</f>
        <v>1581.4911517261385</v>
      </c>
      <c r="H57" s="212">
        <f t="shared" si="7"/>
        <v>1581.4911517261385</v>
      </c>
      <c r="I57" s="212">
        <f t="shared" si="7"/>
        <v>1581.4911517261385</v>
      </c>
      <c r="J57" s="212">
        <f t="shared" si="7"/>
        <v>15387.537993920972</v>
      </c>
      <c r="K57" s="212">
        <f>MAX(K48*K18,K49*K30)</f>
        <v>0</v>
      </c>
      <c r="L57" s="212">
        <f t="shared" si="7"/>
        <v>5000.9498480243155</v>
      </c>
      <c r="M57" s="212">
        <f t="shared" si="7"/>
        <v>0</v>
      </c>
      <c r="N57" s="212">
        <f t="shared" si="7"/>
        <v>0</v>
      </c>
      <c r="O57" s="212">
        <f t="shared" si="7"/>
        <v>5000.9498480243155</v>
      </c>
      <c r="P57" s="212">
        <f t="shared" si="7"/>
        <v>0</v>
      </c>
      <c r="Q57" s="212">
        <f t="shared" si="7"/>
        <v>0</v>
      </c>
      <c r="R57" s="212">
        <f t="shared" si="7"/>
        <v>5000.9498480243155</v>
      </c>
      <c r="S57" s="212">
        <f t="shared" si="7"/>
        <v>0</v>
      </c>
      <c r="T57" s="212">
        <f t="shared" si="7"/>
        <v>0</v>
      </c>
      <c r="U57" s="212">
        <f t="shared" si="7"/>
        <v>5000.9498480243155</v>
      </c>
      <c r="V57" s="212">
        <f t="shared" si="7"/>
        <v>0</v>
      </c>
      <c r="W57" s="212">
        <f t="shared" si="7"/>
        <v>0</v>
      </c>
      <c r="X57" s="212">
        <f>MAX(X48*X18,X49*X30)</f>
        <v>2692.8191489361702</v>
      </c>
      <c r="Y57" s="212">
        <f t="shared" si="7"/>
        <v>0</v>
      </c>
      <c r="Z57" s="212">
        <f t="shared" si="7"/>
        <v>0</v>
      </c>
      <c r="AA57" s="212">
        <f t="shared" si="7"/>
        <v>2692.8191489361702</v>
      </c>
      <c r="AB57" s="212">
        <f t="shared" si="7"/>
        <v>0</v>
      </c>
      <c r="AC57" s="212">
        <f t="shared" si="7"/>
        <v>1565.6762402088771</v>
      </c>
      <c r="AD57" s="212">
        <f t="shared" si="7"/>
        <v>1565.6762402088771</v>
      </c>
      <c r="AE57" s="212">
        <f t="shared" si="7"/>
        <v>1565.6762402088771</v>
      </c>
      <c r="AG57" s="12"/>
      <c r="AH57" s="12"/>
      <c r="AI57" s="12"/>
      <c r="AJ57" s="12"/>
      <c r="AK57" s="12"/>
      <c r="AL57" s="12"/>
      <c r="AM57" s="12"/>
      <c r="AN57" s="12"/>
      <c r="AO57" s="12"/>
    </row>
    <row r="58" spans="1:41">
      <c r="B58" s="28"/>
      <c r="C58" s="29"/>
      <c r="D58" s="29"/>
      <c r="E58" s="30"/>
      <c r="F58" s="212"/>
      <c r="G58" s="212"/>
      <c r="H58" s="212"/>
      <c r="I58" s="212"/>
      <c r="J58" s="212"/>
      <c r="K58" s="28"/>
      <c r="L58" s="29"/>
      <c r="M58" s="30"/>
      <c r="N58" s="29"/>
      <c r="O58" s="29"/>
      <c r="P58" s="30"/>
      <c r="Q58" s="29"/>
      <c r="R58" s="29"/>
      <c r="S58" s="30"/>
      <c r="T58" s="29"/>
      <c r="U58" s="29"/>
      <c r="V58" s="30"/>
      <c r="W58" s="28"/>
      <c r="X58" s="29"/>
      <c r="Y58" s="30"/>
      <c r="Z58" s="29"/>
      <c r="AA58" s="29"/>
      <c r="AB58" s="30"/>
      <c r="AC58" s="28"/>
      <c r="AD58" s="29"/>
      <c r="AE58" s="30"/>
      <c r="AG58" s="12"/>
      <c r="AH58" s="12"/>
      <c r="AI58" s="12"/>
      <c r="AJ58" s="12"/>
      <c r="AK58" s="12"/>
      <c r="AL58" s="12"/>
      <c r="AM58" s="12"/>
      <c r="AN58" s="12"/>
      <c r="AO58" s="12"/>
    </row>
    <row r="59" spans="1:41">
      <c r="A59" s="26" t="s">
        <v>460</v>
      </c>
      <c r="B59" s="7"/>
      <c r="C59" s="8">
        <v>100</v>
      </c>
      <c r="D59" s="29">
        <v>100</v>
      </c>
      <c r="E59" s="9"/>
      <c r="F59" s="187">
        <f>$AK$59</f>
        <v>0</v>
      </c>
      <c r="G59" s="187">
        <v>100</v>
      </c>
      <c r="H59" s="187">
        <v>100</v>
      </c>
      <c r="I59" s="187">
        <v>100</v>
      </c>
      <c r="J59" s="187">
        <f>$AK$59</f>
        <v>0</v>
      </c>
      <c r="K59" s="7"/>
      <c r="L59" s="8">
        <f>$AK$59</f>
        <v>0</v>
      </c>
      <c r="M59" s="9"/>
      <c r="N59" s="8">
        <v>100</v>
      </c>
      <c r="O59" s="8">
        <f>$AK$59</f>
        <v>0</v>
      </c>
      <c r="P59" s="9"/>
      <c r="Q59" s="8">
        <v>100</v>
      </c>
      <c r="R59" s="8">
        <f>$AK$59</f>
        <v>0</v>
      </c>
      <c r="S59" s="9"/>
      <c r="T59" s="8">
        <v>100</v>
      </c>
      <c r="U59" s="8">
        <f>$AK$59</f>
        <v>0</v>
      </c>
      <c r="V59" s="9"/>
      <c r="W59" s="7"/>
      <c r="X59" s="8">
        <f>$AK$59</f>
        <v>0</v>
      </c>
      <c r="Y59" s="9"/>
      <c r="Z59" s="8">
        <v>100</v>
      </c>
      <c r="AA59" s="8">
        <f>$AK$59</f>
        <v>0</v>
      </c>
      <c r="AB59" s="9"/>
      <c r="AC59" s="7">
        <f>$AK$59</f>
        <v>0</v>
      </c>
      <c r="AD59" s="8">
        <f>$AK$59</f>
        <v>0</v>
      </c>
      <c r="AE59" s="9">
        <f>$AK$59</f>
        <v>0</v>
      </c>
      <c r="AG59" s="12"/>
      <c r="AH59" s="12"/>
      <c r="AI59" s="12"/>
      <c r="AJ59" s="12"/>
      <c r="AK59" s="12"/>
      <c r="AL59" s="12"/>
      <c r="AM59" s="12"/>
      <c r="AN59" s="12"/>
      <c r="AO59" s="12"/>
    </row>
    <row r="60" spans="1:41" ht="13">
      <c r="A60" s="6" t="s">
        <v>59</v>
      </c>
      <c r="B60" s="32">
        <f t="shared" ref="B60:O60" si="8">SUM(B52:B59)</f>
        <v>5401.5</v>
      </c>
      <c r="C60" s="33">
        <f t="shared" si="8"/>
        <v>5501.5</v>
      </c>
      <c r="D60" s="33">
        <f>SUM(D52:D59)</f>
        <v>7475.875</v>
      </c>
      <c r="E60" s="34">
        <f t="shared" si="8"/>
        <v>9912.0796460177007</v>
      </c>
      <c r="F60" s="226">
        <f t="shared" si="8"/>
        <v>7330.3769721720109</v>
      </c>
      <c r="G60" s="226">
        <f t="shared" si="8"/>
        <v>7430.3769721720109</v>
      </c>
      <c r="H60" s="33">
        <f t="shared" si="8"/>
        <v>10419.126972172011</v>
      </c>
      <c r="I60" s="226">
        <f t="shared" si="8"/>
        <v>9461.0413078363472</v>
      </c>
      <c r="J60" s="226">
        <f t="shared" si="8"/>
        <v>17878.38655788964</v>
      </c>
      <c r="K60" s="32">
        <f t="shared" si="8"/>
        <v>1820.9187989999998</v>
      </c>
      <c r="L60" s="33">
        <f t="shared" si="8"/>
        <v>6869.0862710008169</v>
      </c>
      <c r="M60" s="34">
        <f>K60+L60</f>
        <v>8690.005070000816</v>
      </c>
      <c r="N60" s="33">
        <f>SUM(N52:N59)</f>
        <v>1920.9187989999998</v>
      </c>
      <c r="O60" s="33">
        <f t="shared" si="8"/>
        <v>6869.0862710008169</v>
      </c>
      <c r="P60" s="34">
        <f>N60+O60</f>
        <v>8790.005070000816</v>
      </c>
      <c r="Q60" s="33">
        <f>SUM(Q52:Q59)</f>
        <v>3066.0562989999999</v>
      </c>
      <c r="R60" s="33">
        <f>SUM(R52:R59)</f>
        <v>6869.0862710008169</v>
      </c>
      <c r="S60" s="34">
        <f>Q60+R60</f>
        <v>9935.1425700008167</v>
      </c>
      <c r="T60" s="33">
        <f>SUM(T52:T59)</f>
        <v>4481.2269321825152</v>
      </c>
      <c r="U60" s="33">
        <f>SUM(U52:U59)</f>
        <v>6869.0862710008169</v>
      </c>
      <c r="V60" s="34">
        <f>T60+U60</f>
        <v>11350.313203183332</v>
      </c>
      <c r="W60" s="32">
        <f>SUM(W52:W59)</f>
        <v>1825.7787989999997</v>
      </c>
      <c r="X60" s="33">
        <f>SUM(X52:X59)</f>
        <v>4560.9555719126711</v>
      </c>
      <c r="Y60" s="34">
        <f>W60+X60</f>
        <v>6386.7343709126708</v>
      </c>
      <c r="Z60" s="33">
        <f>SUM(Z52:Z59)</f>
        <v>1925.7787989999997</v>
      </c>
      <c r="AA60" s="33">
        <f>SUM(AA52:AA59)</f>
        <v>4560.9555719126711</v>
      </c>
      <c r="AB60" s="34">
        <f>Z60+AA60</f>
        <v>6486.7343709126708</v>
      </c>
      <c r="AC60" s="32">
        <f>SUM(AC52:AC59)</f>
        <v>15410.370958023699</v>
      </c>
      <c r="AD60" s="33">
        <f>SUM(AD52:AD59)</f>
        <v>15401.446679177545</v>
      </c>
      <c r="AE60" s="34">
        <f>SUM(AE52:AE59)</f>
        <v>16587.774804177545</v>
      </c>
      <c r="AG60" s="12"/>
      <c r="AH60" s="12"/>
      <c r="AI60" s="12"/>
      <c r="AJ60" s="12"/>
      <c r="AK60" s="12"/>
      <c r="AL60" s="12"/>
      <c r="AM60" s="12"/>
      <c r="AN60" s="12"/>
      <c r="AO60" s="12"/>
    </row>
    <row r="61" spans="1:41" ht="13">
      <c r="A61" s="227" t="s">
        <v>461</v>
      </c>
      <c r="B61" s="228">
        <f t="shared" ref="B61:J61" si="9">B60-$B60</f>
        <v>0</v>
      </c>
      <c r="C61" s="229">
        <f t="shared" si="9"/>
        <v>100</v>
      </c>
      <c r="D61" s="229">
        <f t="shared" si="9"/>
        <v>2074.375</v>
      </c>
      <c r="E61" s="230">
        <f t="shared" si="9"/>
        <v>4510.5796460177007</v>
      </c>
      <c r="F61" s="228">
        <f t="shared" si="9"/>
        <v>1928.8769721720109</v>
      </c>
      <c r="G61" s="228">
        <f t="shared" si="9"/>
        <v>2028.8769721720109</v>
      </c>
      <c r="H61" s="229">
        <f t="shared" si="9"/>
        <v>5017.6269721720109</v>
      </c>
      <c r="I61" s="228">
        <f t="shared" si="9"/>
        <v>4059.5413078363472</v>
      </c>
      <c r="J61" s="228">
        <f t="shared" si="9"/>
        <v>12476.88655788964</v>
      </c>
      <c r="K61" s="228">
        <v>0</v>
      </c>
      <c r="L61" s="229">
        <v>0</v>
      </c>
      <c r="M61" s="230">
        <f>M60-$B60</f>
        <v>3288.505070000816</v>
      </c>
      <c r="N61" s="229">
        <v>0</v>
      </c>
      <c r="O61" s="229">
        <v>0</v>
      </c>
      <c r="P61" s="230">
        <f>P60-$B60</f>
        <v>3388.505070000816</v>
      </c>
      <c r="Q61" s="229">
        <v>0</v>
      </c>
      <c r="R61" s="229">
        <v>0</v>
      </c>
      <c r="S61" s="230">
        <f>S60-$B60</f>
        <v>4533.6425700008167</v>
      </c>
      <c r="T61" s="229">
        <v>0</v>
      </c>
      <c r="U61" s="229">
        <v>0</v>
      </c>
      <c r="V61" s="230">
        <f>V60-$B60</f>
        <v>5948.813203183332</v>
      </c>
      <c r="W61" s="231">
        <v>0</v>
      </c>
      <c r="X61" s="232">
        <v>0</v>
      </c>
      <c r="Y61" s="233">
        <f>Y60-$B60</f>
        <v>985.23437091267078</v>
      </c>
      <c r="Z61" s="232">
        <v>0</v>
      </c>
      <c r="AA61" s="232">
        <v>0</v>
      </c>
      <c r="AB61" s="233">
        <f>AB60-$B60</f>
        <v>1085.2343709126708</v>
      </c>
      <c r="AC61" s="228">
        <f>AC60-$B60</f>
        <v>10008.870958023699</v>
      </c>
      <c r="AD61" s="229">
        <f>AD60-$B60</f>
        <v>9999.9466791775449</v>
      </c>
      <c r="AE61" s="230">
        <f>AE60-$B60</f>
        <v>11186.274804177545</v>
      </c>
      <c r="AG61" s="12"/>
      <c r="AH61" s="12" t="s">
        <v>71</v>
      </c>
      <c r="AI61" s="12"/>
      <c r="AJ61" s="12"/>
      <c r="AK61" s="12"/>
      <c r="AL61" s="12"/>
      <c r="AM61" s="12"/>
      <c r="AN61" s="12"/>
      <c r="AO61" s="12"/>
    </row>
    <row r="62" spans="1:41" ht="13">
      <c r="A62" s="234" t="s">
        <v>462</v>
      </c>
      <c r="B62" s="235">
        <f t="shared" ref="B62:J62" si="10">ROUND(B61,-2)</f>
        <v>0</v>
      </c>
      <c r="C62" s="236">
        <f t="shared" si="10"/>
        <v>100</v>
      </c>
      <c r="D62" s="236">
        <f t="shared" si="10"/>
        <v>2100</v>
      </c>
      <c r="E62" s="237">
        <f t="shared" si="10"/>
        <v>4500</v>
      </c>
      <c r="F62" s="235">
        <f t="shared" si="10"/>
        <v>1900</v>
      </c>
      <c r="G62" s="235">
        <f t="shared" si="10"/>
        <v>2000</v>
      </c>
      <c r="H62" s="236">
        <f t="shared" si="10"/>
        <v>5000</v>
      </c>
      <c r="I62" s="235">
        <f t="shared" si="10"/>
        <v>4100</v>
      </c>
      <c r="J62" s="235">
        <f t="shared" si="10"/>
        <v>12500</v>
      </c>
      <c r="K62" s="235"/>
      <c r="L62" s="236"/>
      <c r="M62" s="237">
        <f>ROUND(M61,-2)</f>
        <v>3300</v>
      </c>
      <c r="N62" s="236"/>
      <c r="O62" s="236"/>
      <c r="P62" s="237">
        <f>ROUND(P61,-2)</f>
        <v>3400</v>
      </c>
      <c r="Q62" s="236"/>
      <c r="R62" s="236"/>
      <c r="S62" s="237">
        <f>ROUND(S61,-2)</f>
        <v>4500</v>
      </c>
      <c r="T62" s="236"/>
      <c r="U62" s="236"/>
      <c r="V62" s="237">
        <f>ROUND(V61,-2)</f>
        <v>5900</v>
      </c>
      <c r="W62" s="238"/>
      <c r="X62" s="239"/>
      <c r="Y62" s="240">
        <f>ROUND(Y61,-2)</f>
        <v>1000</v>
      </c>
      <c r="Z62" s="239"/>
      <c r="AA62" s="239"/>
      <c r="AB62" s="240">
        <f>ROUND(AB61,-2)</f>
        <v>1100</v>
      </c>
      <c r="AC62" s="235">
        <f>ROUND(AC61,-2)</f>
        <v>10000</v>
      </c>
      <c r="AD62" s="236">
        <f>ROUND(AD61,-2)</f>
        <v>10000</v>
      </c>
      <c r="AE62" s="237">
        <f>ROUND(AE61,-2)</f>
        <v>11200</v>
      </c>
      <c r="AM62" s="12"/>
      <c r="AN62" s="12"/>
      <c r="AO62" s="12"/>
    </row>
    <row r="63" spans="1:41" ht="13">
      <c r="B63" s="241"/>
      <c r="C63" s="242"/>
      <c r="D63" s="242"/>
      <c r="E63" s="243"/>
      <c r="F63" s="241"/>
      <c r="G63" s="241"/>
      <c r="H63" s="241"/>
      <c r="I63" s="241"/>
      <c r="J63" s="241"/>
      <c r="K63" s="241"/>
      <c r="L63" s="242"/>
      <c r="M63" s="243"/>
      <c r="N63" s="242"/>
      <c r="O63" s="242"/>
      <c r="P63" s="243"/>
      <c r="Q63" s="242"/>
      <c r="R63" s="242"/>
      <c r="S63" s="243"/>
      <c r="T63" s="242"/>
      <c r="U63" s="242"/>
      <c r="V63" s="243"/>
      <c r="W63" s="241"/>
      <c r="X63" s="242"/>
      <c r="Y63" s="243"/>
      <c r="Z63" s="242"/>
      <c r="AA63" s="242"/>
      <c r="AB63" s="243"/>
      <c r="AC63" s="241"/>
      <c r="AD63" s="242"/>
      <c r="AE63" s="243"/>
      <c r="AM63" s="12"/>
      <c r="AN63" s="12"/>
      <c r="AO63" s="12"/>
    </row>
    <row r="64" spans="1:41">
      <c r="A64" s="10" t="s">
        <v>463</v>
      </c>
      <c r="B64" s="264">
        <v>0</v>
      </c>
      <c r="C64" s="265">
        <v>1000</v>
      </c>
      <c r="D64" s="265">
        <v>1200</v>
      </c>
      <c r="E64" s="266">
        <v>2500</v>
      </c>
      <c r="F64" s="187"/>
      <c r="G64" s="187"/>
      <c r="H64" s="187"/>
      <c r="I64" s="187"/>
      <c r="J64" s="187"/>
      <c r="K64" s="264"/>
      <c r="L64" s="29"/>
      <c r="M64" s="30"/>
      <c r="N64" s="265"/>
      <c r="O64" s="29"/>
      <c r="P64" s="30"/>
      <c r="Q64" s="265"/>
      <c r="R64" s="29"/>
      <c r="S64" s="30"/>
      <c r="T64" s="265"/>
      <c r="U64" s="29"/>
      <c r="V64" s="30"/>
      <c r="W64" s="264"/>
      <c r="X64" s="265"/>
      <c r="Y64" s="266"/>
      <c r="Z64" s="265"/>
      <c r="AA64" s="265"/>
      <c r="AB64" s="266"/>
      <c r="AC64" s="28">
        <v>4500</v>
      </c>
      <c r="AD64" s="29">
        <v>4500</v>
      </c>
      <c r="AE64" s="30">
        <v>4000</v>
      </c>
      <c r="AM64" s="12"/>
      <c r="AN64" s="12"/>
      <c r="AO64" s="12"/>
    </row>
    <row r="65" spans="1:41">
      <c r="A65" s="244" t="s">
        <v>464</v>
      </c>
      <c r="B65" s="245" t="s">
        <v>465</v>
      </c>
      <c r="C65" s="245"/>
      <c r="D65" s="245"/>
      <c r="E65" s="245"/>
      <c r="F65" s="245"/>
      <c r="G65" s="245"/>
      <c r="H65" s="245"/>
      <c r="I65" s="245"/>
      <c r="J65" s="245"/>
      <c r="K65" s="245"/>
      <c r="L65" s="245"/>
      <c r="M65" s="245"/>
      <c r="N65" s="245"/>
      <c r="O65" s="245"/>
      <c r="P65" s="245"/>
      <c r="Q65" s="245"/>
      <c r="R65" s="245"/>
      <c r="S65" s="245"/>
      <c r="T65" s="245"/>
      <c r="U65" s="245"/>
      <c r="V65" s="245"/>
      <c r="W65" s="245"/>
      <c r="X65" s="245"/>
      <c r="Y65" s="245"/>
      <c r="Z65" s="245"/>
      <c r="AA65" s="245"/>
      <c r="AB65" s="245"/>
      <c r="AC65" s="245"/>
      <c r="AD65" s="245"/>
      <c r="AE65" s="246"/>
      <c r="AG65" s="200"/>
      <c r="AM65" s="12"/>
      <c r="AN65" s="12"/>
      <c r="AO65" s="12"/>
    </row>
    <row r="66" spans="1:41" ht="13">
      <c r="A66" s="26"/>
      <c r="B66" s="12"/>
      <c r="C66" s="12"/>
      <c r="D66" s="12"/>
      <c r="E66" s="12"/>
      <c r="F66" s="247"/>
      <c r="G66" s="247"/>
      <c r="H66" s="247"/>
      <c r="I66" s="247"/>
      <c r="J66" s="247"/>
      <c r="K66" s="8"/>
      <c r="L66" s="8"/>
      <c r="M66" s="247"/>
      <c r="N66" s="8"/>
      <c r="O66" s="8"/>
      <c r="P66" s="247"/>
      <c r="Q66" s="8"/>
      <c r="R66" s="8"/>
      <c r="S66" s="247"/>
      <c r="T66" s="8"/>
      <c r="U66" s="8"/>
      <c r="V66" s="247"/>
      <c r="W66" s="247"/>
      <c r="X66" s="247"/>
      <c r="Y66" s="247"/>
      <c r="Z66" s="247"/>
      <c r="AA66" s="247"/>
      <c r="AB66" s="247"/>
      <c r="AC66" s="247"/>
      <c r="AD66" s="247"/>
      <c r="AE66" s="247"/>
      <c r="AG66" s="200"/>
      <c r="AM66" s="12"/>
      <c r="AN66" s="12"/>
      <c r="AO66" s="12"/>
    </row>
    <row r="67" spans="1:41" ht="13">
      <c r="K67" s="8"/>
      <c r="L67" s="8"/>
      <c r="M67" s="248"/>
      <c r="N67" s="8"/>
      <c r="O67" s="8"/>
      <c r="P67" s="248"/>
      <c r="Q67" s="8"/>
      <c r="R67" s="8"/>
      <c r="S67" s="248"/>
      <c r="T67" s="8"/>
      <c r="U67" s="8"/>
      <c r="V67" s="248" t="s">
        <v>466</v>
      </c>
      <c r="W67" s="249">
        <v>200</v>
      </c>
      <c r="X67" s="36" t="s">
        <v>467</v>
      </c>
      <c r="Y67" s="247"/>
      <c r="Z67" s="247"/>
      <c r="AA67" s="36"/>
      <c r="AB67" s="247"/>
      <c r="AC67" s="247"/>
      <c r="AD67" s="247"/>
      <c r="AE67" s="247"/>
      <c r="AG67" s="200"/>
      <c r="AI67" s="12"/>
      <c r="AJ67" s="12"/>
      <c r="AK67" s="12"/>
      <c r="AL67" s="12"/>
      <c r="AM67" s="12"/>
      <c r="AN67" s="12"/>
      <c r="AO67" s="12"/>
    </row>
    <row r="68" spans="1:41" ht="13">
      <c r="M68" s="250"/>
      <c r="P68" s="250"/>
      <c r="S68" s="250"/>
      <c r="V68" s="250" t="s">
        <v>468</v>
      </c>
      <c r="W68" s="251">
        <f>1150*1.5</f>
        <v>1725</v>
      </c>
      <c r="X68" s="92" t="s">
        <v>469</v>
      </c>
      <c r="Y68" s="252"/>
      <c r="Z68" s="247"/>
      <c r="AA68" s="36"/>
      <c r="AB68" s="160"/>
      <c r="AC68" s="160"/>
      <c r="AD68" s="252"/>
      <c r="AE68" s="252"/>
      <c r="AI68" s="12"/>
      <c r="AJ68" s="12"/>
      <c r="AK68" s="12"/>
      <c r="AL68" s="12"/>
      <c r="AM68" s="12"/>
      <c r="AN68" s="12"/>
      <c r="AO68" s="12"/>
    </row>
    <row r="69" spans="1:41" ht="13">
      <c r="K69" s="10" t="s">
        <v>71</v>
      </c>
      <c r="M69" s="250"/>
      <c r="P69" s="250"/>
      <c r="S69" s="250"/>
      <c r="V69" s="250" t="s">
        <v>470</v>
      </c>
      <c r="W69" s="251">
        <f>2500*1.5</f>
        <v>3750</v>
      </c>
      <c r="X69" s="92" t="s">
        <v>471</v>
      </c>
      <c r="Z69" s="247"/>
      <c r="AA69" s="36"/>
      <c r="AB69" s="26"/>
      <c r="AC69" s="26"/>
      <c r="AI69" s="12"/>
      <c r="AJ69" s="12"/>
      <c r="AK69" s="12"/>
      <c r="AL69" s="12"/>
      <c r="AM69" s="12"/>
      <c r="AN69" s="12"/>
      <c r="AO69" s="12"/>
    </row>
    <row r="70" spans="1:41" ht="13">
      <c r="M70" s="253"/>
      <c r="P70" s="253"/>
      <c r="S70" s="253"/>
      <c r="V70" s="253" t="s">
        <v>472</v>
      </c>
      <c r="W70" s="254">
        <v>300</v>
      </c>
      <c r="X70" s="255" t="s">
        <v>473</v>
      </c>
      <c r="Z70" s="247"/>
      <c r="AA70" s="267"/>
      <c r="AB70" s="26"/>
      <c r="AC70" s="26"/>
      <c r="AI70" s="12"/>
      <c r="AJ70" s="12"/>
      <c r="AK70" s="12"/>
      <c r="AL70" s="12"/>
      <c r="AM70" s="12"/>
      <c r="AN70" s="12"/>
      <c r="AO70" s="12"/>
    </row>
    <row r="71" spans="1:41">
      <c r="AI71" s="12"/>
      <c r="AJ71" s="12"/>
      <c r="AK71" s="12"/>
      <c r="AL71" s="12"/>
      <c r="AM71" s="12"/>
      <c r="AN71" s="12"/>
      <c r="AO71" s="12"/>
    </row>
    <row r="73" spans="1:41" ht="87.5">
      <c r="A73" s="184" t="s">
        <v>547</v>
      </c>
      <c r="B73" s="12"/>
      <c r="C73" s="12"/>
      <c r="D73" s="12"/>
      <c r="E73" s="12"/>
      <c r="F73" s="12"/>
      <c r="G73" s="12"/>
      <c r="H73" s="12"/>
      <c r="I73" s="12"/>
      <c r="J73" s="12"/>
      <c r="K73" s="12"/>
      <c r="L73" s="12"/>
      <c r="M73" s="12"/>
      <c r="N73" s="12"/>
      <c r="O73" s="12"/>
      <c r="P73" s="12"/>
      <c r="Q73" s="12"/>
      <c r="R73" s="12"/>
      <c r="S73" s="12"/>
      <c r="T73" s="12"/>
      <c r="U73" s="12"/>
      <c r="V73" s="12"/>
      <c r="W73" s="12" t="s">
        <v>71</v>
      </c>
      <c r="X73" s="12"/>
      <c r="Y73" s="12"/>
      <c r="Z73" s="12"/>
      <c r="AA73" s="12"/>
      <c r="AB73" s="12"/>
      <c r="AC73" s="12"/>
      <c r="AD73" s="12"/>
      <c r="AE73" s="12"/>
      <c r="AG73" s="12"/>
      <c r="AH73" s="12"/>
      <c r="AI73" s="12"/>
      <c r="AJ73" s="12"/>
      <c r="AK73" s="12"/>
      <c r="AL73" s="12"/>
    </row>
    <row r="74" spans="1:41">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G74" s="12"/>
      <c r="AH74" s="12"/>
      <c r="AI74" s="12"/>
      <c r="AJ74" s="12"/>
      <c r="AK74" s="12"/>
      <c r="AL74" s="12"/>
    </row>
    <row r="75" spans="1:4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G75" s="12"/>
      <c r="AH75" s="12"/>
      <c r="AI75" s="12"/>
      <c r="AJ75" s="12"/>
      <c r="AK75" s="12"/>
      <c r="AL75" s="12"/>
    </row>
    <row r="76" spans="1:41">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G76" s="12"/>
      <c r="AH76" s="12"/>
      <c r="AI76" s="12"/>
      <c r="AJ76" s="12"/>
      <c r="AK76" s="12"/>
      <c r="AL76" s="12"/>
      <c r="AM76" s="8"/>
      <c r="AN76" s="8"/>
      <c r="AO76" s="8"/>
    </row>
    <row r="77" spans="1:4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G77" s="12"/>
      <c r="AH77" s="12"/>
      <c r="AI77" s="12"/>
      <c r="AJ77" s="12"/>
      <c r="AK77" s="12"/>
      <c r="AL77" s="12"/>
      <c r="AM77" s="8"/>
      <c r="AN77" s="8"/>
      <c r="AO77" s="8"/>
    </row>
    <row r="78" spans="1:4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G78" s="12"/>
      <c r="AH78" s="12"/>
      <c r="AI78" s="12"/>
      <c r="AJ78" s="12"/>
      <c r="AK78" s="12"/>
      <c r="AL78" s="12"/>
    </row>
  </sheetData>
  <mergeCells count="1">
    <mergeCell ref="AL8:AO8"/>
  </mergeCells>
  <pageMargins left="0.5" right="0.5" top="0.4" bottom="0.4" header="0.5" footer="0.5"/>
  <pageSetup scale="73" fitToHeight="2" orientation="landscape" horizontalDpi="4294967292" verticalDpi="4294967292"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pageSetUpPr fitToPage="1"/>
  </sheetPr>
  <dimension ref="A1:AQ80"/>
  <sheetViews>
    <sheetView zoomScale="80" zoomScaleNormal="80" workbookViewId="0">
      <pane ySplit="1670" topLeftCell="A28" activePane="bottomLeft"/>
      <selection activeCell="T2" sqref="T2"/>
      <selection pane="bottomLeft" activeCell="AC42" sqref="AC42"/>
    </sheetView>
  </sheetViews>
  <sheetFormatPr defaultColWidth="10.1796875" defaultRowHeight="12.5"/>
  <cols>
    <col min="1" max="1" width="32.453125" style="10" customWidth="1"/>
    <col min="2" max="2" width="8.54296875" style="10" customWidth="1"/>
    <col min="3" max="9" width="7.453125" style="10" customWidth="1"/>
    <col min="10" max="10" width="8.54296875" style="10" customWidth="1"/>
    <col min="11" max="28" width="7.453125" style="10" customWidth="1"/>
    <col min="29" max="29" width="8.54296875" style="12" customWidth="1"/>
    <col min="30" max="31" width="7.453125" style="188" customWidth="1"/>
    <col min="32" max="32" width="10.81640625" style="188" customWidth="1"/>
    <col min="33" max="33" width="9.54296875" style="188" customWidth="1"/>
    <col min="34" max="34" width="10.1796875" style="10" customWidth="1"/>
    <col min="35" max="35" width="17.1796875" style="10" customWidth="1"/>
    <col min="36" max="38" width="7.453125" style="10" customWidth="1"/>
    <col min="39" max="268" width="10.1796875" style="12"/>
    <col min="269" max="269" width="32.453125" style="12" customWidth="1"/>
    <col min="270" max="270" width="8.54296875" style="12" customWidth="1"/>
    <col min="271" max="274" width="7.453125" style="12" customWidth="1"/>
    <col min="275" max="275" width="8.54296875" style="12" customWidth="1"/>
    <col min="276" max="284" width="7.453125" style="12" customWidth="1"/>
    <col min="285" max="285" width="8.54296875" style="12" customWidth="1"/>
    <col min="286" max="287" width="7.453125" style="12" customWidth="1"/>
    <col min="288" max="288" width="10.81640625" style="12" customWidth="1"/>
    <col min="289" max="289" width="9.54296875" style="12" customWidth="1"/>
    <col min="290" max="290" width="10.1796875" style="12" customWidth="1"/>
    <col min="291" max="291" width="17.1796875" style="12" customWidth="1"/>
    <col min="292" max="294" width="7.453125" style="12" customWidth="1"/>
    <col min="295" max="524" width="10.1796875" style="12"/>
    <col min="525" max="525" width="32.453125" style="12" customWidth="1"/>
    <col min="526" max="526" width="8.54296875" style="12" customWidth="1"/>
    <col min="527" max="530" width="7.453125" style="12" customWidth="1"/>
    <col min="531" max="531" width="8.54296875" style="12" customWidth="1"/>
    <col min="532" max="540" width="7.453125" style="12" customWidth="1"/>
    <col min="541" max="541" width="8.54296875" style="12" customWidth="1"/>
    <col min="542" max="543" width="7.453125" style="12" customWidth="1"/>
    <col min="544" max="544" width="10.81640625" style="12" customWidth="1"/>
    <col min="545" max="545" width="9.54296875" style="12" customWidth="1"/>
    <col min="546" max="546" width="10.1796875" style="12" customWidth="1"/>
    <col min="547" max="547" width="17.1796875" style="12" customWidth="1"/>
    <col min="548" max="550" width="7.453125" style="12" customWidth="1"/>
    <col min="551" max="780" width="10.1796875" style="12"/>
    <col min="781" max="781" width="32.453125" style="12" customWidth="1"/>
    <col min="782" max="782" width="8.54296875" style="12" customWidth="1"/>
    <col min="783" max="786" width="7.453125" style="12" customWidth="1"/>
    <col min="787" max="787" width="8.54296875" style="12" customWidth="1"/>
    <col min="788" max="796" width="7.453125" style="12" customWidth="1"/>
    <col min="797" max="797" width="8.54296875" style="12" customWidth="1"/>
    <col min="798" max="799" width="7.453125" style="12" customWidth="1"/>
    <col min="800" max="800" width="10.81640625" style="12" customWidth="1"/>
    <col min="801" max="801" width="9.54296875" style="12" customWidth="1"/>
    <col min="802" max="802" width="10.1796875" style="12" customWidth="1"/>
    <col min="803" max="803" width="17.1796875" style="12" customWidth="1"/>
    <col min="804" max="806" width="7.453125" style="12" customWidth="1"/>
    <col min="807" max="1036" width="10.1796875" style="12"/>
    <col min="1037" max="1037" width="32.453125" style="12" customWidth="1"/>
    <col min="1038" max="1038" width="8.54296875" style="12" customWidth="1"/>
    <col min="1039" max="1042" width="7.453125" style="12" customWidth="1"/>
    <col min="1043" max="1043" width="8.54296875" style="12" customWidth="1"/>
    <col min="1044" max="1052" width="7.453125" style="12" customWidth="1"/>
    <col min="1053" max="1053" width="8.54296875" style="12" customWidth="1"/>
    <col min="1054" max="1055" width="7.453125" style="12" customWidth="1"/>
    <col min="1056" max="1056" width="10.81640625" style="12" customWidth="1"/>
    <col min="1057" max="1057" width="9.54296875" style="12" customWidth="1"/>
    <col min="1058" max="1058" width="10.1796875" style="12" customWidth="1"/>
    <col min="1059" max="1059" width="17.1796875" style="12" customWidth="1"/>
    <col min="1060" max="1062" width="7.453125" style="12" customWidth="1"/>
    <col min="1063" max="1292" width="10.1796875" style="12"/>
    <col min="1293" max="1293" width="32.453125" style="12" customWidth="1"/>
    <col min="1294" max="1294" width="8.54296875" style="12" customWidth="1"/>
    <col min="1295" max="1298" width="7.453125" style="12" customWidth="1"/>
    <col min="1299" max="1299" width="8.54296875" style="12" customWidth="1"/>
    <col min="1300" max="1308" width="7.453125" style="12" customWidth="1"/>
    <col min="1309" max="1309" width="8.54296875" style="12" customWidth="1"/>
    <col min="1310" max="1311" width="7.453125" style="12" customWidth="1"/>
    <col min="1312" max="1312" width="10.81640625" style="12" customWidth="1"/>
    <col min="1313" max="1313" width="9.54296875" style="12" customWidth="1"/>
    <col min="1314" max="1314" width="10.1796875" style="12" customWidth="1"/>
    <col min="1315" max="1315" width="17.1796875" style="12" customWidth="1"/>
    <col min="1316" max="1318" width="7.453125" style="12" customWidth="1"/>
    <col min="1319" max="1548" width="10.1796875" style="12"/>
    <col min="1549" max="1549" width="32.453125" style="12" customWidth="1"/>
    <col min="1550" max="1550" width="8.54296875" style="12" customWidth="1"/>
    <col min="1551" max="1554" width="7.453125" style="12" customWidth="1"/>
    <col min="1555" max="1555" width="8.54296875" style="12" customWidth="1"/>
    <col min="1556" max="1564" width="7.453125" style="12" customWidth="1"/>
    <col min="1565" max="1565" width="8.54296875" style="12" customWidth="1"/>
    <col min="1566" max="1567" width="7.453125" style="12" customWidth="1"/>
    <col min="1568" max="1568" width="10.81640625" style="12" customWidth="1"/>
    <col min="1569" max="1569" width="9.54296875" style="12" customWidth="1"/>
    <col min="1570" max="1570" width="10.1796875" style="12" customWidth="1"/>
    <col min="1571" max="1571" width="17.1796875" style="12" customWidth="1"/>
    <col min="1572" max="1574" width="7.453125" style="12" customWidth="1"/>
    <col min="1575" max="1804" width="10.1796875" style="12"/>
    <col min="1805" max="1805" width="32.453125" style="12" customWidth="1"/>
    <col min="1806" max="1806" width="8.54296875" style="12" customWidth="1"/>
    <col min="1807" max="1810" width="7.453125" style="12" customWidth="1"/>
    <col min="1811" max="1811" width="8.54296875" style="12" customWidth="1"/>
    <col min="1812" max="1820" width="7.453125" style="12" customWidth="1"/>
    <col min="1821" max="1821" width="8.54296875" style="12" customWidth="1"/>
    <col min="1822" max="1823" width="7.453125" style="12" customWidth="1"/>
    <col min="1824" max="1824" width="10.81640625" style="12" customWidth="1"/>
    <col min="1825" max="1825" width="9.54296875" style="12" customWidth="1"/>
    <col min="1826" max="1826" width="10.1796875" style="12" customWidth="1"/>
    <col min="1827" max="1827" width="17.1796875" style="12" customWidth="1"/>
    <col min="1828" max="1830" width="7.453125" style="12" customWidth="1"/>
    <col min="1831" max="2060" width="10.1796875" style="12"/>
    <col min="2061" max="2061" width="32.453125" style="12" customWidth="1"/>
    <col min="2062" max="2062" width="8.54296875" style="12" customWidth="1"/>
    <col min="2063" max="2066" width="7.453125" style="12" customWidth="1"/>
    <col min="2067" max="2067" width="8.54296875" style="12" customWidth="1"/>
    <col min="2068" max="2076" width="7.453125" style="12" customWidth="1"/>
    <col min="2077" max="2077" width="8.54296875" style="12" customWidth="1"/>
    <col min="2078" max="2079" width="7.453125" style="12" customWidth="1"/>
    <col min="2080" max="2080" width="10.81640625" style="12" customWidth="1"/>
    <col min="2081" max="2081" width="9.54296875" style="12" customWidth="1"/>
    <col min="2082" max="2082" width="10.1796875" style="12" customWidth="1"/>
    <col min="2083" max="2083" width="17.1796875" style="12" customWidth="1"/>
    <col min="2084" max="2086" width="7.453125" style="12" customWidth="1"/>
    <col min="2087" max="2316" width="10.1796875" style="12"/>
    <col min="2317" max="2317" width="32.453125" style="12" customWidth="1"/>
    <col min="2318" max="2318" width="8.54296875" style="12" customWidth="1"/>
    <col min="2319" max="2322" width="7.453125" style="12" customWidth="1"/>
    <col min="2323" max="2323" width="8.54296875" style="12" customWidth="1"/>
    <col min="2324" max="2332" width="7.453125" style="12" customWidth="1"/>
    <col min="2333" max="2333" width="8.54296875" style="12" customWidth="1"/>
    <col min="2334" max="2335" width="7.453125" style="12" customWidth="1"/>
    <col min="2336" max="2336" width="10.81640625" style="12" customWidth="1"/>
    <col min="2337" max="2337" width="9.54296875" style="12" customWidth="1"/>
    <col min="2338" max="2338" width="10.1796875" style="12" customWidth="1"/>
    <col min="2339" max="2339" width="17.1796875" style="12" customWidth="1"/>
    <col min="2340" max="2342" width="7.453125" style="12" customWidth="1"/>
    <col min="2343" max="2572" width="10.1796875" style="12"/>
    <col min="2573" max="2573" width="32.453125" style="12" customWidth="1"/>
    <col min="2574" max="2574" width="8.54296875" style="12" customWidth="1"/>
    <col min="2575" max="2578" width="7.453125" style="12" customWidth="1"/>
    <col min="2579" max="2579" width="8.54296875" style="12" customWidth="1"/>
    <col min="2580" max="2588" width="7.453125" style="12" customWidth="1"/>
    <col min="2589" max="2589" width="8.54296875" style="12" customWidth="1"/>
    <col min="2590" max="2591" width="7.453125" style="12" customWidth="1"/>
    <col min="2592" max="2592" width="10.81640625" style="12" customWidth="1"/>
    <col min="2593" max="2593" width="9.54296875" style="12" customWidth="1"/>
    <col min="2594" max="2594" width="10.1796875" style="12" customWidth="1"/>
    <col min="2595" max="2595" width="17.1796875" style="12" customWidth="1"/>
    <col min="2596" max="2598" width="7.453125" style="12" customWidth="1"/>
    <col min="2599" max="2828" width="10.1796875" style="12"/>
    <col min="2829" max="2829" width="32.453125" style="12" customWidth="1"/>
    <col min="2830" max="2830" width="8.54296875" style="12" customWidth="1"/>
    <col min="2831" max="2834" width="7.453125" style="12" customWidth="1"/>
    <col min="2835" max="2835" width="8.54296875" style="12" customWidth="1"/>
    <col min="2836" max="2844" width="7.453125" style="12" customWidth="1"/>
    <col min="2845" max="2845" width="8.54296875" style="12" customWidth="1"/>
    <col min="2846" max="2847" width="7.453125" style="12" customWidth="1"/>
    <col min="2848" max="2848" width="10.81640625" style="12" customWidth="1"/>
    <col min="2849" max="2849" width="9.54296875" style="12" customWidth="1"/>
    <col min="2850" max="2850" width="10.1796875" style="12" customWidth="1"/>
    <col min="2851" max="2851" width="17.1796875" style="12" customWidth="1"/>
    <col min="2852" max="2854" width="7.453125" style="12" customWidth="1"/>
    <col min="2855" max="3084" width="10.1796875" style="12"/>
    <col min="3085" max="3085" width="32.453125" style="12" customWidth="1"/>
    <col min="3086" max="3086" width="8.54296875" style="12" customWidth="1"/>
    <col min="3087" max="3090" width="7.453125" style="12" customWidth="1"/>
    <col min="3091" max="3091" width="8.54296875" style="12" customWidth="1"/>
    <col min="3092" max="3100" width="7.453125" style="12" customWidth="1"/>
    <col min="3101" max="3101" width="8.54296875" style="12" customWidth="1"/>
    <col min="3102" max="3103" width="7.453125" style="12" customWidth="1"/>
    <col min="3104" max="3104" width="10.81640625" style="12" customWidth="1"/>
    <col min="3105" max="3105" width="9.54296875" style="12" customWidth="1"/>
    <col min="3106" max="3106" width="10.1796875" style="12" customWidth="1"/>
    <col min="3107" max="3107" width="17.1796875" style="12" customWidth="1"/>
    <col min="3108" max="3110" width="7.453125" style="12" customWidth="1"/>
    <col min="3111" max="3340" width="10.1796875" style="12"/>
    <col min="3341" max="3341" width="32.453125" style="12" customWidth="1"/>
    <col min="3342" max="3342" width="8.54296875" style="12" customWidth="1"/>
    <col min="3343" max="3346" width="7.453125" style="12" customWidth="1"/>
    <col min="3347" max="3347" width="8.54296875" style="12" customWidth="1"/>
    <col min="3348" max="3356" width="7.453125" style="12" customWidth="1"/>
    <col min="3357" max="3357" width="8.54296875" style="12" customWidth="1"/>
    <col min="3358" max="3359" width="7.453125" style="12" customWidth="1"/>
    <col min="3360" max="3360" width="10.81640625" style="12" customWidth="1"/>
    <col min="3361" max="3361" width="9.54296875" style="12" customWidth="1"/>
    <col min="3362" max="3362" width="10.1796875" style="12" customWidth="1"/>
    <col min="3363" max="3363" width="17.1796875" style="12" customWidth="1"/>
    <col min="3364" max="3366" width="7.453125" style="12" customWidth="1"/>
    <col min="3367" max="3596" width="10.1796875" style="12"/>
    <col min="3597" max="3597" width="32.453125" style="12" customWidth="1"/>
    <col min="3598" max="3598" width="8.54296875" style="12" customWidth="1"/>
    <col min="3599" max="3602" width="7.453125" style="12" customWidth="1"/>
    <col min="3603" max="3603" width="8.54296875" style="12" customWidth="1"/>
    <col min="3604" max="3612" width="7.453125" style="12" customWidth="1"/>
    <col min="3613" max="3613" width="8.54296875" style="12" customWidth="1"/>
    <col min="3614" max="3615" width="7.453125" style="12" customWidth="1"/>
    <col min="3616" max="3616" width="10.81640625" style="12" customWidth="1"/>
    <col min="3617" max="3617" width="9.54296875" style="12" customWidth="1"/>
    <col min="3618" max="3618" width="10.1796875" style="12" customWidth="1"/>
    <col min="3619" max="3619" width="17.1796875" style="12" customWidth="1"/>
    <col min="3620" max="3622" width="7.453125" style="12" customWidth="1"/>
    <col min="3623" max="3852" width="10.1796875" style="12"/>
    <col min="3853" max="3853" width="32.453125" style="12" customWidth="1"/>
    <col min="3854" max="3854" width="8.54296875" style="12" customWidth="1"/>
    <col min="3855" max="3858" width="7.453125" style="12" customWidth="1"/>
    <col min="3859" max="3859" width="8.54296875" style="12" customWidth="1"/>
    <col min="3860" max="3868" width="7.453125" style="12" customWidth="1"/>
    <col min="3869" max="3869" width="8.54296875" style="12" customWidth="1"/>
    <col min="3870" max="3871" width="7.453125" style="12" customWidth="1"/>
    <col min="3872" max="3872" width="10.81640625" style="12" customWidth="1"/>
    <col min="3873" max="3873" width="9.54296875" style="12" customWidth="1"/>
    <col min="3874" max="3874" width="10.1796875" style="12" customWidth="1"/>
    <col min="3875" max="3875" width="17.1796875" style="12" customWidth="1"/>
    <col min="3876" max="3878" width="7.453125" style="12" customWidth="1"/>
    <col min="3879" max="4108" width="10.1796875" style="12"/>
    <col min="4109" max="4109" width="32.453125" style="12" customWidth="1"/>
    <col min="4110" max="4110" width="8.54296875" style="12" customWidth="1"/>
    <col min="4111" max="4114" width="7.453125" style="12" customWidth="1"/>
    <col min="4115" max="4115" width="8.54296875" style="12" customWidth="1"/>
    <col min="4116" max="4124" width="7.453125" style="12" customWidth="1"/>
    <col min="4125" max="4125" width="8.54296875" style="12" customWidth="1"/>
    <col min="4126" max="4127" width="7.453125" style="12" customWidth="1"/>
    <col min="4128" max="4128" width="10.81640625" style="12" customWidth="1"/>
    <col min="4129" max="4129" width="9.54296875" style="12" customWidth="1"/>
    <col min="4130" max="4130" width="10.1796875" style="12" customWidth="1"/>
    <col min="4131" max="4131" width="17.1796875" style="12" customWidth="1"/>
    <col min="4132" max="4134" width="7.453125" style="12" customWidth="1"/>
    <col min="4135" max="4364" width="10.1796875" style="12"/>
    <col min="4365" max="4365" width="32.453125" style="12" customWidth="1"/>
    <col min="4366" max="4366" width="8.54296875" style="12" customWidth="1"/>
    <col min="4367" max="4370" width="7.453125" style="12" customWidth="1"/>
    <col min="4371" max="4371" width="8.54296875" style="12" customWidth="1"/>
    <col min="4372" max="4380" width="7.453125" style="12" customWidth="1"/>
    <col min="4381" max="4381" width="8.54296875" style="12" customWidth="1"/>
    <col min="4382" max="4383" width="7.453125" style="12" customWidth="1"/>
    <col min="4384" max="4384" width="10.81640625" style="12" customWidth="1"/>
    <col min="4385" max="4385" width="9.54296875" style="12" customWidth="1"/>
    <col min="4386" max="4386" width="10.1796875" style="12" customWidth="1"/>
    <col min="4387" max="4387" width="17.1796875" style="12" customWidth="1"/>
    <col min="4388" max="4390" width="7.453125" style="12" customWidth="1"/>
    <col min="4391" max="4620" width="10.1796875" style="12"/>
    <col min="4621" max="4621" width="32.453125" style="12" customWidth="1"/>
    <col min="4622" max="4622" width="8.54296875" style="12" customWidth="1"/>
    <col min="4623" max="4626" width="7.453125" style="12" customWidth="1"/>
    <col min="4627" max="4627" width="8.54296875" style="12" customWidth="1"/>
    <col min="4628" max="4636" width="7.453125" style="12" customWidth="1"/>
    <col min="4637" max="4637" width="8.54296875" style="12" customWidth="1"/>
    <col min="4638" max="4639" width="7.453125" style="12" customWidth="1"/>
    <col min="4640" max="4640" width="10.81640625" style="12" customWidth="1"/>
    <col min="4641" max="4641" width="9.54296875" style="12" customWidth="1"/>
    <col min="4642" max="4642" width="10.1796875" style="12" customWidth="1"/>
    <col min="4643" max="4643" width="17.1796875" style="12" customWidth="1"/>
    <col min="4644" max="4646" width="7.453125" style="12" customWidth="1"/>
    <col min="4647" max="4876" width="10.1796875" style="12"/>
    <col min="4877" max="4877" width="32.453125" style="12" customWidth="1"/>
    <col min="4878" max="4878" width="8.54296875" style="12" customWidth="1"/>
    <col min="4879" max="4882" width="7.453125" style="12" customWidth="1"/>
    <col min="4883" max="4883" width="8.54296875" style="12" customWidth="1"/>
    <col min="4884" max="4892" width="7.453125" style="12" customWidth="1"/>
    <col min="4893" max="4893" width="8.54296875" style="12" customWidth="1"/>
    <col min="4894" max="4895" width="7.453125" style="12" customWidth="1"/>
    <col min="4896" max="4896" width="10.81640625" style="12" customWidth="1"/>
    <col min="4897" max="4897" width="9.54296875" style="12" customWidth="1"/>
    <col min="4898" max="4898" width="10.1796875" style="12" customWidth="1"/>
    <col min="4899" max="4899" width="17.1796875" style="12" customWidth="1"/>
    <col min="4900" max="4902" width="7.453125" style="12" customWidth="1"/>
    <col min="4903" max="5132" width="10.1796875" style="12"/>
    <col min="5133" max="5133" width="32.453125" style="12" customWidth="1"/>
    <col min="5134" max="5134" width="8.54296875" style="12" customWidth="1"/>
    <col min="5135" max="5138" width="7.453125" style="12" customWidth="1"/>
    <col min="5139" max="5139" width="8.54296875" style="12" customWidth="1"/>
    <col min="5140" max="5148" width="7.453125" style="12" customWidth="1"/>
    <col min="5149" max="5149" width="8.54296875" style="12" customWidth="1"/>
    <col min="5150" max="5151" width="7.453125" style="12" customWidth="1"/>
    <col min="5152" max="5152" width="10.81640625" style="12" customWidth="1"/>
    <col min="5153" max="5153" width="9.54296875" style="12" customWidth="1"/>
    <col min="5154" max="5154" width="10.1796875" style="12" customWidth="1"/>
    <col min="5155" max="5155" width="17.1796875" style="12" customWidth="1"/>
    <col min="5156" max="5158" width="7.453125" style="12" customWidth="1"/>
    <col min="5159" max="5388" width="10.1796875" style="12"/>
    <col min="5389" max="5389" width="32.453125" style="12" customWidth="1"/>
    <col min="5390" max="5390" width="8.54296875" style="12" customWidth="1"/>
    <col min="5391" max="5394" width="7.453125" style="12" customWidth="1"/>
    <col min="5395" max="5395" width="8.54296875" style="12" customWidth="1"/>
    <col min="5396" max="5404" width="7.453125" style="12" customWidth="1"/>
    <col min="5405" max="5405" width="8.54296875" style="12" customWidth="1"/>
    <col min="5406" max="5407" width="7.453125" style="12" customWidth="1"/>
    <col min="5408" max="5408" width="10.81640625" style="12" customWidth="1"/>
    <col min="5409" max="5409" width="9.54296875" style="12" customWidth="1"/>
    <col min="5410" max="5410" width="10.1796875" style="12" customWidth="1"/>
    <col min="5411" max="5411" width="17.1796875" style="12" customWidth="1"/>
    <col min="5412" max="5414" width="7.453125" style="12" customWidth="1"/>
    <col min="5415" max="5644" width="10.1796875" style="12"/>
    <col min="5645" max="5645" width="32.453125" style="12" customWidth="1"/>
    <col min="5646" max="5646" width="8.54296875" style="12" customWidth="1"/>
    <col min="5647" max="5650" width="7.453125" style="12" customWidth="1"/>
    <col min="5651" max="5651" width="8.54296875" style="12" customWidth="1"/>
    <col min="5652" max="5660" width="7.453125" style="12" customWidth="1"/>
    <col min="5661" max="5661" width="8.54296875" style="12" customWidth="1"/>
    <col min="5662" max="5663" width="7.453125" style="12" customWidth="1"/>
    <col min="5664" max="5664" width="10.81640625" style="12" customWidth="1"/>
    <col min="5665" max="5665" width="9.54296875" style="12" customWidth="1"/>
    <col min="5666" max="5666" width="10.1796875" style="12" customWidth="1"/>
    <col min="5667" max="5667" width="17.1796875" style="12" customWidth="1"/>
    <col min="5668" max="5670" width="7.453125" style="12" customWidth="1"/>
    <col min="5671" max="5900" width="10.1796875" style="12"/>
    <col min="5901" max="5901" width="32.453125" style="12" customWidth="1"/>
    <col min="5902" max="5902" width="8.54296875" style="12" customWidth="1"/>
    <col min="5903" max="5906" width="7.453125" style="12" customWidth="1"/>
    <col min="5907" max="5907" width="8.54296875" style="12" customWidth="1"/>
    <col min="5908" max="5916" width="7.453125" style="12" customWidth="1"/>
    <col min="5917" max="5917" width="8.54296875" style="12" customWidth="1"/>
    <col min="5918" max="5919" width="7.453125" style="12" customWidth="1"/>
    <col min="5920" max="5920" width="10.81640625" style="12" customWidth="1"/>
    <col min="5921" max="5921" width="9.54296875" style="12" customWidth="1"/>
    <col min="5922" max="5922" width="10.1796875" style="12" customWidth="1"/>
    <col min="5923" max="5923" width="17.1796875" style="12" customWidth="1"/>
    <col min="5924" max="5926" width="7.453125" style="12" customWidth="1"/>
    <col min="5927" max="6156" width="10.1796875" style="12"/>
    <col min="6157" max="6157" width="32.453125" style="12" customWidth="1"/>
    <col min="6158" max="6158" width="8.54296875" style="12" customWidth="1"/>
    <col min="6159" max="6162" width="7.453125" style="12" customWidth="1"/>
    <col min="6163" max="6163" width="8.54296875" style="12" customWidth="1"/>
    <col min="6164" max="6172" width="7.453125" style="12" customWidth="1"/>
    <col min="6173" max="6173" width="8.54296875" style="12" customWidth="1"/>
    <col min="6174" max="6175" width="7.453125" style="12" customWidth="1"/>
    <col min="6176" max="6176" width="10.81640625" style="12" customWidth="1"/>
    <col min="6177" max="6177" width="9.54296875" style="12" customWidth="1"/>
    <col min="6178" max="6178" width="10.1796875" style="12" customWidth="1"/>
    <col min="6179" max="6179" width="17.1796875" style="12" customWidth="1"/>
    <col min="6180" max="6182" width="7.453125" style="12" customWidth="1"/>
    <col min="6183" max="6412" width="10.1796875" style="12"/>
    <col min="6413" max="6413" width="32.453125" style="12" customWidth="1"/>
    <col min="6414" max="6414" width="8.54296875" style="12" customWidth="1"/>
    <col min="6415" max="6418" width="7.453125" style="12" customWidth="1"/>
    <col min="6419" max="6419" width="8.54296875" style="12" customWidth="1"/>
    <col min="6420" max="6428" width="7.453125" style="12" customWidth="1"/>
    <col min="6429" max="6429" width="8.54296875" style="12" customWidth="1"/>
    <col min="6430" max="6431" width="7.453125" style="12" customWidth="1"/>
    <col min="6432" max="6432" width="10.81640625" style="12" customWidth="1"/>
    <col min="6433" max="6433" width="9.54296875" style="12" customWidth="1"/>
    <col min="6434" max="6434" width="10.1796875" style="12" customWidth="1"/>
    <col min="6435" max="6435" width="17.1796875" style="12" customWidth="1"/>
    <col min="6436" max="6438" width="7.453125" style="12" customWidth="1"/>
    <col min="6439" max="6668" width="10.1796875" style="12"/>
    <col min="6669" max="6669" width="32.453125" style="12" customWidth="1"/>
    <col min="6670" max="6670" width="8.54296875" style="12" customWidth="1"/>
    <col min="6671" max="6674" width="7.453125" style="12" customWidth="1"/>
    <col min="6675" max="6675" width="8.54296875" style="12" customWidth="1"/>
    <col min="6676" max="6684" width="7.453125" style="12" customWidth="1"/>
    <col min="6685" max="6685" width="8.54296875" style="12" customWidth="1"/>
    <col min="6686" max="6687" width="7.453125" style="12" customWidth="1"/>
    <col min="6688" max="6688" width="10.81640625" style="12" customWidth="1"/>
    <col min="6689" max="6689" width="9.54296875" style="12" customWidth="1"/>
    <col min="6690" max="6690" width="10.1796875" style="12" customWidth="1"/>
    <col min="6691" max="6691" width="17.1796875" style="12" customWidth="1"/>
    <col min="6692" max="6694" width="7.453125" style="12" customWidth="1"/>
    <col min="6695" max="6924" width="10.1796875" style="12"/>
    <col min="6925" max="6925" width="32.453125" style="12" customWidth="1"/>
    <col min="6926" max="6926" width="8.54296875" style="12" customWidth="1"/>
    <col min="6927" max="6930" width="7.453125" style="12" customWidth="1"/>
    <col min="6931" max="6931" width="8.54296875" style="12" customWidth="1"/>
    <col min="6932" max="6940" width="7.453125" style="12" customWidth="1"/>
    <col min="6941" max="6941" width="8.54296875" style="12" customWidth="1"/>
    <col min="6942" max="6943" width="7.453125" style="12" customWidth="1"/>
    <col min="6944" max="6944" width="10.81640625" style="12" customWidth="1"/>
    <col min="6945" max="6945" width="9.54296875" style="12" customWidth="1"/>
    <col min="6946" max="6946" width="10.1796875" style="12" customWidth="1"/>
    <col min="6947" max="6947" width="17.1796875" style="12" customWidth="1"/>
    <col min="6948" max="6950" width="7.453125" style="12" customWidth="1"/>
    <col min="6951" max="7180" width="10.1796875" style="12"/>
    <col min="7181" max="7181" width="32.453125" style="12" customWidth="1"/>
    <col min="7182" max="7182" width="8.54296875" style="12" customWidth="1"/>
    <col min="7183" max="7186" width="7.453125" style="12" customWidth="1"/>
    <col min="7187" max="7187" width="8.54296875" style="12" customWidth="1"/>
    <col min="7188" max="7196" width="7.453125" style="12" customWidth="1"/>
    <col min="7197" max="7197" width="8.54296875" style="12" customWidth="1"/>
    <col min="7198" max="7199" width="7.453125" style="12" customWidth="1"/>
    <col min="7200" max="7200" width="10.81640625" style="12" customWidth="1"/>
    <col min="7201" max="7201" width="9.54296875" style="12" customWidth="1"/>
    <col min="7202" max="7202" width="10.1796875" style="12" customWidth="1"/>
    <col min="7203" max="7203" width="17.1796875" style="12" customWidth="1"/>
    <col min="7204" max="7206" width="7.453125" style="12" customWidth="1"/>
    <col min="7207" max="7436" width="10.1796875" style="12"/>
    <col min="7437" max="7437" width="32.453125" style="12" customWidth="1"/>
    <col min="7438" max="7438" width="8.54296875" style="12" customWidth="1"/>
    <col min="7439" max="7442" width="7.453125" style="12" customWidth="1"/>
    <col min="7443" max="7443" width="8.54296875" style="12" customWidth="1"/>
    <col min="7444" max="7452" width="7.453125" style="12" customWidth="1"/>
    <col min="7453" max="7453" width="8.54296875" style="12" customWidth="1"/>
    <col min="7454" max="7455" width="7.453125" style="12" customWidth="1"/>
    <col min="7456" max="7456" width="10.81640625" style="12" customWidth="1"/>
    <col min="7457" max="7457" width="9.54296875" style="12" customWidth="1"/>
    <col min="7458" max="7458" width="10.1796875" style="12" customWidth="1"/>
    <col min="7459" max="7459" width="17.1796875" style="12" customWidth="1"/>
    <col min="7460" max="7462" width="7.453125" style="12" customWidth="1"/>
    <col min="7463" max="7692" width="10.1796875" style="12"/>
    <col min="7693" max="7693" width="32.453125" style="12" customWidth="1"/>
    <col min="7694" max="7694" width="8.54296875" style="12" customWidth="1"/>
    <col min="7695" max="7698" width="7.453125" style="12" customWidth="1"/>
    <col min="7699" max="7699" width="8.54296875" style="12" customWidth="1"/>
    <col min="7700" max="7708" width="7.453125" style="12" customWidth="1"/>
    <col min="7709" max="7709" width="8.54296875" style="12" customWidth="1"/>
    <col min="7710" max="7711" width="7.453125" style="12" customWidth="1"/>
    <col min="7712" max="7712" width="10.81640625" style="12" customWidth="1"/>
    <col min="7713" max="7713" width="9.54296875" style="12" customWidth="1"/>
    <col min="7714" max="7714" width="10.1796875" style="12" customWidth="1"/>
    <col min="7715" max="7715" width="17.1796875" style="12" customWidth="1"/>
    <col min="7716" max="7718" width="7.453125" style="12" customWidth="1"/>
    <col min="7719" max="7948" width="10.1796875" style="12"/>
    <col min="7949" max="7949" width="32.453125" style="12" customWidth="1"/>
    <col min="7950" max="7950" width="8.54296875" style="12" customWidth="1"/>
    <col min="7951" max="7954" width="7.453125" style="12" customWidth="1"/>
    <col min="7955" max="7955" width="8.54296875" style="12" customWidth="1"/>
    <col min="7956" max="7964" width="7.453125" style="12" customWidth="1"/>
    <col min="7965" max="7965" width="8.54296875" style="12" customWidth="1"/>
    <col min="7966" max="7967" width="7.453125" style="12" customWidth="1"/>
    <col min="7968" max="7968" width="10.81640625" style="12" customWidth="1"/>
    <col min="7969" max="7969" width="9.54296875" style="12" customWidth="1"/>
    <col min="7970" max="7970" width="10.1796875" style="12" customWidth="1"/>
    <col min="7971" max="7971" width="17.1796875" style="12" customWidth="1"/>
    <col min="7972" max="7974" width="7.453125" style="12" customWidth="1"/>
    <col min="7975" max="8204" width="10.1796875" style="12"/>
    <col min="8205" max="8205" width="32.453125" style="12" customWidth="1"/>
    <col min="8206" max="8206" width="8.54296875" style="12" customWidth="1"/>
    <col min="8207" max="8210" width="7.453125" style="12" customWidth="1"/>
    <col min="8211" max="8211" width="8.54296875" style="12" customWidth="1"/>
    <col min="8212" max="8220" width="7.453125" style="12" customWidth="1"/>
    <col min="8221" max="8221" width="8.54296875" style="12" customWidth="1"/>
    <col min="8222" max="8223" width="7.453125" style="12" customWidth="1"/>
    <col min="8224" max="8224" width="10.81640625" style="12" customWidth="1"/>
    <col min="8225" max="8225" width="9.54296875" style="12" customWidth="1"/>
    <col min="8226" max="8226" width="10.1796875" style="12" customWidth="1"/>
    <col min="8227" max="8227" width="17.1796875" style="12" customWidth="1"/>
    <col min="8228" max="8230" width="7.453125" style="12" customWidth="1"/>
    <col min="8231" max="8460" width="10.1796875" style="12"/>
    <col min="8461" max="8461" width="32.453125" style="12" customWidth="1"/>
    <col min="8462" max="8462" width="8.54296875" style="12" customWidth="1"/>
    <col min="8463" max="8466" width="7.453125" style="12" customWidth="1"/>
    <col min="8467" max="8467" width="8.54296875" style="12" customWidth="1"/>
    <col min="8468" max="8476" width="7.453125" style="12" customWidth="1"/>
    <col min="8477" max="8477" width="8.54296875" style="12" customWidth="1"/>
    <col min="8478" max="8479" width="7.453125" style="12" customWidth="1"/>
    <col min="8480" max="8480" width="10.81640625" style="12" customWidth="1"/>
    <col min="8481" max="8481" width="9.54296875" style="12" customWidth="1"/>
    <col min="8482" max="8482" width="10.1796875" style="12" customWidth="1"/>
    <col min="8483" max="8483" width="17.1796875" style="12" customWidth="1"/>
    <col min="8484" max="8486" width="7.453125" style="12" customWidth="1"/>
    <col min="8487" max="8716" width="10.1796875" style="12"/>
    <col min="8717" max="8717" width="32.453125" style="12" customWidth="1"/>
    <col min="8718" max="8718" width="8.54296875" style="12" customWidth="1"/>
    <col min="8719" max="8722" width="7.453125" style="12" customWidth="1"/>
    <col min="8723" max="8723" width="8.54296875" style="12" customWidth="1"/>
    <col min="8724" max="8732" width="7.453125" style="12" customWidth="1"/>
    <col min="8733" max="8733" width="8.54296875" style="12" customWidth="1"/>
    <col min="8734" max="8735" width="7.453125" style="12" customWidth="1"/>
    <col min="8736" max="8736" width="10.81640625" style="12" customWidth="1"/>
    <col min="8737" max="8737" width="9.54296875" style="12" customWidth="1"/>
    <col min="8738" max="8738" width="10.1796875" style="12" customWidth="1"/>
    <col min="8739" max="8739" width="17.1796875" style="12" customWidth="1"/>
    <col min="8740" max="8742" width="7.453125" style="12" customWidth="1"/>
    <col min="8743" max="8972" width="10.1796875" style="12"/>
    <col min="8973" max="8973" width="32.453125" style="12" customWidth="1"/>
    <col min="8974" max="8974" width="8.54296875" style="12" customWidth="1"/>
    <col min="8975" max="8978" width="7.453125" style="12" customWidth="1"/>
    <col min="8979" max="8979" width="8.54296875" style="12" customWidth="1"/>
    <col min="8980" max="8988" width="7.453125" style="12" customWidth="1"/>
    <col min="8989" max="8989" width="8.54296875" style="12" customWidth="1"/>
    <col min="8990" max="8991" width="7.453125" style="12" customWidth="1"/>
    <col min="8992" max="8992" width="10.81640625" style="12" customWidth="1"/>
    <col min="8993" max="8993" width="9.54296875" style="12" customWidth="1"/>
    <col min="8994" max="8994" width="10.1796875" style="12" customWidth="1"/>
    <col min="8995" max="8995" width="17.1796875" style="12" customWidth="1"/>
    <col min="8996" max="8998" width="7.453125" style="12" customWidth="1"/>
    <col min="8999" max="9228" width="10.1796875" style="12"/>
    <col min="9229" max="9229" width="32.453125" style="12" customWidth="1"/>
    <col min="9230" max="9230" width="8.54296875" style="12" customWidth="1"/>
    <col min="9231" max="9234" width="7.453125" style="12" customWidth="1"/>
    <col min="9235" max="9235" width="8.54296875" style="12" customWidth="1"/>
    <col min="9236" max="9244" width="7.453125" style="12" customWidth="1"/>
    <col min="9245" max="9245" width="8.54296875" style="12" customWidth="1"/>
    <col min="9246" max="9247" width="7.453125" style="12" customWidth="1"/>
    <col min="9248" max="9248" width="10.81640625" style="12" customWidth="1"/>
    <col min="9249" max="9249" width="9.54296875" style="12" customWidth="1"/>
    <col min="9250" max="9250" width="10.1796875" style="12" customWidth="1"/>
    <col min="9251" max="9251" width="17.1796875" style="12" customWidth="1"/>
    <col min="9252" max="9254" width="7.453125" style="12" customWidth="1"/>
    <col min="9255" max="9484" width="10.1796875" style="12"/>
    <col min="9485" max="9485" width="32.453125" style="12" customWidth="1"/>
    <col min="9486" max="9486" width="8.54296875" style="12" customWidth="1"/>
    <col min="9487" max="9490" width="7.453125" style="12" customWidth="1"/>
    <col min="9491" max="9491" width="8.54296875" style="12" customWidth="1"/>
    <col min="9492" max="9500" width="7.453125" style="12" customWidth="1"/>
    <col min="9501" max="9501" width="8.54296875" style="12" customWidth="1"/>
    <col min="9502" max="9503" width="7.453125" style="12" customWidth="1"/>
    <col min="9504" max="9504" width="10.81640625" style="12" customWidth="1"/>
    <col min="9505" max="9505" width="9.54296875" style="12" customWidth="1"/>
    <col min="9506" max="9506" width="10.1796875" style="12" customWidth="1"/>
    <col min="9507" max="9507" width="17.1796875" style="12" customWidth="1"/>
    <col min="9508" max="9510" width="7.453125" style="12" customWidth="1"/>
    <col min="9511" max="9740" width="10.1796875" style="12"/>
    <col min="9741" max="9741" width="32.453125" style="12" customWidth="1"/>
    <col min="9742" max="9742" width="8.54296875" style="12" customWidth="1"/>
    <col min="9743" max="9746" width="7.453125" style="12" customWidth="1"/>
    <col min="9747" max="9747" width="8.54296875" style="12" customWidth="1"/>
    <col min="9748" max="9756" width="7.453125" style="12" customWidth="1"/>
    <col min="9757" max="9757" width="8.54296875" style="12" customWidth="1"/>
    <col min="9758" max="9759" width="7.453125" style="12" customWidth="1"/>
    <col min="9760" max="9760" width="10.81640625" style="12" customWidth="1"/>
    <col min="9761" max="9761" width="9.54296875" style="12" customWidth="1"/>
    <col min="9762" max="9762" width="10.1796875" style="12" customWidth="1"/>
    <col min="9763" max="9763" width="17.1796875" style="12" customWidth="1"/>
    <col min="9764" max="9766" width="7.453125" style="12" customWidth="1"/>
    <col min="9767" max="9996" width="10.1796875" style="12"/>
    <col min="9997" max="9997" width="32.453125" style="12" customWidth="1"/>
    <col min="9998" max="9998" width="8.54296875" style="12" customWidth="1"/>
    <col min="9999" max="10002" width="7.453125" style="12" customWidth="1"/>
    <col min="10003" max="10003" width="8.54296875" style="12" customWidth="1"/>
    <col min="10004" max="10012" width="7.453125" style="12" customWidth="1"/>
    <col min="10013" max="10013" width="8.54296875" style="12" customWidth="1"/>
    <col min="10014" max="10015" width="7.453125" style="12" customWidth="1"/>
    <col min="10016" max="10016" width="10.81640625" style="12" customWidth="1"/>
    <col min="10017" max="10017" width="9.54296875" style="12" customWidth="1"/>
    <col min="10018" max="10018" width="10.1796875" style="12" customWidth="1"/>
    <col min="10019" max="10019" width="17.1796875" style="12" customWidth="1"/>
    <col min="10020" max="10022" width="7.453125" style="12" customWidth="1"/>
    <col min="10023" max="10252" width="10.1796875" style="12"/>
    <col min="10253" max="10253" width="32.453125" style="12" customWidth="1"/>
    <col min="10254" max="10254" width="8.54296875" style="12" customWidth="1"/>
    <col min="10255" max="10258" width="7.453125" style="12" customWidth="1"/>
    <col min="10259" max="10259" width="8.54296875" style="12" customWidth="1"/>
    <col min="10260" max="10268" width="7.453125" style="12" customWidth="1"/>
    <col min="10269" max="10269" width="8.54296875" style="12" customWidth="1"/>
    <col min="10270" max="10271" width="7.453125" style="12" customWidth="1"/>
    <col min="10272" max="10272" width="10.81640625" style="12" customWidth="1"/>
    <col min="10273" max="10273" width="9.54296875" style="12" customWidth="1"/>
    <col min="10274" max="10274" width="10.1796875" style="12" customWidth="1"/>
    <col min="10275" max="10275" width="17.1796875" style="12" customWidth="1"/>
    <col min="10276" max="10278" width="7.453125" style="12" customWidth="1"/>
    <col min="10279" max="10508" width="10.1796875" style="12"/>
    <col min="10509" max="10509" width="32.453125" style="12" customWidth="1"/>
    <col min="10510" max="10510" width="8.54296875" style="12" customWidth="1"/>
    <col min="10511" max="10514" width="7.453125" style="12" customWidth="1"/>
    <col min="10515" max="10515" width="8.54296875" style="12" customWidth="1"/>
    <col min="10516" max="10524" width="7.453125" style="12" customWidth="1"/>
    <col min="10525" max="10525" width="8.54296875" style="12" customWidth="1"/>
    <col min="10526" max="10527" width="7.453125" style="12" customWidth="1"/>
    <col min="10528" max="10528" width="10.81640625" style="12" customWidth="1"/>
    <col min="10529" max="10529" width="9.54296875" style="12" customWidth="1"/>
    <col min="10530" max="10530" width="10.1796875" style="12" customWidth="1"/>
    <col min="10531" max="10531" width="17.1796875" style="12" customWidth="1"/>
    <col min="10532" max="10534" width="7.453125" style="12" customWidth="1"/>
    <col min="10535" max="10764" width="10.1796875" style="12"/>
    <col min="10765" max="10765" width="32.453125" style="12" customWidth="1"/>
    <col min="10766" max="10766" width="8.54296875" style="12" customWidth="1"/>
    <col min="10767" max="10770" width="7.453125" style="12" customWidth="1"/>
    <col min="10771" max="10771" width="8.54296875" style="12" customWidth="1"/>
    <col min="10772" max="10780" width="7.453125" style="12" customWidth="1"/>
    <col min="10781" max="10781" width="8.54296875" style="12" customWidth="1"/>
    <col min="10782" max="10783" width="7.453125" style="12" customWidth="1"/>
    <col min="10784" max="10784" width="10.81640625" style="12" customWidth="1"/>
    <col min="10785" max="10785" width="9.54296875" style="12" customWidth="1"/>
    <col min="10786" max="10786" width="10.1796875" style="12" customWidth="1"/>
    <col min="10787" max="10787" width="17.1796875" style="12" customWidth="1"/>
    <col min="10788" max="10790" width="7.453125" style="12" customWidth="1"/>
    <col min="10791" max="11020" width="10.1796875" style="12"/>
    <col min="11021" max="11021" width="32.453125" style="12" customWidth="1"/>
    <col min="11022" max="11022" width="8.54296875" style="12" customWidth="1"/>
    <col min="11023" max="11026" width="7.453125" style="12" customWidth="1"/>
    <col min="11027" max="11027" width="8.54296875" style="12" customWidth="1"/>
    <col min="11028" max="11036" width="7.453125" style="12" customWidth="1"/>
    <col min="11037" max="11037" width="8.54296875" style="12" customWidth="1"/>
    <col min="11038" max="11039" width="7.453125" style="12" customWidth="1"/>
    <col min="11040" max="11040" width="10.81640625" style="12" customWidth="1"/>
    <col min="11041" max="11041" width="9.54296875" style="12" customWidth="1"/>
    <col min="11042" max="11042" width="10.1796875" style="12" customWidth="1"/>
    <col min="11043" max="11043" width="17.1796875" style="12" customWidth="1"/>
    <col min="11044" max="11046" width="7.453125" style="12" customWidth="1"/>
    <col min="11047" max="11276" width="10.1796875" style="12"/>
    <col min="11277" max="11277" width="32.453125" style="12" customWidth="1"/>
    <col min="11278" max="11278" width="8.54296875" style="12" customWidth="1"/>
    <col min="11279" max="11282" width="7.453125" style="12" customWidth="1"/>
    <col min="11283" max="11283" width="8.54296875" style="12" customWidth="1"/>
    <col min="11284" max="11292" width="7.453125" style="12" customWidth="1"/>
    <col min="11293" max="11293" width="8.54296875" style="12" customWidth="1"/>
    <col min="11294" max="11295" width="7.453125" style="12" customWidth="1"/>
    <col min="11296" max="11296" width="10.81640625" style="12" customWidth="1"/>
    <col min="11297" max="11297" width="9.54296875" style="12" customWidth="1"/>
    <col min="11298" max="11298" width="10.1796875" style="12" customWidth="1"/>
    <col min="11299" max="11299" width="17.1796875" style="12" customWidth="1"/>
    <col min="11300" max="11302" width="7.453125" style="12" customWidth="1"/>
    <col min="11303" max="11532" width="10.1796875" style="12"/>
    <col min="11533" max="11533" width="32.453125" style="12" customWidth="1"/>
    <col min="11534" max="11534" width="8.54296875" style="12" customWidth="1"/>
    <col min="11535" max="11538" width="7.453125" style="12" customWidth="1"/>
    <col min="11539" max="11539" width="8.54296875" style="12" customWidth="1"/>
    <col min="11540" max="11548" width="7.453125" style="12" customWidth="1"/>
    <col min="11549" max="11549" width="8.54296875" style="12" customWidth="1"/>
    <col min="11550" max="11551" width="7.453125" style="12" customWidth="1"/>
    <col min="11552" max="11552" width="10.81640625" style="12" customWidth="1"/>
    <col min="11553" max="11553" width="9.54296875" style="12" customWidth="1"/>
    <col min="11554" max="11554" width="10.1796875" style="12" customWidth="1"/>
    <col min="11555" max="11555" width="17.1796875" style="12" customWidth="1"/>
    <col min="11556" max="11558" width="7.453125" style="12" customWidth="1"/>
    <col min="11559" max="11788" width="10.1796875" style="12"/>
    <col min="11789" max="11789" width="32.453125" style="12" customWidth="1"/>
    <col min="11790" max="11790" width="8.54296875" style="12" customWidth="1"/>
    <col min="11791" max="11794" width="7.453125" style="12" customWidth="1"/>
    <col min="11795" max="11795" width="8.54296875" style="12" customWidth="1"/>
    <col min="11796" max="11804" width="7.453125" style="12" customWidth="1"/>
    <col min="11805" max="11805" width="8.54296875" style="12" customWidth="1"/>
    <col min="11806" max="11807" width="7.453125" style="12" customWidth="1"/>
    <col min="11808" max="11808" width="10.81640625" style="12" customWidth="1"/>
    <col min="11809" max="11809" width="9.54296875" style="12" customWidth="1"/>
    <col min="11810" max="11810" width="10.1796875" style="12" customWidth="1"/>
    <col min="11811" max="11811" width="17.1796875" style="12" customWidth="1"/>
    <col min="11812" max="11814" width="7.453125" style="12" customWidth="1"/>
    <col min="11815" max="12044" width="10.1796875" style="12"/>
    <col min="12045" max="12045" width="32.453125" style="12" customWidth="1"/>
    <col min="12046" max="12046" width="8.54296875" style="12" customWidth="1"/>
    <col min="12047" max="12050" width="7.453125" style="12" customWidth="1"/>
    <col min="12051" max="12051" width="8.54296875" style="12" customWidth="1"/>
    <col min="12052" max="12060" width="7.453125" style="12" customWidth="1"/>
    <col min="12061" max="12061" width="8.54296875" style="12" customWidth="1"/>
    <col min="12062" max="12063" width="7.453125" style="12" customWidth="1"/>
    <col min="12064" max="12064" width="10.81640625" style="12" customWidth="1"/>
    <col min="12065" max="12065" width="9.54296875" style="12" customWidth="1"/>
    <col min="12066" max="12066" width="10.1796875" style="12" customWidth="1"/>
    <col min="12067" max="12067" width="17.1796875" style="12" customWidth="1"/>
    <col min="12068" max="12070" width="7.453125" style="12" customWidth="1"/>
    <col min="12071" max="12300" width="10.1796875" style="12"/>
    <col min="12301" max="12301" width="32.453125" style="12" customWidth="1"/>
    <col min="12302" max="12302" width="8.54296875" style="12" customWidth="1"/>
    <col min="12303" max="12306" width="7.453125" style="12" customWidth="1"/>
    <col min="12307" max="12307" width="8.54296875" style="12" customWidth="1"/>
    <col min="12308" max="12316" width="7.453125" style="12" customWidth="1"/>
    <col min="12317" max="12317" width="8.54296875" style="12" customWidth="1"/>
    <col min="12318" max="12319" width="7.453125" style="12" customWidth="1"/>
    <col min="12320" max="12320" width="10.81640625" style="12" customWidth="1"/>
    <col min="12321" max="12321" width="9.54296875" style="12" customWidth="1"/>
    <col min="12322" max="12322" width="10.1796875" style="12" customWidth="1"/>
    <col min="12323" max="12323" width="17.1796875" style="12" customWidth="1"/>
    <col min="12324" max="12326" width="7.453125" style="12" customWidth="1"/>
    <col min="12327" max="12556" width="10.1796875" style="12"/>
    <col min="12557" max="12557" width="32.453125" style="12" customWidth="1"/>
    <col min="12558" max="12558" width="8.54296875" style="12" customWidth="1"/>
    <col min="12559" max="12562" width="7.453125" style="12" customWidth="1"/>
    <col min="12563" max="12563" width="8.54296875" style="12" customWidth="1"/>
    <col min="12564" max="12572" width="7.453125" style="12" customWidth="1"/>
    <col min="12573" max="12573" width="8.54296875" style="12" customWidth="1"/>
    <col min="12574" max="12575" width="7.453125" style="12" customWidth="1"/>
    <col min="12576" max="12576" width="10.81640625" style="12" customWidth="1"/>
    <col min="12577" max="12577" width="9.54296875" style="12" customWidth="1"/>
    <col min="12578" max="12578" width="10.1796875" style="12" customWidth="1"/>
    <col min="12579" max="12579" width="17.1796875" style="12" customWidth="1"/>
    <col min="12580" max="12582" width="7.453125" style="12" customWidth="1"/>
    <col min="12583" max="12812" width="10.1796875" style="12"/>
    <col min="12813" max="12813" width="32.453125" style="12" customWidth="1"/>
    <col min="12814" max="12814" width="8.54296875" style="12" customWidth="1"/>
    <col min="12815" max="12818" width="7.453125" style="12" customWidth="1"/>
    <col min="12819" max="12819" width="8.54296875" style="12" customWidth="1"/>
    <col min="12820" max="12828" width="7.453125" style="12" customWidth="1"/>
    <col min="12829" max="12829" width="8.54296875" style="12" customWidth="1"/>
    <col min="12830" max="12831" width="7.453125" style="12" customWidth="1"/>
    <col min="12832" max="12832" width="10.81640625" style="12" customWidth="1"/>
    <col min="12833" max="12833" width="9.54296875" style="12" customWidth="1"/>
    <col min="12834" max="12834" width="10.1796875" style="12" customWidth="1"/>
    <col min="12835" max="12835" width="17.1796875" style="12" customWidth="1"/>
    <col min="12836" max="12838" width="7.453125" style="12" customWidth="1"/>
    <col min="12839" max="13068" width="10.1796875" style="12"/>
    <col min="13069" max="13069" width="32.453125" style="12" customWidth="1"/>
    <col min="13070" max="13070" width="8.54296875" style="12" customWidth="1"/>
    <col min="13071" max="13074" width="7.453125" style="12" customWidth="1"/>
    <col min="13075" max="13075" width="8.54296875" style="12" customWidth="1"/>
    <col min="13076" max="13084" width="7.453125" style="12" customWidth="1"/>
    <col min="13085" max="13085" width="8.54296875" style="12" customWidth="1"/>
    <col min="13086" max="13087" width="7.453125" style="12" customWidth="1"/>
    <col min="13088" max="13088" width="10.81640625" style="12" customWidth="1"/>
    <col min="13089" max="13089" width="9.54296875" style="12" customWidth="1"/>
    <col min="13090" max="13090" width="10.1796875" style="12" customWidth="1"/>
    <col min="13091" max="13091" width="17.1796875" style="12" customWidth="1"/>
    <col min="13092" max="13094" width="7.453125" style="12" customWidth="1"/>
    <col min="13095" max="13324" width="10.1796875" style="12"/>
    <col min="13325" max="13325" width="32.453125" style="12" customWidth="1"/>
    <col min="13326" max="13326" width="8.54296875" style="12" customWidth="1"/>
    <col min="13327" max="13330" width="7.453125" style="12" customWidth="1"/>
    <col min="13331" max="13331" width="8.54296875" style="12" customWidth="1"/>
    <col min="13332" max="13340" width="7.453125" style="12" customWidth="1"/>
    <col min="13341" max="13341" width="8.54296875" style="12" customWidth="1"/>
    <col min="13342" max="13343" width="7.453125" style="12" customWidth="1"/>
    <col min="13344" max="13344" width="10.81640625" style="12" customWidth="1"/>
    <col min="13345" max="13345" width="9.54296875" style="12" customWidth="1"/>
    <col min="13346" max="13346" width="10.1796875" style="12" customWidth="1"/>
    <col min="13347" max="13347" width="17.1796875" style="12" customWidth="1"/>
    <col min="13348" max="13350" width="7.453125" style="12" customWidth="1"/>
    <col min="13351" max="13580" width="10.1796875" style="12"/>
    <col min="13581" max="13581" width="32.453125" style="12" customWidth="1"/>
    <col min="13582" max="13582" width="8.54296875" style="12" customWidth="1"/>
    <col min="13583" max="13586" width="7.453125" style="12" customWidth="1"/>
    <col min="13587" max="13587" width="8.54296875" style="12" customWidth="1"/>
    <col min="13588" max="13596" width="7.453125" style="12" customWidth="1"/>
    <col min="13597" max="13597" width="8.54296875" style="12" customWidth="1"/>
    <col min="13598" max="13599" width="7.453125" style="12" customWidth="1"/>
    <col min="13600" max="13600" width="10.81640625" style="12" customWidth="1"/>
    <col min="13601" max="13601" width="9.54296875" style="12" customWidth="1"/>
    <col min="13602" max="13602" width="10.1796875" style="12" customWidth="1"/>
    <col min="13603" max="13603" width="17.1796875" style="12" customWidth="1"/>
    <col min="13604" max="13606" width="7.453125" style="12" customWidth="1"/>
    <col min="13607" max="13836" width="10.1796875" style="12"/>
    <col min="13837" max="13837" width="32.453125" style="12" customWidth="1"/>
    <col min="13838" max="13838" width="8.54296875" style="12" customWidth="1"/>
    <col min="13839" max="13842" width="7.453125" style="12" customWidth="1"/>
    <col min="13843" max="13843" width="8.54296875" style="12" customWidth="1"/>
    <col min="13844" max="13852" width="7.453125" style="12" customWidth="1"/>
    <col min="13853" max="13853" width="8.54296875" style="12" customWidth="1"/>
    <col min="13854" max="13855" width="7.453125" style="12" customWidth="1"/>
    <col min="13856" max="13856" width="10.81640625" style="12" customWidth="1"/>
    <col min="13857" max="13857" width="9.54296875" style="12" customWidth="1"/>
    <col min="13858" max="13858" width="10.1796875" style="12" customWidth="1"/>
    <col min="13859" max="13859" width="17.1796875" style="12" customWidth="1"/>
    <col min="13860" max="13862" width="7.453125" style="12" customWidth="1"/>
    <col min="13863" max="14092" width="10.1796875" style="12"/>
    <col min="14093" max="14093" width="32.453125" style="12" customWidth="1"/>
    <col min="14094" max="14094" width="8.54296875" style="12" customWidth="1"/>
    <col min="14095" max="14098" width="7.453125" style="12" customWidth="1"/>
    <col min="14099" max="14099" width="8.54296875" style="12" customWidth="1"/>
    <col min="14100" max="14108" width="7.453125" style="12" customWidth="1"/>
    <col min="14109" max="14109" width="8.54296875" style="12" customWidth="1"/>
    <col min="14110" max="14111" width="7.453125" style="12" customWidth="1"/>
    <col min="14112" max="14112" width="10.81640625" style="12" customWidth="1"/>
    <col min="14113" max="14113" width="9.54296875" style="12" customWidth="1"/>
    <col min="14114" max="14114" width="10.1796875" style="12" customWidth="1"/>
    <col min="14115" max="14115" width="17.1796875" style="12" customWidth="1"/>
    <col min="14116" max="14118" width="7.453125" style="12" customWidth="1"/>
    <col min="14119" max="14348" width="10.1796875" style="12"/>
    <col min="14349" max="14349" width="32.453125" style="12" customWidth="1"/>
    <col min="14350" max="14350" width="8.54296875" style="12" customWidth="1"/>
    <col min="14351" max="14354" width="7.453125" style="12" customWidth="1"/>
    <col min="14355" max="14355" width="8.54296875" style="12" customWidth="1"/>
    <col min="14356" max="14364" width="7.453125" style="12" customWidth="1"/>
    <col min="14365" max="14365" width="8.54296875" style="12" customWidth="1"/>
    <col min="14366" max="14367" width="7.453125" style="12" customWidth="1"/>
    <col min="14368" max="14368" width="10.81640625" style="12" customWidth="1"/>
    <col min="14369" max="14369" width="9.54296875" style="12" customWidth="1"/>
    <col min="14370" max="14370" width="10.1796875" style="12" customWidth="1"/>
    <col min="14371" max="14371" width="17.1796875" style="12" customWidth="1"/>
    <col min="14372" max="14374" width="7.453125" style="12" customWidth="1"/>
    <col min="14375" max="14604" width="10.1796875" style="12"/>
    <col min="14605" max="14605" width="32.453125" style="12" customWidth="1"/>
    <col min="14606" max="14606" width="8.54296875" style="12" customWidth="1"/>
    <col min="14607" max="14610" width="7.453125" style="12" customWidth="1"/>
    <col min="14611" max="14611" width="8.54296875" style="12" customWidth="1"/>
    <col min="14612" max="14620" width="7.453125" style="12" customWidth="1"/>
    <col min="14621" max="14621" width="8.54296875" style="12" customWidth="1"/>
    <col min="14622" max="14623" width="7.453125" style="12" customWidth="1"/>
    <col min="14624" max="14624" width="10.81640625" style="12" customWidth="1"/>
    <col min="14625" max="14625" width="9.54296875" style="12" customWidth="1"/>
    <col min="14626" max="14626" width="10.1796875" style="12" customWidth="1"/>
    <col min="14627" max="14627" width="17.1796875" style="12" customWidth="1"/>
    <col min="14628" max="14630" width="7.453125" style="12" customWidth="1"/>
    <col min="14631" max="14860" width="10.1796875" style="12"/>
    <col min="14861" max="14861" width="32.453125" style="12" customWidth="1"/>
    <col min="14862" max="14862" width="8.54296875" style="12" customWidth="1"/>
    <col min="14863" max="14866" width="7.453125" style="12" customWidth="1"/>
    <col min="14867" max="14867" width="8.54296875" style="12" customWidth="1"/>
    <col min="14868" max="14876" width="7.453125" style="12" customWidth="1"/>
    <col min="14877" max="14877" width="8.54296875" style="12" customWidth="1"/>
    <col min="14878" max="14879" width="7.453125" style="12" customWidth="1"/>
    <col min="14880" max="14880" width="10.81640625" style="12" customWidth="1"/>
    <col min="14881" max="14881" width="9.54296875" style="12" customWidth="1"/>
    <col min="14882" max="14882" width="10.1796875" style="12" customWidth="1"/>
    <col min="14883" max="14883" width="17.1796875" style="12" customWidth="1"/>
    <col min="14884" max="14886" width="7.453125" style="12" customWidth="1"/>
    <col min="14887" max="15116" width="10.1796875" style="12"/>
    <col min="15117" max="15117" width="32.453125" style="12" customWidth="1"/>
    <col min="15118" max="15118" width="8.54296875" style="12" customWidth="1"/>
    <col min="15119" max="15122" width="7.453125" style="12" customWidth="1"/>
    <col min="15123" max="15123" width="8.54296875" style="12" customWidth="1"/>
    <col min="15124" max="15132" width="7.453125" style="12" customWidth="1"/>
    <col min="15133" max="15133" width="8.54296875" style="12" customWidth="1"/>
    <col min="15134" max="15135" width="7.453125" style="12" customWidth="1"/>
    <col min="15136" max="15136" width="10.81640625" style="12" customWidth="1"/>
    <col min="15137" max="15137" width="9.54296875" style="12" customWidth="1"/>
    <col min="15138" max="15138" width="10.1796875" style="12" customWidth="1"/>
    <col min="15139" max="15139" width="17.1796875" style="12" customWidth="1"/>
    <col min="15140" max="15142" width="7.453125" style="12" customWidth="1"/>
    <col min="15143" max="15372" width="10.1796875" style="12"/>
    <col min="15373" max="15373" width="32.453125" style="12" customWidth="1"/>
    <col min="15374" max="15374" width="8.54296875" style="12" customWidth="1"/>
    <col min="15375" max="15378" width="7.453125" style="12" customWidth="1"/>
    <col min="15379" max="15379" width="8.54296875" style="12" customWidth="1"/>
    <col min="15380" max="15388" width="7.453125" style="12" customWidth="1"/>
    <col min="15389" max="15389" width="8.54296875" style="12" customWidth="1"/>
    <col min="15390" max="15391" width="7.453125" style="12" customWidth="1"/>
    <col min="15392" max="15392" width="10.81640625" style="12" customWidth="1"/>
    <col min="15393" max="15393" width="9.54296875" style="12" customWidth="1"/>
    <col min="15394" max="15394" width="10.1796875" style="12" customWidth="1"/>
    <col min="15395" max="15395" width="17.1796875" style="12" customWidth="1"/>
    <col min="15396" max="15398" width="7.453125" style="12" customWidth="1"/>
    <col min="15399" max="15628" width="10.1796875" style="12"/>
    <col min="15629" max="15629" width="32.453125" style="12" customWidth="1"/>
    <col min="15630" max="15630" width="8.54296875" style="12" customWidth="1"/>
    <col min="15631" max="15634" width="7.453125" style="12" customWidth="1"/>
    <col min="15635" max="15635" width="8.54296875" style="12" customWidth="1"/>
    <col min="15636" max="15644" width="7.453125" style="12" customWidth="1"/>
    <col min="15645" max="15645" width="8.54296875" style="12" customWidth="1"/>
    <col min="15646" max="15647" width="7.453125" style="12" customWidth="1"/>
    <col min="15648" max="15648" width="10.81640625" style="12" customWidth="1"/>
    <col min="15649" max="15649" width="9.54296875" style="12" customWidth="1"/>
    <col min="15650" max="15650" width="10.1796875" style="12" customWidth="1"/>
    <col min="15651" max="15651" width="17.1796875" style="12" customWidth="1"/>
    <col min="15652" max="15654" width="7.453125" style="12" customWidth="1"/>
    <col min="15655" max="15884" width="10.1796875" style="12"/>
    <col min="15885" max="15885" width="32.453125" style="12" customWidth="1"/>
    <col min="15886" max="15886" width="8.54296875" style="12" customWidth="1"/>
    <col min="15887" max="15890" width="7.453125" style="12" customWidth="1"/>
    <col min="15891" max="15891" width="8.54296875" style="12" customWidth="1"/>
    <col min="15892" max="15900" width="7.453125" style="12" customWidth="1"/>
    <col min="15901" max="15901" width="8.54296875" style="12" customWidth="1"/>
    <col min="15902" max="15903" width="7.453125" style="12" customWidth="1"/>
    <col min="15904" max="15904" width="10.81640625" style="12" customWidth="1"/>
    <col min="15905" max="15905" width="9.54296875" style="12" customWidth="1"/>
    <col min="15906" max="15906" width="10.1796875" style="12" customWidth="1"/>
    <col min="15907" max="15907" width="17.1796875" style="12" customWidth="1"/>
    <col min="15908" max="15910" width="7.453125" style="12" customWidth="1"/>
    <col min="15911" max="16140" width="10.1796875" style="12"/>
    <col min="16141" max="16141" width="32.453125" style="12" customWidth="1"/>
    <col min="16142" max="16142" width="8.54296875" style="12" customWidth="1"/>
    <col min="16143" max="16146" width="7.453125" style="12" customWidth="1"/>
    <col min="16147" max="16147" width="8.54296875" style="12" customWidth="1"/>
    <col min="16148" max="16156" width="7.453125" style="12" customWidth="1"/>
    <col min="16157" max="16157" width="8.54296875" style="12" customWidth="1"/>
    <col min="16158" max="16159" width="7.453125" style="12" customWidth="1"/>
    <col min="16160" max="16160" width="10.81640625" style="12" customWidth="1"/>
    <col min="16161" max="16161" width="9.54296875" style="12" customWidth="1"/>
    <col min="16162" max="16162" width="10.1796875" style="12" customWidth="1"/>
    <col min="16163" max="16163" width="17.1796875" style="12" customWidth="1"/>
    <col min="16164" max="16166" width="7.453125" style="12" customWidth="1"/>
    <col min="16167" max="16384" width="10.1796875" style="12"/>
  </cols>
  <sheetData>
    <row r="1" spans="1:43" s="184" customFormat="1" ht="26">
      <c r="A1" s="1" t="s">
        <v>474</v>
      </c>
      <c r="B1" s="3" t="s">
        <v>422</v>
      </c>
      <c r="C1" s="3" t="s">
        <v>423</v>
      </c>
      <c r="D1" s="3" t="s">
        <v>516</v>
      </c>
      <c r="E1" s="4" t="s">
        <v>424</v>
      </c>
      <c r="F1" s="183" t="s">
        <v>520</v>
      </c>
      <c r="G1" s="183" t="s">
        <v>512</v>
      </c>
      <c r="H1" s="183" t="s">
        <v>515</v>
      </c>
      <c r="I1" s="183" t="s">
        <v>514</v>
      </c>
      <c r="J1" s="183" t="s">
        <v>332</v>
      </c>
      <c r="K1" s="2" t="s">
        <v>426</v>
      </c>
      <c r="L1" s="3" t="s">
        <v>427</v>
      </c>
      <c r="M1" s="4" t="s">
        <v>428</v>
      </c>
      <c r="N1" s="2" t="s">
        <v>511</v>
      </c>
      <c r="O1" s="3" t="s">
        <v>427</v>
      </c>
      <c r="P1" s="4" t="s">
        <v>428</v>
      </c>
      <c r="Q1" s="2" t="s">
        <v>517</v>
      </c>
      <c r="R1" s="3" t="s">
        <v>427</v>
      </c>
      <c r="S1" s="4" t="s">
        <v>428</v>
      </c>
      <c r="T1" s="2" t="s">
        <v>513</v>
      </c>
      <c r="U1" s="3" t="s">
        <v>427</v>
      </c>
      <c r="V1" s="4" t="s">
        <v>428</v>
      </c>
      <c r="W1" s="2" t="s">
        <v>426</v>
      </c>
      <c r="X1" s="3" t="s">
        <v>427</v>
      </c>
      <c r="Y1" s="4" t="s">
        <v>428</v>
      </c>
      <c r="Z1" s="2" t="s">
        <v>429</v>
      </c>
      <c r="AA1" s="3" t="s">
        <v>6</v>
      </c>
      <c r="AB1" s="4" t="s">
        <v>8</v>
      </c>
      <c r="AI1" s="185" t="s">
        <v>430</v>
      </c>
      <c r="AJ1" s="185" t="s">
        <v>431</v>
      </c>
      <c r="AK1" s="185" t="s">
        <v>432</v>
      </c>
      <c r="AL1" s="186" t="s">
        <v>433</v>
      </c>
      <c r="AM1" s="103" t="s">
        <v>434</v>
      </c>
      <c r="AN1" s="103"/>
      <c r="AO1" s="103" t="s">
        <v>435</v>
      </c>
      <c r="AP1" s="3" t="s">
        <v>436</v>
      </c>
      <c r="AQ1" s="3" t="s">
        <v>437</v>
      </c>
    </row>
    <row r="2" spans="1:43" ht="13">
      <c r="A2" s="6" t="s">
        <v>438</v>
      </c>
      <c r="B2" s="8"/>
      <c r="C2" s="8"/>
      <c r="D2" s="8"/>
      <c r="E2" s="9"/>
      <c r="F2" s="187"/>
      <c r="G2" s="187"/>
      <c r="H2" s="187"/>
      <c r="I2" s="187"/>
      <c r="J2" s="187"/>
      <c r="K2" s="7"/>
      <c r="L2" s="8"/>
      <c r="M2" s="9"/>
      <c r="N2" s="7"/>
      <c r="O2" s="8"/>
      <c r="P2" s="9"/>
      <c r="Q2" s="7"/>
      <c r="R2" s="8"/>
      <c r="S2" s="9"/>
      <c r="T2" s="7"/>
      <c r="U2" s="8"/>
      <c r="V2" s="9"/>
      <c r="W2" s="7"/>
      <c r="X2" s="8"/>
      <c r="Y2" s="9"/>
      <c r="Z2" s="7"/>
      <c r="AA2" s="8"/>
      <c r="AB2" s="9"/>
      <c r="AI2" s="188"/>
      <c r="AJ2" s="188"/>
      <c r="AK2" s="188"/>
      <c r="AL2" s="188"/>
      <c r="AM2" s="8"/>
      <c r="AN2" s="8"/>
      <c r="AO2" s="8"/>
      <c r="AP2" s="8"/>
      <c r="AQ2" s="8"/>
    </row>
    <row r="3" spans="1:43">
      <c r="A3" s="10" t="s">
        <v>9</v>
      </c>
      <c r="B3" s="8"/>
      <c r="C3" s="8"/>
      <c r="D3" s="8"/>
      <c r="E3" s="9"/>
      <c r="F3" s="187"/>
      <c r="G3" s="187"/>
      <c r="H3" s="187"/>
      <c r="I3" s="187"/>
      <c r="J3" s="187"/>
      <c r="K3" s="7"/>
      <c r="L3" s="8"/>
      <c r="M3" s="9"/>
      <c r="N3" s="7"/>
      <c r="O3" s="8"/>
      <c r="P3" s="9"/>
      <c r="Q3" s="7"/>
      <c r="R3" s="8"/>
      <c r="S3" s="9"/>
      <c r="T3" s="7"/>
      <c r="U3" s="8"/>
      <c r="V3" s="9"/>
      <c r="W3" s="7"/>
      <c r="X3" s="8"/>
      <c r="Y3" s="9"/>
      <c r="Z3" s="7"/>
      <c r="AA3" s="8"/>
      <c r="AB3" s="9"/>
      <c r="AI3" s="188"/>
      <c r="AJ3" s="188"/>
      <c r="AK3" s="188"/>
      <c r="AL3" s="188"/>
      <c r="AM3" s="8"/>
      <c r="AN3" s="8"/>
      <c r="AO3" s="8"/>
      <c r="AP3" s="8"/>
      <c r="AQ3" s="8"/>
    </row>
    <row r="4" spans="1:43">
      <c r="A4" s="10" t="s">
        <v>11</v>
      </c>
      <c r="B4" s="12"/>
      <c r="C4" s="12"/>
      <c r="D4" s="12"/>
      <c r="E4" s="12"/>
      <c r="F4" s="189"/>
      <c r="G4" s="189"/>
      <c r="H4" s="189"/>
      <c r="I4" s="189"/>
      <c r="J4" s="187"/>
      <c r="K4" s="17">
        <f>AVERAGE(0.3,0.45)</f>
        <v>0.375</v>
      </c>
      <c r="L4" s="8"/>
      <c r="M4" s="9"/>
      <c r="N4" s="17">
        <f>AVERAGE(0.3,0.45)</f>
        <v>0.375</v>
      </c>
      <c r="O4" s="8"/>
      <c r="P4" s="9"/>
      <c r="Q4" s="17">
        <f>AVERAGE(0.3,0.45)</f>
        <v>0.375</v>
      </c>
      <c r="R4" s="8"/>
      <c r="S4" s="9"/>
      <c r="T4" s="17">
        <f>AVERAGE(0.3,0.45)</f>
        <v>0.375</v>
      </c>
      <c r="U4" s="8"/>
      <c r="V4" s="9"/>
      <c r="W4" s="17">
        <f>AVERAGE(0.3,0.45)</f>
        <v>0.375</v>
      </c>
      <c r="X4" s="8"/>
      <c r="Y4" s="9"/>
      <c r="Z4" s="190" t="s">
        <v>12</v>
      </c>
      <c r="AA4" s="8"/>
      <c r="AB4" s="9"/>
      <c r="AI4" s="188"/>
      <c r="AJ4" s="188"/>
      <c r="AK4" s="188"/>
      <c r="AL4" s="188"/>
      <c r="AM4" s="8"/>
      <c r="AN4" s="8"/>
      <c r="AO4" s="8"/>
      <c r="AP4" s="8"/>
      <c r="AQ4" s="8"/>
    </row>
    <row r="5" spans="1:43">
      <c r="A5" s="10" t="s">
        <v>13</v>
      </c>
      <c r="B5" s="12"/>
      <c r="C5" s="12"/>
      <c r="D5" s="12"/>
      <c r="E5" s="12"/>
      <c r="F5" s="187"/>
      <c r="G5" s="187"/>
      <c r="H5" s="187"/>
      <c r="I5" s="187"/>
      <c r="J5" s="187"/>
      <c r="K5" s="7"/>
      <c r="L5" s="8"/>
      <c r="M5" s="9"/>
      <c r="N5" s="7"/>
      <c r="O5" s="8"/>
      <c r="P5" s="9"/>
      <c r="Q5" s="7"/>
      <c r="R5" s="8"/>
      <c r="S5" s="9"/>
      <c r="T5" s="7"/>
      <c r="U5" s="8"/>
      <c r="V5" s="9"/>
      <c r="W5" s="7"/>
      <c r="X5" s="8"/>
      <c r="Y5" s="9"/>
      <c r="Z5" s="13"/>
      <c r="AA5" s="14"/>
      <c r="AB5" s="15"/>
      <c r="AI5" s="188"/>
      <c r="AJ5" s="188"/>
      <c r="AK5" s="188"/>
      <c r="AL5" s="188"/>
      <c r="AM5" s="8"/>
      <c r="AN5" s="8"/>
      <c r="AO5" s="8"/>
      <c r="AP5" s="8"/>
      <c r="AQ5" s="8"/>
    </row>
    <row r="6" spans="1:43">
      <c r="A6" s="10" t="s">
        <v>15</v>
      </c>
      <c r="B6" s="12"/>
      <c r="C6" s="12"/>
      <c r="D6" s="12"/>
      <c r="E6" s="12"/>
      <c r="F6" s="187"/>
      <c r="G6" s="187"/>
      <c r="H6" s="187"/>
      <c r="I6" s="187"/>
      <c r="J6" s="187"/>
      <c r="K6" s="7"/>
      <c r="L6" s="8"/>
      <c r="M6" s="9"/>
      <c r="N6" s="7"/>
      <c r="O6" s="8"/>
      <c r="P6" s="9"/>
      <c r="Q6" s="7"/>
      <c r="R6" s="8"/>
      <c r="S6" s="9"/>
      <c r="T6" s="7"/>
      <c r="U6" s="8"/>
      <c r="V6" s="9"/>
      <c r="W6" s="7"/>
      <c r="X6" s="8"/>
      <c r="Y6" s="9"/>
      <c r="Z6" s="13"/>
      <c r="AA6" s="14"/>
      <c r="AB6" s="16"/>
      <c r="AI6" s="188"/>
      <c r="AJ6" s="188"/>
      <c r="AK6" s="188"/>
      <c r="AL6" s="188"/>
      <c r="AM6" s="8"/>
      <c r="AN6" s="8"/>
      <c r="AO6" s="8"/>
      <c r="AP6" s="8"/>
      <c r="AQ6" s="8"/>
    </row>
    <row r="7" spans="1:43">
      <c r="A7" s="10" t="s">
        <v>18</v>
      </c>
      <c r="B7" s="12"/>
      <c r="C7" s="12"/>
      <c r="D7" s="12"/>
      <c r="E7" s="12"/>
      <c r="F7" s="189">
        <v>0.8</v>
      </c>
      <c r="G7" s="189">
        <v>0.8</v>
      </c>
      <c r="H7" s="189">
        <v>0.8</v>
      </c>
      <c r="I7" s="189">
        <v>0.8</v>
      </c>
      <c r="J7" s="189">
        <f>J8</f>
        <v>0.80341799999999997</v>
      </c>
      <c r="K7" s="7"/>
      <c r="L7" s="45">
        <f>L8</f>
        <v>0.80341799999999997</v>
      </c>
      <c r="M7" s="46"/>
      <c r="N7" s="7"/>
      <c r="O7" s="45">
        <f>O8</f>
        <v>0.80341799999999997</v>
      </c>
      <c r="P7" s="46"/>
      <c r="Q7" s="7"/>
      <c r="R7" s="45">
        <f>R8</f>
        <v>0.80341799999999997</v>
      </c>
      <c r="S7" s="46"/>
      <c r="T7" s="7"/>
      <c r="U7" s="45">
        <f>U8</f>
        <v>0.80341799999999997</v>
      </c>
      <c r="V7" s="46"/>
      <c r="W7" s="7"/>
      <c r="X7" s="45">
        <f>X8</f>
        <v>0.80341799999999997</v>
      </c>
      <c r="Y7" s="46"/>
      <c r="Z7" s="13">
        <f>J7</f>
        <v>0.80341799999999997</v>
      </c>
      <c r="AA7" s="14">
        <f>J7</f>
        <v>0.80341799999999997</v>
      </c>
      <c r="AB7" s="16">
        <f>J7</f>
        <v>0.80341799999999997</v>
      </c>
      <c r="AI7" s="188"/>
      <c r="AJ7" s="188"/>
      <c r="AK7" s="188"/>
      <c r="AL7" s="188"/>
      <c r="AM7" s="8"/>
      <c r="AN7" s="8"/>
      <c r="AO7" s="8"/>
      <c r="AP7" s="8"/>
      <c r="AQ7" s="8"/>
    </row>
    <row r="8" spans="1:43">
      <c r="A8" s="10" t="s">
        <v>439</v>
      </c>
      <c r="B8" s="191">
        <v>0.2442</v>
      </c>
      <c r="C8" s="256">
        <f>B8</f>
        <v>0.2442</v>
      </c>
      <c r="D8" s="256">
        <f>B8</f>
        <v>0.2442</v>
      </c>
      <c r="E8" s="192">
        <f>E9*B8</f>
        <v>0.27594599999999997</v>
      </c>
      <c r="F8" s="189">
        <f>F9*B8</f>
        <v>0.31746000000000002</v>
      </c>
      <c r="G8" s="189">
        <f>G9*B8</f>
        <v>0.31746000000000002</v>
      </c>
      <c r="H8" s="189">
        <f>H9*B8</f>
        <v>0.31746000000000002</v>
      </c>
      <c r="I8" s="189">
        <f>I9*B8</f>
        <v>0.34920599999999996</v>
      </c>
      <c r="J8" s="189">
        <f>J9*B8</f>
        <v>0.80341799999999997</v>
      </c>
      <c r="K8" s="17">
        <f>K9*B8</f>
        <v>0.36630000000000001</v>
      </c>
      <c r="L8" s="45">
        <f>L9*$B8</f>
        <v>0.80341799999999997</v>
      </c>
      <c r="M8" s="46"/>
      <c r="N8" s="17">
        <f>N9*B8</f>
        <v>0.36630000000000001</v>
      </c>
      <c r="O8" s="45">
        <f>O9*$B8</f>
        <v>0.80341799999999997</v>
      </c>
      <c r="P8" s="46"/>
      <c r="Q8" s="17">
        <f>Q9*B8</f>
        <v>0.36630000000000001</v>
      </c>
      <c r="R8" s="45">
        <f>R9*$B8</f>
        <v>0.80341799999999997</v>
      </c>
      <c r="S8" s="46"/>
      <c r="T8" s="17">
        <f>T9*B8</f>
        <v>0.39804599999999996</v>
      </c>
      <c r="U8" s="45">
        <f>U9*$B8</f>
        <v>0.80341799999999997</v>
      </c>
      <c r="V8" s="46"/>
      <c r="W8" s="17">
        <f>W9*B8</f>
        <v>0.36630000000000001</v>
      </c>
      <c r="X8" s="45">
        <f>X9*$B8</f>
        <v>0.80341799999999997</v>
      </c>
      <c r="Y8" s="46"/>
      <c r="Z8" s="17">
        <f>Z9*$B8</f>
        <v>0.28571399999999997</v>
      </c>
      <c r="AA8" s="45">
        <f>AA9*$B8</f>
        <v>0.31257600000000002</v>
      </c>
      <c r="AB8" s="46">
        <f>AB9*$B8</f>
        <v>0.43956000000000001</v>
      </c>
      <c r="AI8" s="447" t="s">
        <v>440</v>
      </c>
      <c r="AJ8" s="447"/>
      <c r="AK8" s="447"/>
      <c r="AL8" s="447"/>
      <c r="AM8" s="8"/>
      <c r="AN8" s="8"/>
      <c r="AO8" s="8"/>
      <c r="AP8" s="8"/>
      <c r="AQ8" s="8"/>
    </row>
    <row r="9" spans="1:43">
      <c r="A9" s="10" t="s">
        <v>22</v>
      </c>
      <c r="B9" s="193">
        <v>1</v>
      </c>
      <c r="C9" s="193">
        <v>1</v>
      </c>
      <c r="D9" s="193">
        <v>1</v>
      </c>
      <c r="E9" s="194">
        <v>1.1299999999999999</v>
      </c>
      <c r="F9" s="195">
        <v>1.3</v>
      </c>
      <c r="G9" s="195">
        <v>1.3</v>
      </c>
      <c r="H9" s="195">
        <v>1.3</v>
      </c>
      <c r="I9" s="195">
        <v>1.43</v>
      </c>
      <c r="J9" s="195">
        <v>3.29</v>
      </c>
      <c r="K9" s="196">
        <v>1.5</v>
      </c>
      <c r="L9" s="197">
        <v>3.29</v>
      </c>
      <c r="M9" s="198"/>
      <c r="N9" s="196">
        <v>1.5</v>
      </c>
      <c r="O9" s="197">
        <v>3.29</v>
      </c>
      <c r="P9" s="198"/>
      <c r="Q9" s="196">
        <v>1.5</v>
      </c>
      <c r="R9" s="197">
        <v>3.29</v>
      </c>
      <c r="S9" s="198"/>
      <c r="T9" s="196">
        <v>1.63</v>
      </c>
      <c r="U9" s="197">
        <v>3.29</v>
      </c>
      <c r="V9" s="198"/>
      <c r="W9" s="196">
        <v>1.5</v>
      </c>
      <c r="X9" s="197">
        <v>3.29</v>
      </c>
      <c r="Y9" s="198"/>
      <c r="Z9" s="196">
        <v>1.17</v>
      </c>
      <c r="AA9" s="197">
        <v>1.28</v>
      </c>
      <c r="AB9" s="198">
        <v>1.8</v>
      </c>
      <c r="AC9" s="197"/>
      <c r="AI9" s="188"/>
      <c r="AJ9" s="188"/>
      <c r="AK9" s="188"/>
      <c r="AL9" s="188"/>
      <c r="AM9" s="8"/>
      <c r="AN9" s="8"/>
      <c r="AO9" s="8"/>
      <c r="AP9" s="8"/>
      <c r="AQ9" s="8"/>
    </row>
    <row r="10" spans="1:43" ht="13">
      <c r="A10" s="10" t="s">
        <v>475</v>
      </c>
      <c r="B10" s="18">
        <f t="shared" ref="B10:J10" si="0">B11*B8</f>
        <v>2.3882759999999998</v>
      </c>
      <c r="C10" s="257">
        <f t="shared" si="0"/>
        <v>2.3882759999999998</v>
      </c>
      <c r="D10" s="257">
        <f t="shared" si="0"/>
        <v>2.3882759999999998</v>
      </c>
      <c r="E10" s="257">
        <f t="shared" si="0"/>
        <v>2.3882759999999998</v>
      </c>
      <c r="F10" s="199">
        <f t="shared" si="0"/>
        <v>2.3882759999999998</v>
      </c>
      <c r="G10" s="199">
        <f>G11*G8</f>
        <v>2.3882759999999998</v>
      </c>
      <c r="H10" s="199">
        <f>H11*H8</f>
        <v>2.3882759999999998</v>
      </c>
      <c r="I10" s="199">
        <f>I11*I8</f>
        <v>2.3882759999999998</v>
      </c>
      <c r="J10" s="199">
        <f t="shared" si="0"/>
        <v>2.3882759999999998</v>
      </c>
      <c r="K10" s="7"/>
      <c r="L10" s="19">
        <f>L11*L8</f>
        <v>2.3882759999999998</v>
      </c>
      <c r="M10" s="20"/>
      <c r="N10" s="7"/>
      <c r="O10" s="19">
        <f>O11*O8</f>
        <v>2.3882759999999998</v>
      </c>
      <c r="P10" s="20"/>
      <c r="Q10" s="7"/>
      <c r="R10" s="19">
        <f>R11*R8</f>
        <v>2.3882759999999998</v>
      </c>
      <c r="S10" s="20"/>
      <c r="T10" s="7"/>
      <c r="U10" s="19">
        <f>U11*U8</f>
        <v>2.3882759999999998</v>
      </c>
      <c r="V10" s="20"/>
      <c r="W10" s="7"/>
      <c r="X10" s="19">
        <f>X11*X8</f>
        <v>2.3882759999999998</v>
      </c>
      <c r="Y10" s="20"/>
      <c r="Z10" s="18">
        <f>Z11*Z8</f>
        <v>2.3882759999999998</v>
      </c>
      <c r="AA10" s="19">
        <f>AA11*AA8</f>
        <v>2.3882759999999998</v>
      </c>
      <c r="AB10" s="20">
        <f>AB11*AB8</f>
        <v>2.3882759999999998</v>
      </c>
      <c r="AD10" s="188" t="s">
        <v>442</v>
      </c>
      <c r="AE10" s="188" t="s">
        <v>443</v>
      </c>
      <c r="AF10" s="200" t="s">
        <v>476</v>
      </c>
      <c r="AI10" s="188"/>
      <c r="AJ10" s="188"/>
      <c r="AK10" s="188"/>
      <c r="AL10" s="201">
        <v>0.42</v>
      </c>
      <c r="AM10" s="8"/>
      <c r="AN10" s="8"/>
      <c r="AO10" s="8"/>
      <c r="AP10" s="8"/>
      <c r="AQ10" s="8"/>
    </row>
    <row r="11" spans="1:43">
      <c r="A11" s="10" t="s">
        <v>445</v>
      </c>
      <c r="B11" s="18">
        <v>9.7799999999999994</v>
      </c>
      <c r="C11" s="19">
        <f t="shared" ref="C11:L11" si="1">$B11/C9</f>
        <v>9.7799999999999994</v>
      </c>
      <c r="D11" s="19">
        <f t="shared" si="1"/>
        <v>9.7799999999999994</v>
      </c>
      <c r="E11" s="20">
        <f t="shared" si="1"/>
        <v>8.6548672566371678</v>
      </c>
      <c r="F11" s="199">
        <f t="shared" si="1"/>
        <v>7.5230769230769221</v>
      </c>
      <c r="G11" s="199">
        <f>$B11/G9</f>
        <v>7.5230769230769221</v>
      </c>
      <c r="H11" s="199">
        <f>$B11/H9</f>
        <v>7.5230769230769221</v>
      </c>
      <c r="I11" s="199">
        <f>$B11/I9</f>
        <v>6.8391608391608392</v>
      </c>
      <c r="J11" s="199">
        <f t="shared" si="1"/>
        <v>2.9726443768996957</v>
      </c>
      <c r="K11" s="18">
        <f t="shared" si="1"/>
        <v>6.52</v>
      </c>
      <c r="L11" s="19">
        <f t="shared" si="1"/>
        <v>2.9726443768996957</v>
      </c>
      <c r="M11" s="20"/>
      <c r="N11" s="18">
        <f>$B11/N9</f>
        <v>6.52</v>
      </c>
      <c r="O11" s="19">
        <f>$B11/O9</f>
        <v>2.9726443768996957</v>
      </c>
      <c r="P11" s="20"/>
      <c r="Q11" s="18">
        <f>$B11/Q9</f>
        <v>6.52</v>
      </c>
      <c r="R11" s="19">
        <f>$B11/R9</f>
        <v>2.9726443768996957</v>
      </c>
      <c r="S11" s="20"/>
      <c r="T11" s="18">
        <f>$B11/T9</f>
        <v>6</v>
      </c>
      <c r="U11" s="19">
        <f>$B11/U9</f>
        <v>2.9726443768996957</v>
      </c>
      <c r="V11" s="20"/>
      <c r="W11" s="18">
        <f>$B11/W9</f>
        <v>6.52</v>
      </c>
      <c r="X11" s="19">
        <f>$B11/X9</f>
        <v>2.9726443768996957</v>
      </c>
      <c r="Y11" s="20"/>
      <c r="Z11" s="18">
        <f>$B11/Z9</f>
        <v>8.3589743589743595</v>
      </c>
      <c r="AA11" s="19">
        <f>$B11/AA9</f>
        <v>7.6406249999999991</v>
      </c>
      <c r="AB11" s="20">
        <f>$B11/AB9</f>
        <v>5.4333333333333327</v>
      </c>
      <c r="AC11" s="188"/>
      <c r="AD11" s="188">
        <v>9.7799999999999994</v>
      </c>
      <c r="AE11" s="188">
        <f>(AD11/AF11)*10</f>
        <v>2.5736842105263156</v>
      </c>
      <c r="AF11" s="188">
        <v>38</v>
      </c>
      <c r="AI11" s="188"/>
      <c r="AJ11" s="188"/>
      <c r="AK11" s="188"/>
      <c r="AL11" s="188"/>
      <c r="AM11" s="8"/>
      <c r="AN11" s="8"/>
      <c r="AO11" s="8"/>
      <c r="AP11" s="8"/>
      <c r="AQ11" s="8"/>
    </row>
    <row r="12" spans="1:43">
      <c r="A12" s="10" t="s">
        <v>24</v>
      </c>
      <c r="B12" s="19"/>
      <c r="C12" s="19"/>
      <c r="D12" s="19"/>
      <c r="E12" s="20"/>
      <c r="F12" s="199">
        <f>F10/F7</f>
        <v>2.9853449999999997</v>
      </c>
      <c r="G12" s="199">
        <f>G10/G7</f>
        <v>2.9853449999999997</v>
      </c>
      <c r="H12" s="199">
        <f>H10/H7</f>
        <v>2.9853449999999997</v>
      </c>
      <c r="I12" s="199">
        <f>I10/I7</f>
        <v>2.9853449999999997</v>
      </c>
      <c r="J12" s="199">
        <f>J10/J7</f>
        <v>2.9726443768996962</v>
      </c>
      <c r="K12" s="18"/>
      <c r="L12" s="19">
        <f>L10/L7</f>
        <v>2.9726443768996962</v>
      </c>
      <c r="M12" s="20"/>
      <c r="N12" s="18"/>
      <c r="O12" s="19">
        <f>O10/O7</f>
        <v>2.9726443768996962</v>
      </c>
      <c r="P12" s="20"/>
      <c r="Q12" s="18"/>
      <c r="R12" s="19">
        <f>R10/R7</f>
        <v>2.9726443768996962</v>
      </c>
      <c r="S12" s="20"/>
      <c r="T12" s="18"/>
      <c r="U12" s="19">
        <f>U10/U7</f>
        <v>2.9726443768996962</v>
      </c>
      <c r="V12" s="20"/>
      <c r="W12" s="18"/>
      <c r="X12" s="19">
        <f>X10/X7</f>
        <v>2.9726443768996962</v>
      </c>
      <c r="Y12" s="20"/>
      <c r="Z12" s="18">
        <f>Z10/Z7</f>
        <v>2.9726443768996962</v>
      </c>
      <c r="AA12" s="19">
        <f>AA10/AA7</f>
        <v>2.9726443768996962</v>
      </c>
      <c r="AB12" s="20">
        <f>AB10/AB7</f>
        <v>2.9726443768996962</v>
      </c>
      <c r="AI12" s="188"/>
      <c r="AJ12" s="188"/>
      <c r="AK12" s="188"/>
      <c r="AL12" s="188"/>
      <c r="AM12" s="8"/>
      <c r="AN12" s="8"/>
      <c r="AO12" s="8"/>
      <c r="AP12" s="8"/>
      <c r="AQ12" s="8"/>
    </row>
    <row r="13" spans="1:43">
      <c r="B13" s="19"/>
      <c r="C13" s="19"/>
      <c r="D13" s="19"/>
      <c r="E13" s="20"/>
      <c r="F13" s="199"/>
      <c r="G13" s="199"/>
      <c r="H13" s="199"/>
      <c r="I13" s="199"/>
      <c r="J13" s="199"/>
      <c r="K13" s="18"/>
      <c r="L13" s="19"/>
      <c r="M13" s="20"/>
      <c r="N13" s="18"/>
      <c r="O13" s="19"/>
      <c r="P13" s="20"/>
      <c r="Q13" s="18"/>
      <c r="R13" s="19"/>
      <c r="S13" s="20"/>
      <c r="T13" s="18"/>
      <c r="U13" s="19"/>
      <c r="V13" s="20"/>
      <c r="W13" s="18"/>
      <c r="X13" s="19"/>
      <c r="Y13" s="20"/>
      <c r="Z13" s="18"/>
      <c r="AA13" s="19"/>
      <c r="AB13" s="20"/>
      <c r="AI13" s="188"/>
      <c r="AJ13" s="188"/>
      <c r="AK13" s="188"/>
      <c r="AL13" s="188"/>
      <c r="AM13" s="8"/>
      <c r="AN13" s="8"/>
      <c r="AO13" s="8"/>
      <c r="AP13" s="10"/>
      <c r="AQ13" s="8"/>
    </row>
    <row r="14" spans="1:43">
      <c r="A14" s="10" t="s">
        <v>446</v>
      </c>
      <c r="B14" s="7">
        <v>500</v>
      </c>
      <c r="C14" s="8">
        <f t="shared" ref="C14:I14" si="2">$B14</f>
        <v>500</v>
      </c>
      <c r="D14" s="8">
        <f t="shared" si="2"/>
        <v>500</v>
      </c>
      <c r="E14" s="9">
        <f t="shared" si="2"/>
        <v>500</v>
      </c>
      <c r="F14" s="187">
        <f t="shared" si="2"/>
        <v>500</v>
      </c>
      <c r="G14" s="187">
        <f t="shared" si="2"/>
        <v>500</v>
      </c>
      <c r="H14" s="187">
        <f t="shared" si="2"/>
        <v>500</v>
      </c>
      <c r="I14" s="187">
        <f t="shared" si="2"/>
        <v>500</v>
      </c>
      <c r="J14" s="202"/>
      <c r="K14" s="7">
        <f>$B14-L15</f>
        <v>435</v>
      </c>
      <c r="L14" s="8"/>
      <c r="M14" s="9"/>
      <c r="N14" s="7">
        <f>$B14-O15</f>
        <v>435</v>
      </c>
      <c r="O14" s="8"/>
      <c r="P14" s="9"/>
      <c r="Q14" s="7">
        <f>$B14-R15</f>
        <v>435</v>
      </c>
      <c r="R14" s="8"/>
      <c r="S14" s="9"/>
      <c r="T14" s="7">
        <f>$B14-U15</f>
        <v>435</v>
      </c>
      <c r="U14" s="8"/>
      <c r="V14" s="9"/>
      <c r="W14" s="7">
        <f>$B14-X15</f>
        <v>465</v>
      </c>
      <c r="X14" s="8"/>
      <c r="Y14" s="9"/>
      <c r="Z14" s="7">
        <f>$B14</f>
        <v>500</v>
      </c>
      <c r="AA14" s="8">
        <f>$B14</f>
        <v>500</v>
      </c>
      <c r="AB14" s="9">
        <f>$B14</f>
        <v>500</v>
      </c>
      <c r="AI14" s="8"/>
      <c r="AJ14" s="8"/>
      <c r="AK14" s="8"/>
      <c r="AL14" s="188"/>
      <c r="AM14" s="8"/>
      <c r="AN14" s="8"/>
      <c r="AO14" s="8"/>
      <c r="AP14" s="10"/>
      <c r="AQ14" s="8"/>
    </row>
    <row r="15" spans="1:43" ht="14">
      <c r="A15" s="10" t="s">
        <v>447</v>
      </c>
      <c r="B15" s="8"/>
      <c r="C15" s="8"/>
      <c r="D15" s="8"/>
      <c r="E15" s="9"/>
      <c r="F15" s="187">
        <v>2</v>
      </c>
      <c r="G15" s="187">
        <v>2</v>
      </c>
      <c r="H15" s="187">
        <v>2</v>
      </c>
      <c r="I15" s="187">
        <v>2</v>
      </c>
      <c r="J15" s="258">
        <f>0.4*B14</f>
        <v>200</v>
      </c>
      <c r="K15" s="7"/>
      <c r="L15" s="204">
        <f>65/500*B14</f>
        <v>65</v>
      </c>
      <c r="M15" s="9"/>
      <c r="N15" s="7"/>
      <c r="O15" s="204">
        <f>65/500*E14</f>
        <v>65</v>
      </c>
      <c r="P15" s="9"/>
      <c r="Q15" s="7"/>
      <c r="R15" s="204">
        <f>65/500*E14</f>
        <v>65</v>
      </c>
      <c r="S15" s="9"/>
      <c r="T15" s="7"/>
      <c r="U15" s="204">
        <f>65/500*H14</f>
        <v>65</v>
      </c>
      <c r="V15" s="9"/>
      <c r="W15" s="7"/>
      <c r="X15" s="204">
        <f>35/500*B14</f>
        <v>35</v>
      </c>
      <c r="Y15" s="9"/>
      <c r="Z15" s="7">
        <f>F15</f>
        <v>2</v>
      </c>
      <c r="AA15" s="8">
        <f>F15</f>
        <v>2</v>
      </c>
      <c r="AB15" s="9">
        <f>F15</f>
        <v>2</v>
      </c>
      <c r="AI15" s="8">
        <v>2</v>
      </c>
      <c r="AJ15" s="8">
        <v>2.9</v>
      </c>
      <c r="AK15" s="8"/>
      <c r="AL15" s="188">
        <v>64</v>
      </c>
      <c r="AM15" s="8"/>
      <c r="AN15" s="8"/>
      <c r="AO15" s="8"/>
      <c r="AP15" s="10"/>
      <c r="AQ15" s="8"/>
    </row>
    <row r="16" spans="1:43">
      <c r="A16" s="10" t="s">
        <v>28</v>
      </c>
      <c r="B16" s="18">
        <f t="shared" ref="B16:I16" si="3">B11*B14/1000</f>
        <v>4.8899999999999997</v>
      </c>
      <c r="C16" s="19">
        <f t="shared" si="3"/>
        <v>4.8899999999999997</v>
      </c>
      <c r="D16" s="19">
        <f t="shared" si="3"/>
        <v>4.8899999999999997</v>
      </c>
      <c r="E16" s="20">
        <f t="shared" si="3"/>
        <v>4.3274336283185839</v>
      </c>
      <c r="F16" s="199">
        <f t="shared" si="3"/>
        <v>3.7615384615384611</v>
      </c>
      <c r="G16" s="199">
        <f t="shared" si="3"/>
        <v>3.7615384615384611</v>
      </c>
      <c r="H16" s="199">
        <f t="shared" si="3"/>
        <v>3.7615384615384611</v>
      </c>
      <c r="I16" s="199">
        <f t="shared" si="3"/>
        <v>3.4195804195804196</v>
      </c>
      <c r="J16" s="202"/>
      <c r="K16" s="18">
        <f>K11*K14/1000</f>
        <v>2.8361999999999998</v>
      </c>
      <c r="L16" s="8"/>
      <c r="M16" s="9"/>
      <c r="N16" s="18">
        <f>N11*N14/1000</f>
        <v>2.8361999999999998</v>
      </c>
      <c r="O16" s="8"/>
      <c r="P16" s="9"/>
      <c r="Q16" s="18">
        <f>Q11*Q14/1000</f>
        <v>2.8361999999999998</v>
      </c>
      <c r="R16" s="8"/>
      <c r="S16" s="9"/>
      <c r="T16" s="18">
        <f>T11*T14/1000</f>
        <v>2.61</v>
      </c>
      <c r="U16" s="8"/>
      <c r="V16" s="9"/>
      <c r="W16" s="18">
        <f>W11*W14/1000</f>
        <v>3.0317999999999996</v>
      </c>
      <c r="X16" s="8"/>
      <c r="Y16" s="9"/>
      <c r="Z16" s="18">
        <f>Z11*Z14/1000</f>
        <v>4.1794871794871797</v>
      </c>
      <c r="AA16" s="19">
        <f>AA11*AA14/1000</f>
        <v>3.8203124999999996</v>
      </c>
      <c r="AB16" s="20">
        <f>AB11*AB14/1000</f>
        <v>2.7166666666666663</v>
      </c>
      <c r="AI16" s="8"/>
      <c r="AJ16" s="8"/>
      <c r="AK16" s="8"/>
      <c r="AL16" s="188"/>
      <c r="AM16" s="8"/>
      <c r="AN16" s="8"/>
      <c r="AO16" s="8"/>
      <c r="AP16" s="10"/>
      <c r="AQ16" s="8"/>
    </row>
    <row r="17" spans="1:43">
      <c r="A17" s="10" t="s">
        <v>29</v>
      </c>
      <c r="B17" s="19"/>
      <c r="C17" s="19"/>
      <c r="D17" s="19"/>
      <c r="E17" s="20"/>
      <c r="F17" s="195">
        <v>5</v>
      </c>
      <c r="G17" s="195">
        <v>5</v>
      </c>
      <c r="H17" s="195">
        <v>5</v>
      </c>
      <c r="I17" s="195">
        <v>5</v>
      </c>
      <c r="J17" s="196">
        <f>1/0.8</f>
        <v>1.25</v>
      </c>
      <c r="K17" s="18"/>
      <c r="L17" s="197">
        <f>1/0.8</f>
        <v>1.25</v>
      </c>
      <c r="M17" s="9"/>
      <c r="N17" s="18"/>
      <c r="O17" s="197">
        <f>1/0.8</f>
        <v>1.25</v>
      </c>
      <c r="P17" s="9"/>
      <c r="Q17" s="18"/>
      <c r="R17" s="197">
        <f>1/0.8</f>
        <v>1.25</v>
      </c>
      <c r="S17" s="9"/>
      <c r="T17" s="18"/>
      <c r="U17" s="197">
        <f>1/0.8</f>
        <v>1.25</v>
      </c>
      <c r="V17" s="9"/>
      <c r="W17" s="18"/>
      <c r="X17" s="197">
        <f>1/0.8</f>
        <v>1.25</v>
      </c>
      <c r="Y17" s="9"/>
      <c r="Z17" s="196">
        <v>5</v>
      </c>
      <c r="AA17" s="197">
        <v>5</v>
      </c>
      <c r="AB17" s="198">
        <v>5</v>
      </c>
      <c r="AI17" s="8">
        <v>5</v>
      </c>
      <c r="AJ17" s="205">
        <f>1/0.45</f>
        <v>2.2222222222222223</v>
      </c>
      <c r="AK17" s="205">
        <f>1/0.7</f>
        <v>1.4285714285714286</v>
      </c>
      <c r="AL17" s="206">
        <v>2</v>
      </c>
      <c r="AM17" s="8"/>
      <c r="AN17" s="8"/>
      <c r="AO17" s="8"/>
      <c r="AP17" s="10"/>
      <c r="AQ17" s="8"/>
    </row>
    <row r="18" spans="1:43">
      <c r="A18" s="10" t="s">
        <v>30</v>
      </c>
      <c r="B18" s="19"/>
      <c r="C18" s="19"/>
      <c r="D18" s="19"/>
      <c r="E18" s="20"/>
      <c r="F18" s="207">
        <f>F17*F12*F15/1000</f>
        <v>2.9853449999999997E-2</v>
      </c>
      <c r="G18" s="207">
        <f>G17*G12*G15/1000</f>
        <v>2.9853449999999997E-2</v>
      </c>
      <c r="H18" s="207">
        <f>H17*H12*H15/1000</f>
        <v>2.9853449999999997E-2</v>
      </c>
      <c r="I18" s="207">
        <f>I17*I12*I15/1000</f>
        <v>2.9853449999999997E-2</v>
      </c>
      <c r="J18" s="199">
        <f>J17*J12*J15/1000</f>
        <v>0.74316109422492405</v>
      </c>
      <c r="K18" s="18"/>
      <c r="L18" s="19">
        <f>L17*L12*L15/1000</f>
        <v>0.24152735562310029</v>
      </c>
      <c r="M18" s="20"/>
      <c r="N18" s="18"/>
      <c r="O18" s="19">
        <f>O17*O12*O15/1000</f>
        <v>0.24152735562310029</v>
      </c>
      <c r="P18" s="20"/>
      <c r="Q18" s="18"/>
      <c r="R18" s="19">
        <f>R17*R12*R15/1000</f>
        <v>0.24152735562310029</v>
      </c>
      <c r="S18" s="20"/>
      <c r="T18" s="18"/>
      <c r="U18" s="19">
        <f>U17*U12*U15/1000</f>
        <v>0.24152735562310029</v>
      </c>
      <c r="V18" s="20"/>
      <c r="W18" s="18"/>
      <c r="X18" s="19">
        <f>X17*X12*X15/1000</f>
        <v>0.1300531914893617</v>
      </c>
      <c r="Y18" s="20"/>
      <c r="Z18" s="208">
        <f>Z17*Z12*Z15/1000</f>
        <v>2.9726443768996962E-2</v>
      </c>
      <c r="AA18" s="209">
        <f>AA17*AA12*AA15/1000</f>
        <v>2.9726443768996962E-2</v>
      </c>
      <c r="AB18" s="210">
        <f>AB17*AB12*AB15/1000</f>
        <v>2.9726443768996962E-2</v>
      </c>
      <c r="AI18" s="8"/>
      <c r="AJ18" s="8"/>
      <c r="AK18" s="8"/>
      <c r="AL18" s="188"/>
      <c r="AM18" s="8"/>
      <c r="AN18" s="8"/>
      <c r="AO18" s="8"/>
      <c r="AP18" s="10"/>
      <c r="AQ18" s="8"/>
    </row>
    <row r="19" spans="1:43">
      <c r="A19" s="10" t="s">
        <v>31</v>
      </c>
      <c r="B19" s="19"/>
      <c r="C19" s="19"/>
      <c r="D19" s="19"/>
      <c r="E19" s="20"/>
      <c r="F19" s="211">
        <f>F18*1000000000/3600/1000</f>
        <v>8.2926249999999975</v>
      </c>
      <c r="G19" s="211">
        <f>G18*1000000000/3600/1000</f>
        <v>8.2926249999999975</v>
      </c>
      <c r="H19" s="211">
        <f>H18*1000000000/3600/1000</f>
        <v>8.2926249999999975</v>
      </c>
      <c r="I19" s="211">
        <f>I18*1000000000/3600/1000</f>
        <v>8.2926249999999975</v>
      </c>
      <c r="J19" s="212">
        <f>J18*1000000000/3600/1000</f>
        <v>206.43363728470115</v>
      </c>
      <c r="K19" s="18"/>
      <c r="L19" s="205">
        <f>L18*1000000000/3600/1000</f>
        <v>67.090932117527856</v>
      </c>
      <c r="M19" s="20"/>
      <c r="N19" s="18"/>
      <c r="O19" s="205">
        <f>O18*1000000000/3600/1000</f>
        <v>67.090932117527856</v>
      </c>
      <c r="P19" s="20"/>
      <c r="Q19" s="18"/>
      <c r="R19" s="205">
        <f>R18*1000000000/3600/1000</f>
        <v>67.090932117527856</v>
      </c>
      <c r="S19" s="20"/>
      <c r="T19" s="18"/>
      <c r="U19" s="205">
        <f>U18*1000000000/3600/1000</f>
        <v>67.090932117527856</v>
      </c>
      <c r="V19" s="20"/>
      <c r="W19" s="18"/>
      <c r="X19" s="205">
        <f>X18*1000000000/3600/1000</f>
        <v>36.125886524822697</v>
      </c>
      <c r="Y19" s="20"/>
      <c r="Z19" s="18">
        <f>Z18*1000000000/3600/1000</f>
        <v>8.2573454913880457</v>
      </c>
      <c r="AA19" s="19">
        <f>AA18*1000000000/3600/1000</f>
        <v>8.2573454913880457</v>
      </c>
      <c r="AB19" s="20">
        <f>AB18*1000000000/3600/1000</f>
        <v>8.2573454913880457</v>
      </c>
      <c r="AI19" s="8">
        <v>1.3</v>
      </c>
      <c r="AJ19" s="205">
        <v>2</v>
      </c>
      <c r="AK19" s="8">
        <v>10</v>
      </c>
      <c r="AL19" s="188">
        <v>16</v>
      </c>
      <c r="AM19" s="8"/>
      <c r="AN19" s="8"/>
      <c r="AO19" s="8"/>
      <c r="AP19" s="10"/>
      <c r="AQ19" s="8"/>
    </row>
    <row r="20" spans="1:43">
      <c r="B20" s="19"/>
      <c r="C20" s="19"/>
      <c r="D20" s="19"/>
      <c r="E20" s="20"/>
      <c r="F20" s="199"/>
      <c r="G20" s="199"/>
      <c r="H20" s="199"/>
      <c r="I20" s="199"/>
      <c r="J20" s="199"/>
      <c r="K20" s="18"/>
      <c r="L20" s="19"/>
      <c r="M20" s="20"/>
      <c r="N20" s="18"/>
      <c r="O20" s="19"/>
      <c r="P20" s="20"/>
      <c r="Q20" s="18"/>
      <c r="R20" s="19"/>
      <c r="S20" s="20"/>
      <c r="T20" s="18"/>
      <c r="U20" s="19"/>
      <c r="V20" s="20"/>
      <c r="W20" s="18"/>
      <c r="X20" s="19"/>
      <c r="Y20" s="20"/>
      <c r="Z20" s="18"/>
      <c r="AA20" s="19"/>
      <c r="AB20" s="20"/>
      <c r="AI20" s="8"/>
      <c r="AJ20" s="8"/>
      <c r="AK20" s="8"/>
      <c r="AL20" s="188"/>
      <c r="AM20" s="8"/>
      <c r="AN20" s="8"/>
      <c r="AO20" s="8"/>
      <c r="AP20" s="10"/>
      <c r="AQ20" s="8"/>
    </row>
    <row r="21" spans="1:43">
      <c r="A21" s="10" t="s">
        <v>451</v>
      </c>
      <c r="B21" s="7">
        <v>250</v>
      </c>
      <c r="C21" s="8">
        <f t="shared" ref="C21:J21" si="4">$B21</f>
        <v>250</v>
      </c>
      <c r="D21" s="8">
        <f t="shared" si="4"/>
        <v>250</v>
      </c>
      <c r="E21" s="9">
        <f t="shared" si="4"/>
        <v>250</v>
      </c>
      <c r="F21" s="187">
        <f t="shared" si="4"/>
        <v>250</v>
      </c>
      <c r="G21" s="187">
        <f t="shared" si="4"/>
        <v>250</v>
      </c>
      <c r="H21" s="187">
        <f t="shared" si="4"/>
        <v>250</v>
      </c>
      <c r="I21" s="187">
        <f t="shared" si="4"/>
        <v>250</v>
      </c>
      <c r="J21" s="187">
        <f t="shared" si="4"/>
        <v>250</v>
      </c>
      <c r="K21" s="7"/>
      <c r="L21" s="8"/>
      <c r="M21" s="9">
        <f>$B21</f>
        <v>250</v>
      </c>
      <c r="N21" s="7"/>
      <c r="O21" s="8"/>
      <c r="P21" s="9">
        <f>$B21</f>
        <v>250</v>
      </c>
      <c r="Q21" s="7"/>
      <c r="R21" s="8"/>
      <c r="S21" s="9">
        <f>$B21</f>
        <v>250</v>
      </c>
      <c r="T21" s="7"/>
      <c r="U21" s="8"/>
      <c r="V21" s="9">
        <f>$B21</f>
        <v>250</v>
      </c>
      <c r="W21" s="7"/>
      <c r="X21" s="8"/>
      <c r="Y21" s="9">
        <f>$B21</f>
        <v>250</v>
      </c>
      <c r="Z21" s="7">
        <f>$B21</f>
        <v>250</v>
      </c>
      <c r="AA21" s="8">
        <f>$B21</f>
        <v>250</v>
      </c>
      <c r="AB21" s="9">
        <f>$B21</f>
        <v>250</v>
      </c>
      <c r="AI21" s="8">
        <v>82</v>
      </c>
      <c r="AJ21" s="8">
        <v>116</v>
      </c>
      <c r="AK21" s="8"/>
      <c r="AL21" s="188" t="s">
        <v>452</v>
      </c>
      <c r="AM21" s="36" t="s">
        <v>453</v>
      </c>
      <c r="AN21" s="36"/>
      <c r="AO21" s="10"/>
      <c r="AP21" s="10"/>
      <c r="AQ21" s="10"/>
    </row>
    <row r="22" spans="1:43" ht="13">
      <c r="A22" s="10" t="s">
        <v>32</v>
      </c>
      <c r="B22" s="7">
        <f>B21</f>
        <v>250</v>
      </c>
      <c r="C22" s="8">
        <f>C21</f>
        <v>250</v>
      </c>
      <c r="D22" s="8">
        <f>D21</f>
        <v>250</v>
      </c>
      <c r="E22" s="9">
        <f>E21</f>
        <v>250</v>
      </c>
      <c r="F22" s="187">
        <f>60/80*250</f>
        <v>187.5</v>
      </c>
      <c r="G22" s="187">
        <f>60/80*250</f>
        <v>187.5</v>
      </c>
      <c r="H22" s="187">
        <f>60/80*250</f>
        <v>187.5</v>
      </c>
      <c r="I22" s="187">
        <f>60/80*250</f>
        <v>187.5</v>
      </c>
      <c r="J22" s="213"/>
      <c r="K22" s="28">
        <f>27/80*250</f>
        <v>84.375</v>
      </c>
      <c r="L22" s="8"/>
      <c r="M22" s="30"/>
      <c r="N22" s="28">
        <f>27/80*250</f>
        <v>84.375</v>
      </c>
      <c r="O22" s="8"/>
      <c r="P22" s="30"/>
      <c r="Q22" s="28">
        <f>27/80*250</f>
        <v>84.375</v>
      </c>
      <c r="R22" s="8"/>
      <c r="S22" s="30"/>
      <c r="T22" s="28">
        <f>27/80*250</f>
        <v>84.375</v>
      </c>
      <c r="U22" s="8"/>
      <c r="V22" s="30"/>
      <c r="W22" s="28">
        <f>27/80*250</f>
        <v>84.375</v>
      </c>
      <c r="X22" s="8"/>
      <c r="Y22" s="30"/>
      <c r="Z22" s="25"/>
      <c r="AA22" s="26"/>
      <c r="AB22" s="27"/>
      <c r="AI22" s="8">
        <v>57</v>
      </c>
      <c r="AJ22" s="8">
        <v>99</v>
      </c>
      <c r="AK22" s="8"/>
      <c r="AL22" s="188">
        <v>53</v>
      </c>
      <c r="AO22" s="10"/>
      <c r="AP22" s="10"/>
      <c r="AQ22" s="10"/>
    </row>
    <row r="23" spans="1:43">
      <c r="A23" s="10" t="s">
        <v>33</v>
      </c>
      <c r="B23" s="7"/>
      <c r="C23" s="8"/>
      <c r="D23" s="8"/>
      <c r="E23" s="9"/>
      <c r="F23" s="187">
        <f>40/80*250</f>
        <v>125</v>
      </c>
      <c r="G23" s="187">
        <f>40/80*250</f>
        <v>125</v>
      </c>
      <c r="H23" s="187">
        <f>40/80*250</f>
        <v>125</v>
      </c>
      <c r="I23" s="187">
        <f>40/80*250</f>
        <v>125</v>
      </c>
      <c r="J23" s="212">
        <f>J21</f>
        <v>250</v>
      </c>
      <c r="K23" s="7"/>
      <c r="L23" s="8">
        <f>60/80*250</f>
        <v>187.5</v>
      </c>
      <c r="M23" s="20"/>
      <c r="N23" s="7"/>
      <c r="O23" s="8">
        <f>60/80*250</f>
        <v>187.5</v>
      </c>
      <c r="P23" s="20"/>
      <c r="Q23" s="7"/>
      <c r="R23" s="8">
        <f>60/80*250</f>
        <v>187.5</v>
      </c>
      <c r="S23" s="20"/>
      <c r="T23" s="7"/>
      <c r="U23" s="8">
        <f>60/80*250</f>
        <v>187.5</v>
      </c>
      <c r="V23" s="20"/>
      <c r="W23" s="7"/>
      <c r="X23" s="8">
        <f>60/80*250</f>
        <v>187.5</v>
      </c>
      <c r="Y23" s="20"/>
      <c r="Z23" s="28">
        <f>Z21</f>
        <v>250</v>
      </c>
      <c r="AA23" s="29">
        <f>AA21</f>
        <v>250</v>
      </c>
      <c r="AB23" s="30">
        <f>AB21</f>
        <v>250</v>
      </c>
      <c r="AI23" s="8">
        <v>50</v>
      </c>
      <c r="AJ23" s="8">
        <v>70</v>
      </c>
      <c r="AK23" s="8"/>
      <c r="AL23" s="188">
        <v>120</v>
      </c>
      <c r="AO23" s="10"/>
      <c r="AP23" s="10"/>
      <c r="AQ23" s="10"/>
    </row>
    <row r="24" spans="1:43">
      <c r="A24" s="10" t="s">
        <v>34</v>
      </c>
      <c r="B24" s="7">
        <f t="shared" ref="B24:J24" si="5">B22+B23</f>
        <v>250</v>
      </c>
      <c r="C24" s="8">
        <f t="shared" si="5"/>
        <v>250</v>
      </c>
      <c r="D24" s="8">
        <f t="shared" si="5"/>
        <v>250</v>
      </c>
      <c r="E24" s="9">
        <f t="shared" si="5"/>
        <v>250</v>
      </c>
      <c r="F24" s="187">
        <f t="shared" si="5"/>
        <v>312.5</v>
      </c>
      <c r="G24" s="187">
        <f>G22+G23</f>
        <v>312.5</v>
      </c>
      <c r="H24" s="187">
        <f>H22+H23</f>
        <v>312.5</v>
      </c>
      <c r="I24" s="187">
        <f>I22+I23</f>
        <v>312.5</v>
      </c>
      <c r="J24" s="187">
        <f t="shared" si="5"/>
        <v>250</v>
      </c>
      <c r="K24" s="7"/>
      <c r="L24" s="8"/>
      <c r="M24" s="30">
        <f>K22+L23</f>
        <v>271.875</v>
      </c>
      <c r="N24" s="7"/>
      <c r="O24" s="8"/>
      <c r="P24" s="30">
        <f>N22+O23</f>
        <v>271.875</v>
      </c>
      <c r="Q24" s="7"/>
      <c r="R24" s="8"/>
      <c r="S24" s="30">
        <f>Q22+R23</f>
        <v>271.875</v>
      </c>
      <c r="T24" s="7"/>
      <c r="U24" s="8"/>
      <c r="V24" s="30">
        <f>T22+U23</f>
        <v>271.875</v>
      </c>
      <c r="W24" s="7"/>
      <c r="X24" s="8"/>
      <c r="Y24" s="30">
        <f>W22+X23</f>
        <v>271.875</v>
      </c>
      <c r="Z24" s="7">
        <f>Z22+Z23</f>
        <v>250</v>
      </c>
      <c r="AA24" s="8">
        <f>AA22+AA23</f>
        <v>250</v>
      </c>
      <c r="AB24" s="9">
        <f>AB22+AB23</f>
        <v>250</v>
      </c>
      <c r="AI24" s="8">
        <f>AI22+AI23</f>
        <v>107</v>
      </c>
      <c r="AJ24" s="8">
        <f>AJ22+AJ23</f>
        <v>169</v>
      </c>
      <c r="AK24" s="8"/>
      <c r="AL24" s="188">
        <f>AL22+AL23</f>
        <v>173</v>
      </c>
      <c r="AO24" s="10"/>
      <c r="AP24" s="10"/>
      <c r="AQ24" s="10"/>
    </row>
    <row r="25" spans="1:43">
      <c r="A25" s="10" t="s">
        <v>35</v>
      </c>
      <c r="B25" s="8"/>
      <c r="C25" s="8"/>
      <c r="D25" s="8"/>
      <c r="E25" s="9"/>
      <c r="F25" s="189">
        <f>F23/F24</f>
        <v>0.4</v>
      </c>
      <c r="G25" s="189">
        <f>G23/G24</f>
        <v>0.4</v>
      </c>
      <c r="H25" s="189">
        <f>H23/H24</f>
        <v>0.4</v>
      </c>
      <c r="I25" s="189">
        <f>I23/I24</f>
        <v>0.4</v>
      </c>
      <c r="J25" s="189"/>
      <c r="K25" s="7"/>
      <c r="L25" s="8"/>
      <c r="M25" s="214">
        <f>L23/M24</f>
        <v>0.68965517241379315</v>
      </c>
      <c r="N25" s="7"/>
      <c r="O25" s="8"/>
      <c r="P25" s="214">
        <f>O23/P24</f>
        <v>0.68965517241379315</v>
      </c>
      <c r="Q25" s="7"/>
      <c r="R25" s="8"/>
      <c r="S25" s="214">
        <f>R23/S24</f>
        <v>0.68965517241379315</v>
      </c>
      <c r="T25" s="7"/>
      <c r="U25" s="8"/>
      <c r="V25" s="214">
        <f>U23/V24</f>
        <v>0.68965517241379315</v>
      </c>
      <c r="W25" s="7"/>
      <c r="X25" s="8"/>
      <c r="Y25" s="214">
        <f>X23/Y24</f>
        <v>0.68965517241379315</v>
      </c>
      <c r="Z25" s="7"/>
      <c r="AA25" s="8"/>
      <c r="AB25" s="9"/>
      <c r="AI25" s="215">
        <f>AI23/AI24</f>
        <v>0.46728971962616822</v>
      </c>
      <c r="AJ25" s="215">
        <f>AJ23/AJ24</f>
        <v>0.41420118343195267</v>
      </c>
      <c r="AK25" s="188"/>
      <c r="AL25" s="215">
        <f>AL23/AL24</f>
        <v>0.69364161849710981</v>
      </c>
      <c r="AO25" s="10"/>
      <c r="AP25" s="10"/>
      <c r="AQ25" s="10"/>
    </row>
    <row r="26" spans="1:43">
      <c r="B26" s="8"/>
      <c r="C26" s="8"/>
      <c r="D26" s="8"/>
      <c r="E26" s="9"/>
      <c r="F26" s="187"/>
      <c r="G26" s="187"/>
      <c r="H26" s="187"/>
      <c r="I26" s="187"/>
      <c r="J26" s="187"/>
      <c r="K26" s="7"/>
      <c r="L26" s="8"/>
      <c r="M26" s="20"/>
      <c r="N26" s="7"/>
      <c r="O26" s="8"/>
      <c r="P26" s="20"/>
      <c r="Q26" s="7"/>
      <c r="R26" s="8"/>
      <c r="S26" s="20"/>
      <c r="T26" s="7"/>
      <c r="U26" s="8"/>
      <c r="V26" s="20"/>
      <c r="W26" s="7"/>
      <c r="X26" s="8"/>
      <c r="Y26" s="20"/>
      <c r="Z26" s="7"/>
      <c r="AA26" s="8"/>
      <c r="AB26" s="9"/>
      <c r="AI26" s="8"/>
      <c r="AJ26" s="8"/>
      <c r="AK26" s="8"/>
      <c r="AL26" s="188"/>
      <c r="AM26" s="36"/>
      <c r="AN26" s="36"/>
      <c r="AO26" s="10"/>
      <c r="AP26" s="10"/>
      <c r="AQ26" s="10"/>
    </row>
    <row r="27" spans="1:43">
      <c r="A27" s="10" t="s">
        <v>36</v>
      </c>
      <c r="B27" s="8"/>
      <c r="C27" s="8"/>
      <c r="D27" s="8"/>
      <c r="E27" s="9"/>
      <c r="F27" s="187"/>
      <c r="G27" s="187"/>
      <c r="H27" s="187"/>
      <c r="I27" s="187"/>
      <c r="J27" s="212"/>
      <c r="K27" s="7"/>
      <c r="L27" s="8"/>
      <c r="M27" s="9"/>
      <c r="N27" s="7"/>
      <c r="O27" s="8"/>
      <c r="P27" s="9"/>
      <c r="Q27" s="7"/>
      <c r="R27" s="8"/>
      <c r="S27" s="9"/>
      <c r="T27" s="7"/>
      <c r="U27" s="8"/>
      <c r="V27" s="9"/>
      <c r="W27" s="7"/>
      <c r="X27" s="8"/>
      <c r="Y27" s="9"/>
      <c r="Z27" s="28"/>
      <c r="AA27" s="29"/>
      <c r="AB27" s="30"/>
      <c r="AI27" s="188"/>
      <c r="AJ27" s="188"/>
      <c r="AK27" s="188"/>
      <c r="AL27" s="188"/>
      <c r="AM27" s="10"/>
      <c r="AN27" s="10"/>
      <c r="AO27" s="10"/>
      <c r="AP27" s="10"/>
      <c r="AQ27" s="10"/>
    </row>
    <row r="28" spans="1:43">
      <c r="A28" s="10" t="s">
        <v>37</v>
      </c>
      <c r="B28" s="8"/>
      <c r="C28" s="8"/>
      <c r="D28" s="8"/>
      <c r="E28" s="9"/>
      <c r="F28" s="187"/>
      <c r="G28" s="187"/>
      <c r="H28" s="187"/>
      <c r="I28" s="187"/>
      <c r="J28" s="212"/>
      <c r="K28" s="7"/>
      <c r="L28" s="8"/>
      <c r="M28" s="9"/>
      <c r="N28" s="7"/>
      <c r="O28" s="8"/>
      <c r="P28" s="9"/>
      <c r="Q28" s="7"/>
      <c r="R28" s="8"/>
      <c r="S28" s="9"/>
      <c r="T28" s="7"/>
      <c r="U28" s="8"/>
      <c r="V28" s="9"/>
      <c r="W28" s="7"/>
      <c r="X28" s="8"/>
      <c r="Y28" s="9"/>
      <c r="Z28" s="28"/>
      <c r="AA28" s="29"/>
      <c r="AB28" s="30"/>
      <c r="AI28" s="188"/>
      <c r="AJ28" s="188"/>
      <c r="AK28" s="188"/>
      <c r="AL28" s="188"/>
      <c r="AM28" s="8"/>
      <c r="AN28" s="8"/>
      <c r="AO28" s="8"/>
      <c r="AP28" s="8"/>
      <c r="AQ28" s="8"/>
    </row>
    <row r="29" spans="1:43" ht="13">
      <c r="A29" s="10" t="s">
        <v>38</v>
      </c>
      <c r="B29" s="8"/>
      <c r="C29" s="8"/>
      <c r="D29" s="8"/>
      <c r="E29" s="9"/>
      <c r="F29" s="187"/>
      <c r="G29" s="187"/>
      <c r="H29" s="187"/>
      <c r="I29" s="187"/>
      <c r="J29" s="203"/>
      <c r="K29" s="7"/>
      <c r="L29" s="8"/>
      <c r="M29" s="9"/>
      <c r="N29" s="7"/>
      <c r="O29" s="8"/>
      <c r="P29" s="9"/>
      <c r="Q29" s="7"/>
      <c r="R29" s="8"/>
      <c r="S29" s="9"/>
      <c r="T29" s="7"/>
      <c r="U29" s="8"/>
      <c r="V29" s="9"/>
      <c r="W29" s="7"/>
      <c r="X29" s="8"/>
      <c r="Y29" s="9"/>
      <c r="Z29" s="7">
        <f>50/80*Z21</f>
        <v>156.25</v>
      </c>
      <c r="AA29" s="7">
        <f>50/80*AA21</f>
        <v>156.25</v>
      </c>
      <c r="AB29" s="7">
        <f>50/80*AB21</f>
        <v>156.25</v>
      </c>
      <c r="AI29" s="188"/>
      <c r="AJ29" s="188"/>
      <c r="AK29" s="188"/>
      <c r="AL29" s="188"/>
      <c r="AM29" s="8"/>
      <c r="AN29" s="8"/>
      <c r="AO29" s="8"/>
      <c r="AP29" s="8"/>
      <c r="AQ29" s="8"/>
    </row>
    <row r="30" spans="1:43">
      <c r="A30" s="10" t="s">
        <v>39</v>
      </c>
      <c r="B30" s="19"/>
      <c r="C30" s="19"/>
      <c r="D30" s="19"/>
      <c r="E30" s="20"/>
      <c r="F30" s="30">
        <f>F23/0.9</f>
        <v>138.88888888888889</v>
      </c>
      <c r="G30" s="30">
        <f>G23/0.9</f>
        <v>138.88888888888889</v>
      </c>
      <c r="H30" s="30">
        <f>H23/0.9</f>
        <v>138.88888888888889</v>
      </c>
      <c r="I30" s="30">
        <f>I23/0.9</f>
        <v>138.88888888888889</v>
      </c>
      <c r="J30" s="212">
        <f>J23/0.9</f>
        <v>277.77777777777777</v>
      </c>
      <c r="K30" s="7"/>
      <c r="L30" s="29">
        <f>L23/0.9</f>
        <v>208.33333333333331</v>
      </c>
      <c r="M30" s="9"/>
      <c r="N30" s="7"/>
      <c r="O30" s="29">
        <f>O23/0.9</f>
        <v>208.33333333333331</v>
      </c>
      <c r="P30" s="9"/>
      <c r="Q30" s="7"/>
      <c r="R30" s="29">
        <f>R23/0.9</f>
        <v>208.33333333333331</v>
      </c>
      <c r="S30" s="9"/>
      <c r="T30" s="7"/>
      <c r="U30" s="29">
        <f>U23/0.9</f>
        <v>208.33333333333331</v>
      </c>
      <c r="V30" s="9"/>
      <c r="W30" s="7"/>
      <c r="X30" s="29">
        <f>X23/0.9</f>
        <v>208.33333333333331</v>
      </c>
      <c r="Y30" s="9"/>
      <c r="Z30" s="28">
        <f>44/80*Z21</f>
        <v>137.5</v>
      </c>
      <c r="AA30" s="28">
        <f>44/80*AA21</f>
        <v>137.5</v>
      </c>
      <c r="AB30" s="28">
        <f>44/80*AB21</f>
        <v>137.5</v>
      </c>
      <c r="AI30" s="188"/>
      <c r="AJ30" s="188"/>
      <c r="AK30" s="188"/>
      <c r="AL30" s="188"/>
      <c r="AM30" s="8"/>
      <c r="AN30" s="8"/>
      <c r="AO30" s="8"/>
      <c r="AP30" s="8"/>
      <c r="AQ30" s="8"/>
    </row>
    <row r="31" spans="1:43">
      <c r="B31" s="26"/>
      <c r="C31" s="26"/>
      <c r="D31" s="26"/>
      <c r="E31" s="27"/>
      <c r="F31" s="202"/>
      <c r="G31" s="202"/>
      <c r="H31" s="202"/>
      <c r="I31" s="202"/>
      <c r="J31" s="202"/>
      <c r="K31" s="25"/>
      <c r="L31" s="26"/>
      <c r="M31" s="27"/>
      <c r="N31" s="25"/>
      <c r="O31" s="26"/>
      <c r="P31" s="27"/>
      <c r="Q31" s="25"/>
      <c r="R31" s="26"/>
      <c r="S31" s="27"/>
      <c r="T31" s="25"/>
      <c r="U31" s="26"/>
      <c r="V31" s="27"/>
      <c r="W31" s="25"/>
      <c r="X31" s="26"/>
      <c r="Y31" s="27"/>
      <c r="Z31" s="25"/>
      <c r="AA31" s="26"/>
      <c r="AB31" s="27"/>
      <c r="AI31" s="188"/>
      <c r="AJ31" s="188"/>
      <c r="AK31" s="188"/>
      <c r="AL31" s="188"/>
      <c r="AM31" s="26"/>
      <c r="AN31" s="26"/>
      <c r="AO31" s="26"/>
      <c r="AP31" s="26"/>
      <c r="AQ31" s="26"/>
    </row>
    <row r="32" spans="1:43">
      <c r="A32" s="216" t="s">
        <v>454</v>
      </c>
      <c r="B32" s="217">
        <f>B10*1000000/3600</f>
        <v>663.41</v>
      </c>
      <c r="C32" s="218">
        <f>B32</f>
        <v>663.41</v>
      </c>
      <c r="D32" s="218">
        <f>B32</f>
        <v>663.41</v>
      </c>
      <c r="E32" s="219">
        <f>B32</f>
        <v>663.41</v>
      </c>
      <c r="F32" s="220">
        <f>F10*1000000/3600</f>
        <v>663.41</v>
      </c>
      <c r="G32" s="220">
        <f>G10*1000000/3600</f>
        <v>663.41</v>
      </c>
      <c r="H32" s="220">
        <f>H10*1000000/3600</f>
        <v>663.41</v>
      </c>
      <c r="I32" s="220">
        <f>I10*1000000/3600</f>
        <v>663.41</v>
      </c>
      <c r="J32" s="220">
        <f>J10*1000000/3600</f>
        <v>663.41</v>
      </c>
      <c r="K32" s="217"/>
      <c r="L32" s="218"/>
      <c r="M32" s="219"/>
      <c r="N32" s="217"/>
      <c r="O32" s="218"/>
      <c r="P32" s="219"/>
      <c r="Q32" s="217"/>
      <c r="R32" s="218"/>
      <c r="S32" s="219"/>
      <c r="T32" s="217"/>
      <c r="U32" s="218"/>
      <c r="V32" s="219"/>
      <c r="W32" s="217"/>
      <c r="X32" s="218"/>
      <c r="Y32" s="219"/>
      <c r="Z32" s="217">
        <f>Z10*1000000/3600</f>
        <v>663.41</v>
      </c>
      <c r="AA32" s="218">
        <f>AA10*1000000/3600</f>
        <v>663.41</v>
      </c>
      <c r="AB32" s="219">
        <f>AB10*1000000/3600</f>
        <v>663.41</v>
      </c>
      <c r="AI32" s="188"/>
      <c r="AJ32" s="188"/>
      <c r="AK32" s="188"/>
      <c r="AL32" s="188"/>
      <c r="AM32" s="8"/>
      <c r="AN32" s="8"/>
      <c r="AO32" s="8"/>
      <c r="AP32" s="8"/>
      <c r="AQ32" s="8"/>
    </row>
    <row r="33" spans="1:43">
      <c r="A33" s="216" t="s">
        <v>455</v>
      </c>
      <c r="B33" s="8"/>
      <c r="C33" s="8"/>
      <c r="D33" s="8"/>
      <c r="E33" s="9"/>
      <c r="F33" s="187"/>
      <c r="G33" s="187"/>
      <c r="H33" s="187"/>
      <c r="I33" s="187"/>
      <c r="J33" s="212"/>
      <c r="K33" s="7"/>
      <c r="L33" s="8"/>
      <c r="M33" s="9"/>
      <c r="N33" s="7"/>
      <c r="O33" s="8"/>
      <c r="P33" s="9"/>
      <c r="Q33" s="7"/>
      <c r="R33" s="8"/>
      <c r="S33" s="9"/>
      <c r="T33" s="7"/>
      <c r="U33" s="8"/>
      <c r="V33" s="9"/>
      <c r="W33" s="7"/>
      <c r="X33" s="8"/>
      <c r="Y33" s="9"/>
      <c r="Z33" s="28"/>
      <c r="AA33" s="29"/>
      <c r="AB33" s="30"/>
      <c r="AI33" s="188"/>
      <c r="AJ33" s="188"/>
      <c r="AK33" s="188"/>
      <c r="AL33" s="188"/>
      <c r="AM33" s="8"/>
      <c r="AN33" s="8"/>
      <c r="AO33" s="8"/>
      <c r="AP33" s="8"/>
      <c r="AQ33" s="8"/>
    </row>
    <row r="34" spans="1:43">
      <c r="A34" s="216" t="s">
        <v>37</v>
      </c>
      <c r="B34" s="8"/>
      <c r="C34" s="8"/>
      <c r="D34" s="8"/>
      <c r="E34" s="9"/>
      <c r="F34" s="187"/>
      <c r="G34" s="187"/>
      <c r="H34" s="187"/>
      <c r="I34" s="187"/>
      <c r="J34" s="212"/>
      <c r="K34" s="7"/>
      <c r="L34" s="8"/>
      <c r="M34" s="9"/>
      <c r="N34" s="7"/>
      <c r="O34" s="8"/>
      <c r="P34" s="9"/>
      <c r="Q34" s="7"/>
      <c r="R34" s="8"/>
      <c r="S34" s="9"/>
      <c r="T34" s="7"/>
      <c r="U34" s="8"/>
      <c r="V34" s="9"/>
      <c r="W34" s="7"/>
      <c r="X34" s="8"/>
      <c r="Y34" s="9"/>
      <c r="Z34" s="28"/>
      <c r="AA34" s="29"/>
      <c r="AB34" s="30"/>
      <c r="AI34" s="188"/>
      <c r="AJ34" s="188"/>
      <c r="AK34" s="188"/>
      <c r="AL34" s="188"/>
      <c r="AM34" s="8"/>
      <c r="AN34" s="8"/>
      <c r="AO34" s="8"/>
      <c r="AP34" s="8"/>
      <c r="AQ34" s="8"/>
    </row>
    <row r="35" spans="1:43">
      <c r="A35" s="216" t="s">
        <v>38</v>
      </c>
      <c r="B35" s="159"/>
      <c r="C35" s="159"/>
      <c r="D35" s="159"/>
      <c r="E35" s="15"/>
      <c r="F35" s="221"/>
      <c r="G35" s="221"/>
      <c r="H35" s="221"/>
      <c r="I35" s="221"/>
      <c r="J35" s="220"/>
      <c r="K35" s="222"/>
      <c r="L35" s="159"/>
      <c r="M35" s="15"/>
      <c r="N35" s="222"/>
      <c r="O35" s="159"/>
      <c r="P35" s="15"/>
      <c r="Q35" s="222"/>
      <c r="R35" s="159"/>
      <c r="S35" s="15"/>
      <c r="T35" s="222"/>
      <c r="U35" s="159"/>
      <c r="V35" s="15"/>
      <c r="W35" s="222"/>
      <c r="X35" s="159"/>
      <c r="Y35" s="15"/>
      <c r="Z35" s="222"/>
      <c r="AA35" s="159"/>
      <c r="AB35" s="15"/>
      <c r="AI35" s="188"/>
      <c r="AJ35" s="188"/>
      <c r="AK35" s="188"/>
      <c r="AL35" s="188"/>
      <c r="AM35" s="19"/>
      <c r="AN35" s="19"/>
      <c r="AO35" s="19"/>
      <c r="AP35" s="8"/>
      <c r="AQ35" s="19"/>
    </row>
    <row r="36" spans="1:43">
      <c r="A36" s="216" t="s">
        <v>333</v>
      </c>
      <c r="B36" s="159"/>
      <c r="C36" s="159"/>
      <c r="D36" s="159"/>
      <c r="E36" s="15"/>
      <c r="F36" s="221"/>
      <c r="G36" s="221"/>
      <c r="H36" s="221"/>
      <c r="I36" s="221"/>
      <c r="J36" s="220"/>
      <c r="K36" s="222"/>
      <c r="L36" s="159"/>
      <c r="M36" s="15"/>
      <c r="N36" s="222"/>
      <c r="O36" s="159"/>
      <c r="P36" s="15"/>
      <c r="Q36" s="222"/>
      <c r="R36" s="159"/>
      <c r="S36" s="15"/>
      <c r="T36" s="222"/>
      <c r="U36" s="159"/>
      <c r="V36" s="15"/>
      <c r="W36" s="222"/>
      <c r="X36" s="159"/>
      <c r="Y36" s="15"/>
      <c r="Z36" s="217"/>
      <c r="AA36" s="218"/>
      <c r="AB36" s="219"/>
      <c r="AI36" s="188"/>
      <c r="AJ36" s="188"/>
      <c r="AK36" s="8"/>
      <c r="AL36" s="8"/>
      <c r="AO36" s="8"/>
      <c r="AP36" s="8"/>
    </row>
    <row r="37" spans="1:43">
      <c r="A37" s="216"/>
      <c r="B37" s="159"/>
      <c r="C37" s="159"/>
      <c r="D37" s="159"/>
      <c r="E37" s="15"/>
      <c r="F37" s="221"/>
      <c r="G37" s="221"/>
      <c r="H37" s="221"/>
      <c r="I37" s="221"/>
      <c r="J37" s="220"/>
      <c r="K37" s="222"/>
      <c r="L37" s="159"/>
      <c r="M37" s="15"/>
      <c r="N37" s="222"/>
      <c r="O37" s="159"/>
      <c r="P37" s="15"/>
      <c r="Q37" s="222"/>
      <c r="R37" s="159"/>
      <c r="S37" s="15"/>
      <c r="T37" s="222"/>
      <c r="U37" s="159"/>
      <c r="V37" s="15"/>
      <c r="W37" s="222"/>
      <c r="X37" s="159"/>
      <c r="Y37" s="15"/>
      <c r="Z37" s="217"/>
      <c r="AA37" s="218"/>
      <c r="AB37" s="219"/>
      <c r="AI37" s="188"/>
      <c r="AJ37" s="188"/>
      <c r="AK37" s="188"/>
      <c r="AL37" s="188"/>
      <c r="AM37" s="8"/>
      <c r="AN37" s="8"/>
      <c r="AO37" s="8"/>
      <c r="AP37" s="8"/>
      <c r="AQ37" s="8"/>
    </row>
    <row r="38" spans="1:43">
      <c r="A38" s="216" t="s">
        <v>456</v>
      </c>
      <c r="B38" s="217">
        <f t="shared" ref="B38:J38" si="6">100*1.609</f>
        <v>160.9</v>
      </c>
      <c r="C38" s="218">
        <f t="shared" si="6"/>
        <v>160.9</v>
      </c>
      <c r="D38" s="218">
        <f t="shared" si="6"/>
        <v>160.9</v>
      </c>
      <c r="E38" s="219">
        <f t="shared" si="6"/>
        <v>160.9</v>
      </c>
      <c r="F38" s="220">
        <f t="shared" si="6"/>
        <v>160.9</v>
      </c>
      <c r="G38" s="220">
        <f t="shared" si="6"/>
        <v>160.9</v>
      </c>
      <c r="H38" s="220">
        <f t="shared" si="6"/>
        <v>160.9</v>
      </c>
      <c r="I38" s="220">
        <f t="shared" si="6"/>
        <v>160.9</v>
      </c>
      <c r="J38" s="220">
        <f t="shared" si="6"/>
        <v>160.9</v>
      </c>
      <c r="K38" s="222"/>
      <c r="L38" s="159"/>
      <c r="M38" s="219">
        <f>100*1.609</f>
        <v>160.9</v>
      </c>
      <c r="N38" s="222"/>
      <c r="O38" s="159"/>
      <c r="P38" s="219">
        <f>100*1.609</f>
        <v>160.9</v>
      </c>
      <c r="Q38" s="222"/>
      <c r="R38" s="159"/>
      <c r="S38" s="219">
        <f>100*1.609</f>
        <v>160.9</v>
      </c>
      <c r="T38" s="222"/>
      <c r="U38" s="159"/>
      <c r="V38" s="219">
        <f>100*1.609</f>
        <v>160.9</v>
      </c>
      <c r="W38" s="222"/>
      <c r="X38" s="159"/>
      <c r="Y38" s="219">
        <f>100*1.609</f>
        <v>160.9</v>
      </c>
      <c r="Z38" s="217">
        <f>100*1.609</f>
        <v>160.9</v>
      </c>
      <c r="AA38" s="218">
        <f>100*1.609</f>
        <v>160.9</v>
      </c>
      <c r="AB38" s="219">
        <f>100*1.609</f>
        <v>160.9</v>
      </c>
      <c r="AI38" s="188"/>
      <c r="AJ38" s="188"/>
      <c r="AK38" s="188"/>
      <c r="AL38" s="223"/>
      <c r="AM38" s="8"/>
      <c r="AN38" s="8"/>
      <c r="AO38" s="8"/>
      <c r="AP38" s="8"/>
      <c r="AQ38" s="8"/>
    </row>
    <row r="39" spans="1:43">
      <c r="A39" s="216" t="s">
        <v>477</v>
      </c>
      <c r="B39" s="224">
        <f>B10*B38/3600*1000</f>
        <v>106.74266899999999</v>
      </c>
      <c r="C39" s="218">
        <f>B39</f>
        <v>106.74266899999999</v>
      </c>
      <c r="D39" s="218">
        <f>C39</f>
        <v>106.74266899999999</v>
      </c>
      <c r="E39" s="219">
        <f>D39</f>
        <v>106.74266899999999</v>
      </c>
      <c r="F39" s="220">
        <f>F10*F38/3600*1000</f>
        <v>106.74266899999999</v>
      </c>
      <c r="G39" s="220">
        <f>G10*G38/3600*1000</f>
        <v>106.74266899999999</v>
      </c>
      <c r="H39" s="220">
        <f>H10*H38/3600*1000</f>
        <v>106.74266899999999</v>
      </c>
      <c r="I39" s="220">
        <f>I10*I38/3600*1000</f>
        <v>106.74266899999999</v>
      </c>
      <c r="J39" s="220">
        <f>J10*J38/3600*1000</f>
        <v>106.74266899999999</v>
      </c>
      <c r="K39" s="222"/>
      <c r="L39" s="159"/>
      <c r="M39" s="219">
        <f>AVERAGE(K10:L10)*M38/3600*1000</f>
        <v>106.74266899999999</v>
      </c>
      <c r="N39" s="222"/>
      <c r="O39" s="159"/>
      <c r="P39" s="219">
        <f>AVERAGE(N10:O10)*P38/3600*1000</f>
        <v>106.74266899999999</v>
      </c>
      <c r="Q39" s="222"/>
      <c r="R39" s="159"/>
      <c r="S39" s="219">
        <f>AVERAGE(Q10:R10)*S38/3600*1000</f>
        <v>106.74266899999999</v>
      </c>
      <c r="T39" s="222"/>
      <c r="U39" s="159"/>
      <c r="V39" s="219">
        <f>AVERAGE(T10:U10)*V38/3600*1000</f>
        <v>106.74266899999999</v>
      </c>
      <c r="W39" s="222"/>
      <c r="X39" s="159"/>
      <c r="Y39" s="219">
        <f>AVERAGE(W10:X10)*Y38/3600*1000</f>
        <v>106.74266899999999</v>
      </c>
      <c r="Z39" s="217">
        <f>Z10*Z38/3600*1000</f>
        <v>106.74266899999999</v>
      </c>
      <c r="AA39" s="218">
        <f>AA10*AA38/3600*1000</f>
        <v>106.74266899999999</v>
      </c>
      <c r="AB39" s="219">
        <f>AB10*AB38/3600*1000</f>
        <v>106.74266899999999</v>
      </c>
      <c r="AI39" s="188"/>
      <c r="AJ39" s="188"/>
      <c r="AK39" s="188"/>
      <c r="AL39" s="218"/>
      <c r="AM39" s="8"/>
      <c r="AN39" s="8"/>
      <c r="AO39" s="8"/>
      <c r="AP39" s="8"/>
      <c r="AQ39" s="8"/>
    </row>
    <row r="40" spans="1:43">
      <c r="A40" s="216" t="s">
        <v>478</v>
      </c>
      <c r="B40" s="217"/>
      <c r="C40" s="218"/>
      <c r="D40" s="218"/>
      <c r="E40" s="219"/>
      <c r="F40" s="220"/>
      <c r="G40" s="220"/>
      <c r="H40" s="220"/>
      <c r="I40" s="220"/>
      <c r="J40" s="220"/>
      <c r="K40" s="222"/>
      <c r="L40" s="159"/>
      <c r="M40" s="219">
        <f>M39/0.9</f>
        <v>118.60296555555554</v>
      </c>
      <c r="N40" s="222"/>
      <c r="O40" s="159"/>
      <c r="P40" s="219">
        <f>P39/0.9</f>
        <v>118.60296555555554</v>
      </c>
      <c r="Q40" s="222"/>
      <c r="R40" s="159"/>
      <c r="S40" s="219">
        <f>S39/0.9</f>
        <v>118.60296555555554</v>
      </c>
      <c r="T40" s="222"/>
      <c r="U40" s="159"/>
      <c r="V40" s="219">
        <f>V39/0.9</f>
        <v>118.60296555555554</v>
      </c>
      <c r="W40" s="222"/>
      <c r="X40" s="159"/>
      <c r="Y40" s="219">
        <f>Y39/0.9</f>
        <v>118.60296555555554</v>
      </c>
      <c r="Z40" s="217"/>
      <c r="AA40" s="218"/>
      <c r="AB40" s="219"/>
      <c r="AI40" s="188"/>
      <c r="AJ40" s="188"/>
      <c r="AK40" s="188"/>
      <c r="AL40" s="218"/>
      <c r="AM40" s="8"/>
      <c r="AN40" s="8"/>
      <c r="AO40" s="8"/>
      <c r="AP40" s="8"/>
      <c r="AQ40" s="8"/>
    </row>
    <row r="41" spans="1:43">
      <c r="B41" s="7"/>
      <c r="C41" s="8"/>
      <c r="D41" s="8"/>
      <c r="E41" s="9"/>
      <c r="F41" s="187"/>
      <c r="G41" s="187"/>
      <c r="H41" s="187"/>
      <c r="I41" s="187"/>
      <c r="J41" s="187"/>
      <c r="K41" s="7"/>
      <c r="L41" s="8"/>
      <c r="M41" s="9"/>
      <c r="N41" s="7"/>
      <c r="O41" s="8"/>
      <c r="P41" s="9"/>
      <c r="Q41" s="7"/>
      <c r="R41" s="8"/>
      <c r="S41" s="9"/>
      <c r="T41" s="7"/>
      <c r="U41" s="8"/>
      <c r="V41" s="9"/>
      <c r="W41" s="7"/>
      <c r="X41" s="8"/>
      <c r="Y41" s="9"/>
      <c r="Z41" s="7"/>
      <c r="AA41" s="8"/>
      <c r="AB41" s="9"/>
      <c r="AD41" s="12"/>
      <c r="AE41" s="12"/>
      <c r="AF41" s="12"/>
      <c r="AG41" s="12"/>
      <c r="AH41" s="12"/>
      <c r="AI41" s="12"/>
      <c r="AJ41" s="12"/>
      <c r="AK41" s="12"/>
      <c r="AL41" s="12"/>
    </row>
    <row r="42" spans="1:43" ht="13">
      <c r="A42" s="6" t="s">
        <v>40</v>
      </c>
      <c r="B42" s="7"/>
      <c r="C42" s="8"/>
      <c r="D42" s="8"/>
      <c r="E42" s="9"/>
      <c r="F42" s="187"/>
      <c r="G42" s="187"/>
      <c r="H42" s="187"/>
      <c r="I42" s="187"/>
      <c r="J42" s="187"/>
      <c r="K42" s="7"/>
      <c r="L42" s="8"/>
      <c r="M42" s="9"/>
      <c r="N42" s="7"/>
      <c r="O42" s="8"/>
      <c r="P42" s="9"/>
      <c r="Q42" s="7"/>
      <c r="R42" s="8"/>
      <c r="S42" s="9"/>
      <c r="T42" s="7"/>
      <c r="U42" s="8"/>
      <c r="V42" s="9"/>
      <c r="W42" s="7"/>
      <c r="X42" s="8"/>
      <c r="Y42" s="9"/>
      <c r="Z42" s="7"/>
      <c r="AA42" s="8"/>
      <c r="AB42" s="9"/>
      <c r="AD42" s="12"/>
      <c r="AE42" s="12"/>
      <c r="AF42" s="12"/>
      <c r="AG42" s="12"/>
      <c r="AH42" s="12"/>
      <c r="AI42" s="12"/>
      <c r="AJ42" s="12"/>
      <c r="AK42" s="12"/>
      <c r="AL42" s="12"/>
    </row>
    <row r="43" spans="1:43">
      <c r="A43" s="10" t="s">
        <v>41</v>
      </c>
      <c r="B43" s="7">
        <v>44</v>
      </c>
      <c r="C43" s="8">
        <v>44</v>
      </c>
      <c r="D43" s="8">
        <v>44</v>
      </c>
      <c r="E43" s="9">
        <v>44</v>
      </c>
      <c r="F43" s="187">
        <v>44</v>
      </c>
      <c r="G43" s="187">
        <v>44</v>
      </c>
      <c r="H43" s="187">
        <v>44</v>
      </c>
      <c r="I43" s="187">
        <v>44</v>
      </c>
      <c r="J43" s="187"/>
      <c r="K43" s="7">
        <v>44</v>
      </c>
      <c r="L43" s="8"/>
      <c r="M43" s="9"/>
      <c r="N43" s="7">
        <v>44</v>
      </c>
      <c r="O43" s="8"/>
      <c r="P43" s="9"/>
      <c r="Q43" s="7">
        <v>44</v>
      </c>
      <c r="R43" s="8"/>
      <c r="S43" s="9"/>
      <c r="T43" s="7">
        <v>44</v>
      </c>
      <c r="U43" s="8"/>
      <c r="V43" s="9"/>
      <c r="W43" s="7">
        <v>44</v>
      </c>
      <c r="X43" s="8"/>
      <c r="Y43" s="9"/>
      <c r="Z43" s="25"/>
      <c r="AA43" s="26"/>
      <c r="AB43" s="27"/>
      <c r="AD43" s="12"/>
      <c r="AE43" s="12"/>
      <c r="AF43" s="12"/>
      <c r="AG43" s="12"/>
      <c r="AH43" s="12"/>
      <c r="AI43" s="12"/>
      <c r="AJ43" s="12"/>
      <c r="AK43" s="12"/>
      <c r="AL43" s="12"/>
    </row>
    <row r="44" spans="1:43">
      <c r="A44" s="10" t="s">
        <v>459</v>
      </c>
      <c r="B44" s="7"/>
      <c r="C44" s="8"/>
      <c r="D44" s="8"/>
      <c r="E44" s="9"/>
      <c r="F44" s="212">
        <f>ROUNDUP('Base data for vehicles'!$B$88,0)</f>
        <v>7</v>
      </c>
      <c r="G44" s="212">
        <f>ROUNDUP('Base data for vehicles'!$B$88,0)</f>
        <v>7</v>
      </c>
      <c r="H44" s="212">
        <f>ROUNDUP('Base data for vehicles'!$B$88,0)</f>
        <v>7</v>
      </c>
      <c r="I44" s="212">
        <f>ROUNDUP('Base data for vehicles'!$B$88,0)</f>
        <v>7</v>
      </c>
      <c r="J44" s="212">
        <f>ROUNDUP('Base data for vehicles'!$B$88,0)</f>
        <v>7</v>
      </c>
      <c r="K44" s="7"/>
      <c r="L44" s="212">
        <f>ROUNDUP('Base data for vehicles'!$B$88,0)</f>
        <v>7</v>
      </c>
      <c r="M44" s="9"/>
      <c r="N44" s="7"/>
      <c r="O44" s="212">
        <f>ROUNDUP('Base data for vehicles'!$B$88,0)</f>
        <v>7</v>
      </c>
      <c r="P44" s="9"/>
      <c r="Q44" s="7"/>
      <c r="R44" s="212">
        <f>ROUNDUP('Base data for vehicles'!$B$88,0)</f>
        <v>7</v>
      </c>
      <c r="S44" s="9"/>
      <c r="T44" s="7"/>
      <c r="U44" s="212">
        <f>ROUNDUP('Base data for vehicles'!$B$88,0)</f>
        <v>7</v>
      </c>
      <c r="V44" s="9"/>
      <c r="W44" s="7"/>
      <c r="X44" s="212">
        <f>ROUNDUP('Base data for vehicles'!$B$88,0)</f>
        <v>7</v>
      </c>
      <c r="Y44" s="9"/>
      <c r="Z44" s="212">
        <f>ROUNDUP('Base data for vehicles'!$B$88,0)</f>
        <v>7</v>
      </c>
      <c r="AA44" s="212">
        <f>ROUNDUP('Base data for vehicles'!$B$88,0)</f>
        <v>7</v>
      </c>
      <c r="AB44" s="212">
        <f>ROUNDUP('Base data for vehicles'!$B$88,0)</f>
        <v>7</v>
      </c>
      <c r="AD44" s="12"/>
      <c r="AE44" s="12"/>
      <c r="AF44" s="12"/>
      <c r="AG44" s="12"/>
      <c r="AH44" s="12"/>
      <c r="AI44" s="12"/>
      <c r="AJ44" s="12"/>
      <c r="AK44" s="12"/>
      <c r="AL44" s="12"/>
    </row>
    <row r="45" spans="1:43">
      <c r="A45" s="10" t="s">
        <v>44</v>
      </c>
      <c r="B45" s="7"/>
      <c r="C45" s="8"/>
      <c r="D45" s="8"/>
      <c r="E45" s="9"/>
      <c r="F45" s="187"/>
      <c r="G45" s="187"/>
      <c r="H45" s="187"/>
      <c r="I45" s="187"/>
      <c r="J45" s="187"/>
      <c r="K45" s="7"/>
      <c r="L45" s="8"/>
      <c r="M45" s="9"/>
      <c r="N45" s="7"/>
      <c r="O45" s="8"/>
      <c r="P45" s="9"/>
      <c r="Q45" s="7"/>
      <c r="R45" s="8"/>
      <c r="S45" s="9"/>
      <c r="T45" s="7"/>
      <c r="U45" s="8"/>
      <c r="V45" s="9"/>
      <c r="W45" s="7"/>
      <c r="X45" s="8"/>
      <c r="Y45" s="9"/>
      <c r="Z45" s="7">
        <f>$W$67</f>
        <v>65</v>
      </c>
      <c r="AA45" s="8">
        <f>$W$67</f>
        <v>65</v>
      </c>
      <c r="AB45" s="9">
        <f>$W$67</f>
        <v>65</v>
      </c>
      <c r="AD45" s="12"/>
      <c r="AE45" s="12"/>
      <c r="AF45" s="12"/>
      <c r="AG45" s="12"/>
      <c r="AH45" s="12"/>
      <c r="AI45" s="12"/>
      <c r="AJ45" s="12"/>
      <c r="AK45" s="12"/>
      <c r="AL45" s="12"/>
    </row>
    <row r="46" spans="1:43">
      <c r="A46" s="10" t="s">
        <v>45</v>
      </c>
      <c r="B46" s="7"/>
      <c r="C46" s="8"/>
      <c r="D46" s="8"/>
      <c r="E46" s="9"/>
      <c r="F46" s="187"/>
      <c r="G46" s="187"/>
      <c r="H46" s="187"/>
      <c r="I46" s="187"/>
      <c r="J46" s="187"/>
      <c r="K46" s="7"/>
      <c r="L46" s="8"/>
      <c r="M46" s="9"/>
      <c r="N46" s="7"/>
      <c r="O46" s="8"/>
      <c r="P46" s="9"/>
      <c r="Q46" s="7"/>
      <c r="R46" s="8"/>
      <c r="S46" s="9"/>
      <c r="T46" s="7"/>
      <c r="U46" s="8"/>
      <c r="V46" s="9"/>
      <c r="W46" s="7"/>
      <c r="X46" s="8"/>
      <c r="Y46" s="9"/>
      <c r="Z46" s="7">
        <v>25</v>
      </c>
      <c r="AA46" s="8">
        <v>25</v>
      </c>
      <c r="AB46" s="9"/>
      <c r="AD46" s="12"/>
      <c r="AE46" s="12"/>
      <c r="AF46" s="12"/>
      <c r="AG46" s="12"/>
      <c r="AH46" s="12"/>
      <c r="AI46" s="12"/>
      <c r="AJ46" s="12"/>
      <c r="AK46" s="12"/>
      <c r="AL46" s="12"/>
    </row>
    <row r="47" spans="1:43">
      <c r="A47" s="10" t="s">
        <v>46</v>
      </c>
      <c r="B47" s="7">
        <v>100</v>
      </c>
      <c r="C47" s="8">
        <v>100</v>
      </c>
      <c r="D47" s="8">
        <f>W68</f>
        <v>1100</v>
      </c>
      <c r="E47" s="198">
        <f>W69</f>
        <v>2500</v>
      </c>
      <c r="F47" s="187">
        <f>$B47</f>
        <v>100</v>
      </c>
      <c r="G47" s="187">
        <f>$B47</f>
        <v>100</v>
      </c>
      <c r="H47" s="187">
        <f>W68</f>
        <v>1100</v>
      </c>
      <c r="I47" s="187">
        <f>W69</f>
        <v>2500</v>
      </c>
      <c r="J47" s="187"/>
      <c r="K47" s="7">
        <f>$B47</f>
        <v>100</v>
      </c>
      <c r="L47" s="8"/>
      <c r="M47" s="9"/>
      <c r="N47" s="7">
        <f>$B47</f>
        <v>100</v>
      </c>
      <c r="O47" s="8"/>
      <c r="P47" s="9"/>
      <c r="Q47" s="7">
        <f>W68</f>
        <v>1100</v>
      </c>
      <c r="R47" s="8"/>
      <c r="S47" s="9"/>
      <c r="T47" s="7">
        <f>W69</f>
        <v>2500</v>
      </c>
      <c r="U47" s="8"/>
      <c r="V47" s="9"/>
      <c r="W47" s="7">
        <v>100</v>
      </c>
      <c r="X47" s="8"/>
      <c r="Y47" s="9"/>
      <c r="Z47" s="7">
        <f>$B47</f>
        <v>100</v>
      </c>
      <c r="AA47" s="8">
        <f>$B47</f>
        <v>100</v>
      </c>
      <c r="AB47" s="9">
        <f>E47</f>
        <v>2500</v>
      </c>
      <c r="AD47" s="12"/>
      <c r="AE47" s="12"/>
      <c r="AF47" s="12"/>
      <c r="AG47" s="12"/>
      <c r="AH47" s="12"/>
      <c r="AI47" s="12"/>
      <c r="AJ47" s="12"/>
      <c r="AK47" s="12"/>
      <c r="AL47" s="12"/>
    </row>
    <row r="48" spans="1:43">
      <c r="A48" s="10" t="s">
        <v>48</v>
      </c>
      <c r="B48" s="7"/>
      <c r="C48" s="8"/>
      <c r="D48" s="8"/>
      <c r="E48" s="9"/>
      <c r="F48" s="212">
        <f>$W70*1000/3.6</f>
        <v>27777.777777777777</v>
      </c>
      <c r="G48" s="212">
        <f>$W70*1000/3.6</f>
        <v>27777.777777777777</v>
      </c>
      <c r="H48" s="212">
        <f>$W70*1000/3.6</f>
        <v>27777.777777777777</v>
      </c>
      <c r="I48" s="212">
        <f>$W70*1000/3.6</f>
        <v>27777.777777777777</v>
      </c>
      <c r="J48" s="212">
        <f>$W70*1000/3.6</f>
        <v>27777.777777777777</v>
      </c>
      <c r="K48" s="7"/>
      <c r="L48" s="29">
        <f>$W70*1000/3.6</f>
        <v>27777.777777777777</v>
      </c>
      <c r="M48" s="30"/>
      <c r="N48" s="7"/>
      <c r="O48" s="29">
        <f>$W70*1000/3.6</f>
        <v>27777.777777777777</v>
      </c>
      <c r="P48" s="30"/>
      <c r="Q48" s="7"/>
      <c r="R48" s="29">
        <f>$W70*1000/3.6</f>
        <v>27777.777777777777</v>
      </c>
      <c r="S48" s="30"/>
      <c r="T48" s="7"/>
      <c r="U48" s="29">
        <f>$W70*1000/3.6</f>
        <v>27777.777777777777</v>
      </c>
      <c r="V48" s="30"/>
      <c r="W48" s="7"/>
      <c r="X48" s="29">
        <f>$W70*1000/3.6</f>
        <v>27777.777777777777</v>
      </c>
      <c r="Y48" s="30"/>
      <c r="Z48" s="28">
        <f>$W70*1000/3.6</f>
        <v>27777.777777777777</v>
      </c>
      <c r="AA48" s="29">
        <f>$W70*1000/3.6</f>
        <v>27777.777777777777</v>
      </c>
      <c r="AB48" s="30">
        <f>$W70*1000/3.6</f>
        <v>27777.777777777777</v>
      </c>
      <c r="AD48" s="12"/>
      <c r="AE48" s="12"/>
      <c r="AF48" s="12"/>
      <c r="AG48" s="12"/>
      <c r="AH48" s="12"/>
      <c r="AI48" s="12"/>
      <c r="AJ48" s="12"/>
      <c r="AK48" s="12"/>
      <c r="AL48" s="12"/>
    </row>
    <row r="49" spans="1:42">
      <c r="A49" s="10" t="s">
        <v>50</v>
      </c>
      <c r="B49" s="7"/>
      <c r="C49" s="8"/>
      <c r="D49" s="8"/>
      <c r="E49" s="9"/>
      <c r="F49" s="187">
        <v>20</v>
      </c>
      <c r="G49" s="187">
        <v>20</v>
      </c>
      <c r="H49" s="187">
        <v>20</v>
      </c>
      <c r="I49" s="187">
        <v>20</v>
      </c>
      <c r="J49" s="187">
        <v>20</v>
      </c>
      <c r="K49" s="7"/>
      <c r="L49" s="8">
        <v>20</v>
      </c>
      <c r="M49" s="9"/>
      <c r="N49" s="7"/>
      <c r="O49" s="8">
        <v>20</v>
      </c>
      <c r="P49" s="9"/>
      <c r="Q49" s="7"/>
      <c r="R49" s="8">
        <v>20</v>
      </c>
      <c r="S49" s="9"/>
      <c r="T49" s="7"/>
      <c r="U49" s="8">
        <v>20</v>
      </c>
      <c r="V49" s="9"/>
      <c r="W49" s="7"/>
      <c r="X49" s="8">
        <v>20</v>
      </c>
      <c r="Y49" s="9"/>
      <c r="Z49" s="7">
        <v>20</v>
      </c>
      <c r="AA49" s="8">
        <v>20</v>
      </c>
      <c r="AB49" s="9">
        <v>20</v>
      </c>
      <c r="AD49" s="12"/>
      <c r="AE49" s="12"/>
      <c r="AF49" s="12"/>
      <c r="AG49" s="12"/>
      <c r="AH49" s="12"/>
      <c r="AI49" s="12"/>
      <c r="AJ49" s="12"/>
      <c r="AK49" s="12"/>
      <c r="AL49" s="12"/>
    </row>
    <row r="50" spans="1:42" ht="13">
      <c r="A50" s="225" t="s">
        <v>51</v>
      </c>
      <c r="B50" s="7"/>
      <c r="C50" s="8"/>
      <c r="D50" s="8"/>
      <c r="E50" s="9"/>
      <c r="F50" s="187"/>
      <c r="G50" s="187"/>
      <c r="H50" s="187"/>
      <c r="I50" s="187"/>
      <c r="J50" s="187"/>
      <c r="K50" s="7"/>
      <c r="L50" s="8"/>
      <c r="M50" s="9"/>
      <c r="N50" s="7"/>
      <c r="O50" s="8"/>
      <c r="P50" s="9"/>
      <c r="Q50" s="7"/>
      <c r="R50" s="8"/>
      <c r="S50" s="9"/>
      <c r="T50" s="7"/>
      <c r="U50" s="8"/>
      <c r="V50" s="9"/>
      <c r="W50" s="7"/>
      <c r="X50" s="8"/>
      <c r="Y50" s="9"/>
      <c r="Z50" s="7"/>
      <c r="AA50" s="8"/>
      <c r="AB50" s="9"/>
      <c r="AD50" s="12"/>
      <c r="AE50" s="12"/>
      <c r="AF50" s="12"/>
      <c r="AG50" s="12"/>
      <c r="AH50" s="12"/>
      <c r="AI50" s="12"/>
      <c r="AJ50" s="12"/>
      <c r="AK50" s="12"/>
      <c r="AL50" s="12"/>
    </row>
    <row r="51" spans="1:42">
      <c r="B51" s="7"/>
      <c r="C51" s="8"/>
      <c r="D51" s="8"/>
      <c r="E51" s="9"/>
      <c r="F51" s="187"/>
      <c r="G51" s="187"/>
      <c r="H51" s="187"/>
      <c r="I51" s="187"/>
      <c r="J51" s="187"/>
      <c r="K51" s="7"/>
      <c r="L51" s="8"/>
      <c r="M51" s="9"/>
      <c r="N51" s="7"/>
      <c r="O51" s="8"/>
      <c r="P51" s="9"/>
      <c r="Q51" s="7"/>
      <c r="R51" s="8"/>
      <c r="S51" s="9"/>
      <c r="T51" s="7"/>
      <c r="U51" s="8"/>
      <c r="V51" s="9"/>
      <c r="W51" s="7"/>
      <c r="X51" s="8"/>
      <c r="Y51" s="9"/>
      <c r="Z51" s="7"/>
      <c r="AA51" s="8"/>
      <c r="AB51" s="9"/>
      <c r="AD51" s="12"/>
      <c r="AE51" s="12"/>
      <c r="AF51" s="12"/>
      <c r="AG51" s="12"/>
      <c r="AH51" s="12"/>
      <c r="AI51" s="12"/>
      <c r="AJ51" s="12"/>
      <c r="AK51" s="12"/>
      <c r="AL51" s="12"/>
    </row>
    <row r="52" spans="1:42">
      <c r="A52" s="10" t="s">
        <v>52</v>
      </c>
      <c r="B52" s="7">
        <f t="shared" ref="B52:I52" si="7">B43*B22</f>
        <v>11000</v>
      </c>
      <c r="C52" s="8">
        <f t="shared" si="7"/>
        <v>11000</v>
      </c>
      <c r="D52" s="8">
        <f t="shared" si="7"/>
        <v>11000</v>
      </c>
      <c r="E52" s="9">
        <f t="shared" si="7"/>
        <v>11000</v>
      </c>
      <c r="F52" s="187">
        <f t="shared" si="7"/>
        <v>8250</v>
      </c>
      <c r="G52" s="187">
        <f t="shared" si="7"/>
        <v>8250</v>
      </c>
      <c r="H52" s="187">
        <f t="shared" si="7"/>
        <v>8250</v>
      </c>
      <c r="I52" s="187">
        <f t="shared" si="7"/>
        <v>8250</v>
      </c>
      <c r="J52" s="187"/>
      <c r="K52" s="7">
        <f>K43*K22</f>
        <v>3712.5</v>
      </c>
      <c r="L52" s="8"/>
      <c r="M52" s="9"/>
      <c r="N52" s="7">
        <f>N43*N22</f>
        <v>3712.5</v>
      </c>
      <c r="O52" s="8"/>
      <c r="P52" s="9"/>
      <c r="Q52" s="7">
        <f>Q43*Q22</f>
        <v>3712.5</v>
      </c>
      <c r="R52" s="8"/>
      <c r="S52" s="9"/>
      <c r="T52" s="7">
        <f>T43*T22</f>
        <v>3712.5</v>
      </c>
      <c r="U52" s="8"/>
      <c r="V52" s="9"/>
      <c r="W52" s="7">
        <f>W43*W22</f>
        <v>3712.5</v>
      </c>
      <c r="X52" s="8"/>
      <c r="Y52" s="9"/>
      <c r="Z52" s="7"/>
      <c r="AA52" s="8"/>
      <c r="AB52" s="9"/>
      <c r="AD52" s="12"/>
      <c r="AE52" s="12"/>
      <c r="AF52" s="12"/>
      <c r="AG52" s="12"/>
      <c r="AH52" s="12"/>
      <c r="AI52" s="12"/>
      <c r="AJ52" s="12"/>
      <c r="AK52" s="12"/>
      <c r="AL52" s="12"/>
    </row>
    <row r="53" spans="1:42">
      <c r="A53" s="10" t="s">
        <v>53</v>
      </c>
      <c r="B53" s="7"/>
      <c r="C53" s="8"/>
      <c r="D53" s="8"/>
      <c r="E53" s="9"/>
      <c r="F53" s="212">
        <f>F44*F23</f>
        <v>875</v>
      </c>
      <c r="G53" s="212">
        <f>G44*G23</f>
        <v>875</v>
      </c>
      <c r="H53" s="212">
        <f>H44*H23</f>
        <v>875</v>
      </c>
      <c r="I53" s="212">
        <f>I44*I23</f>
        <v>875</v>
      </c>
      <c r="J53" s="212">
        <f>J23*J44</f>
        <v>1750</v>
      </c>
      <c r="K53" s="7"/>
      <c r="L53" s="29">
        <f>L44*L23</f>
        <v>1312.5</v>
      </c>
      <c r="M53" s="30"/>
      <c r="N53" s="7"/>
      <c r="O53" s="29">
        <f>O44*O23</f>
        <v>1312.5</v>
      </c>
      <c r="P53" s="30"/>
      <c r="Q53" s="7"/>
      <c r="R53" s="29">
        <f>R44*R23</f>
        <v>1312.5</v>
      </c>
      <c r="S53" s="30"/>
      <c r="T53" s="7"/>
      <c r="U53" s="29">
        <f>U44*U23</f>
        <v>1312.5</v>
      </c>
      <c r="V53" s="30"/>
      <c r="W53" s="7"/>
      <c r="X53" s="29">
        <f>X44*X23</f>
        <v>1312.5</v>
      </c>
      <c r="Y53" s="30"/>
      <c r="Z53" s="28">
        <f>Z23*Z44</f>
        <v>1750</v>
      </c>
      <c r="AA53" s="29">
        <f>AA23*AA44</f>
        <v>1750</v>
      </c>
      <c r="AB53" s="30">
        <f>AB23*AB44</f>
        <v>1750</v>
      </c>
      <c r="AD53" s="12"/>
      <c r="AE53" s="12"/>
      <c r="AF53" s="12"/>
      <c r="AG53" s="12"/>
      <c r="AH53" s="12"/>
      <c r="AI53" s="12"/>
      <c r="AJ53" s="12"/>
      <c r="AK53" s="12"/>
      <c r="AL53" s="12"/>
    </row>
    <row r="54" spans="1:42">
      <c r="A54" s="10" t="s">
        <v>54</v>
      </c>
      <c r="B54" s="28"/>
      <c r="C54" s="29"/>
      <c r="D54" s="29"/>
      <c r="E54" s="30"/>
      <c r="F54" s="187"/>
      <c r="G54" s="187"/>
      <c r="H54" s="187"/>
      <c r="I54" s="187"/>
      <c r="J54" s="212"/>
      <c r="K54" s="28"/>
      <c r="L54" s="8"/>
      <c r="M54" s="9"/>
      <c r="N54" s="28"/>
      <c r="O54" s="8"/>
      <c r="P54" s="9"/>
      <c r="Q54" s="28"/>
      <c r="R54" s="8"/>
      <c r="S54" s="9"/>
      <c r="T54" s="28"/>
      <c r="U54" s="8"/>
      <c r="V54" s="9"/>
      <c r="W54" s="28"/>
      <c r="X54" s="8"/>
      <c r="Y54" s="9"/>
      <c r="Z54" s="28">
        <f>Z45*Z29</f>
        <v>10156.25</v>
      </c>
      <c r="AA54" s="29">
        <f>AA45*AA29</f>
        <v>10156.25</v>
      </c>
      <c r="AB54" s="30">
        <f>AB45*AB29</f>
        <v>10156.25</v>
      </c>
      <c r="AH54" s="188"/>
      <c r="AI54" s="188"/>
      <c r="AJ54" s="188"/>
      <c r="AK54" s="188"/>
      <c r="AL54" s="188"/>
      <c r="AM54" s="188"/>
      <c r="AN54" s="188"/>
      <c r="AO54" s="188"/>
      <c r="AP54" s="188"/>
    </row>
    <row r="55" spans="1:42">
      <c r="A55" s="10" t="s">
        <v>55</v>
      </c>
      <c r="B55" s="28"/>
      <c r="C55" s="29"/>
      <c r="D55" s="29"/>
      <c r="E55" s="30"/>
      <c r="F55" s="187"/>
      <c r="G55" s="187"/>
      <c r="H55" s="187"/>
      <c r="I55" s="187"/>
      <c r="J55" s="212"/>
      <c r="K55" s="28"/>
      <c r="L55" s="8"/>
      <c r="M55" s="9"/>
      <c r="N55" s="28"/>
      <c r="O55" s="8"/>
      <c r="P55" s="9"/>
      <c r="Q55" s="28"/>
      <c r="R55" s="8"/>
      <c r="S55" s="9"/>
      <c r="T55" s="28"/>
      <c r="U55" s="8"/>
      <c r="V55" s="9"/>
      <c r="W55" s="28"/>
      <c r="X55" s="8"/>
      <c r="Y55" s="9"/>
      <c r="Z55" s="28">
        <f>Z29*Z46</f>
        <v>3906.25</v>
      </c>
      <c r="AA55" s="29">
        <f>AA46*AA29</f>
        <v>3906.25</v>
      </c>
      <c r="AB55" s="30"/>
      <c r="AH55" s="188"/>
      <c r="AI55" s="188"/>
      <c r="AJ55" s="188"/>
      <c r="AK55" s="188"/>
      <c r="AL55" s="188"/>
      <c r="AM55" s="188"/>
      <c r="AN55" s="188"/>
      <c r="AO55" s="188"/>
      <c r="AP55" s="188"/>
    </row>
    <row r="56" spans="1:42">
      <c r="A56" s="10" t="s">
        <v>56</v>
      </c>
      <c r="B56" s="28">
        <f t="shared" ref="B56:I56" si="8">B47*B16</f>
        <v>488.99999999999994</v>
      </c>
      <c r="C56" s="29">
        <f t="shared" si="8"/>
        <v>488.99999999999994</v>
      </c>
      <c r="D56" s="29">
        <f t="shared" si="8"/>
        <v>5379</v>
      </c>
      <c r="E56" s="30">
        <f t="shared" si="8"/>
        <v>10818.58407079646</v>
      </c>
      <c r="F56" s="212">
        <f t="shared" si="8"/>
        <v>376.15384615384613</v>
      </c>
      <c r="G56" s="212">
        <f t="shared" si="8"/>
        <v>376.15384615384613</v>
      </c>
      <c r="H56" s="212">
        <f t="shared" si="8"/>
        <v>4137.6923076923067</v>
      </c>
      <c r="I56" s="212">
        <f t="shared" si="8"/>
        <v>8548.9510489510485</v>
      </c>
      <c r="J56" s="212"/>
      <c r="K56" s="28">
        <f>K47*K16</f>
        <v>283.62</v>
      </c>
      <c r="L56" s="29"/>
      <c r="M56" s="30"/>
      <c r="N56" s="28">
        <f>N47*N16</f>
        <v>283.62</v>
      </c>
      <c r="O56" s="29"/>
      <c r="P56" s="30"/>
      <c r="Q56" s="28">
        <f>Q47*Q16</f>
        <v>3119.8199999999997</v>
      </c>
      <c r="R56" s="29"/>
      <c r="S56" s="30"/>
      <c r="T56" s="28">
        <f>T47*T16</f>
        <v>6525</v>
      </c>
      <c r="U56" s="29"/>
      <c r="V56" s="30"/>
      <c r="W56" s="28">
        <f>W47*W16</f>
        <v>303.17999999999995</v>
      </c>
      <c r="X56" s="29"/>
      <c r="Y56" s="30"/>
      <c r="Z56" s="28">
        <f>Z47*Z16</f>
        <v>417.94871794871796</v>
      </c>
      <c r="AA56" s="29">
        <f>AA47*AA16</f>
        <v>382.03124999999994</v>
      </c>
      <c r="AB56" s="30">
        <f>AB47*AB16</f>
        <v>6791.6666666666661</v>
      </c>
      <c r="AH56" s="188"/>
      <c r="AI56" s="188"/>
      <c r="AJ56" s="188"/>
      <c r="AK56" s="188"/>
      <c r="AL56" s="188"/>
      <c r="AM56" s="188"/>
      <c r="AN56" s="188"/>
      <c r="AO56" s="188"/>
      <c r="AP56" s="188"/>
    </row>
    <row r="57" spans="1:42">
      <c r="A57" s="10" t="s">
        <v>565</v>
      </c>
      <c r="B57" s="28"/>
      <c r="C57" s="29"/>
      <c r="D57" s="29"/>
      <c r="E57" s="30"/>
      <c r="F57" s="212">
        <f>MAX(F48*F18,F49*F30)</f>
        <v>2777.7777777777778</v>
      </c>
      <c r="G57" s="212">
        <f>MAX(G48*G18,G49*G30)</f>
        <v>2777.7777777777778</v>
      </c>
      <c r="H57" s="212">
        <f>MAX(H48*H18,H49*H30)</f>
        <v>2777.7777777777778</v>
      </c>
      <c r="I57" s="212">
        <f>MAX(I48*I18,I49*I30)</f>
        <v>2777.7777777777778</v>
      </c>
      <c r="J57" s="212">
        <f>MAX(J48*J18,J49*J30)</f>
        <v>20643.363728470111</v>
      </c>
      <c r="K57" s="28"/>
      <c r="L57" s="212">
        <f>MAX(L48*L18,L49*L30)</f>
        <v>6709.0932117527855</v>
      </c>
      <c r="M57" s="30"/>
      <c r="N57" s="28"/>
      <c r="O57" s="212">
        <f>MAX(O48*O18,O49*O30)</f>
        <v>6709.0932117527855</v>
      </c>
      <c r="P57" s="30"/>
      <c r="Q57" s="28"/>
      <c r="R57" s="212">
        <f>MAX(R48*R18,R49*R30)</f>
        <v>6709.0932117527855</v>
      </c>
      <c r="S57" s="30"/>
      <c r="T57" s="28"/>
      <c r="U57" s="212">
        <f>MAX(U48*U18,U49*U30)</f>
        <v>6709.0932117527855</v>
      </c>
      <c r="V57" s="30"/>
      <c r="W57" s="28"/>
      <c r="X57" s="212">
        <f>MAX(X48*X18,X49*X30)</f>
        <v>4166.6666666666661</v>
      </c>
      <c r="Y57" s="30"/>
      <c r="Z57" s="212">
        <f>MAX(Z48*Z18,Z49*Z30)</f>
        <v>2750</v>
      </c>
      <c r="AA57" s="212">
        <f>MAX(AA48*AA18,AA49*AA30)</f>
        <v>2750</v>
      </c>
      <c r="AB57" s="212">
        <f>MAX(AB48*AB18,AB49*AB30)</f>
        <v>2750</v>
      </c>
      <c r="AH57" s="188"/>
      <c r="AI57" s="188"/>
      <c r="AJ57" s="188"/>
      <c r="AK57" s="188"/>
      <c r="AL57" s="188"/>
      <c r="AM57" s="188"/>
      <c r="AN57" s="188"/>
      <c r="AO57" s="188"/>
      <c r="AP57" s="188"/>
    </row>
    <row r="58" spans="1:42">
      <c r="B58" s="28"/>
      <c r="C58" s="29"/>
      <c r="D58" s="29"/>
      <c r="E58" s="30"/>
      <c r="F58" s="212"/>
      <c r="G58" s="212"/>
      <c r="H58" s="212"/>
      <c r="I58" s="212"/>
      <c r="J58" s="212"/>
      <c r="K58" s="28"/>
      <c r="L58" s="29"/>
      <c r="M58" s="30"/>
      <c r="N58" s="28"/>
      <c r="O58" s="29"/>
      <c r="P58" s="30"/>
      <c r="Q58" s="28"/>
      <c r="R58" s="29"/>
      <c r="S58" s="30"/>
      <c r="T58" s="28"/>
      <c r="U58" s="29"/>
      <c r="V58" s="30"/>
      <c r="W58" s="28"/>
      <c r="X58" s="29"/>
      <c r="Y58" s="30"/>
      <c r="Z58" s="28"/>
      <c r="AA58" s="29"/>
      <c r="AB58" s="30"/>
      <c r="AD58" s="12"/>
      <c r="AE58" s="12"/>
      <c r="AF58" s="12"/>
      <c r="AG58" s="12"/>
      <c r="AH58" s="12"/>
      <c r="AI58" s="12"/>
      <c r="AJ58" s="12"/>
      <c r="AK58" s="12"/>
      <c r="AL58" s="12"/>
    </row>
    <row r="59" spans="1:42">
      <c r="A59" s="26" t="s">
        <v>460</v>
      </c>
      <c r="B59" s="7"/>
      <c r="C59" s="8">
        <v>100</v>
      </c>
      <c r="D59" s="29">
        <v>100</v>
      </c>
      <c r="E59" s="9"/>
      <c r="F59" s="187">
        <f>$AH$59</f>
        <v>0</v>
      </c>
      <c r="G59" s="187">
        <v>100</v>
      </c>
      <c r="H59" s="187"/>
      <c r="I59" s="187">
        <f>$AH$59</f>
        <v>0</v>
      </c>
      <c r="J59" s="187">
        <f>$AH$59</f>
        <v>0</v>
      </c>
      <c r="K59" s="7"/>
      <c r="L59" s="8">
        <f>$AH$59</f>
        <v>0</v>
      </c>
      <c r="M59" s="9"/>
      <c r="N59" s="7"/>
      <c r="O59" s="8">
        <v>100</v>
      </c>
      <c r="P59" s="9"/>
      <c r="Q59" s="7"/>
      <c r="R59" s="8">
        <f>$AH$59</f>
        <v>0</v>
      </c>
      <c r="S59" s="9"/>
      <c r="T59" s="7"/>
      <c r="U59" s="8">
        <f>$AH$59</f>
        <v>0</v>
      </c>
      <c r="V59" s="9"/>
      <c r="W59" s="7"/>
      <c r="X59" s="8">
        <f>$AH$59</f>
        <v>0</v>
      </c>
      <c r="Y59" s="9"/>
      <c r="Z59" s="7">
        <f>$AH$59</f>
        <v>0</v>
      </c>
      <c r="AA59" s="8">
        <f>$AH$59</f>
        <v>0</v>
      </c>
      <c r="AB59" s="9">
        <f>$AH$59</f>
        <v>0</v>
      </c>
      <c r="AD59" s="12"/>
      <c r="AE59" s="12"/>
      <c r="AF59" s="12"/>
      <c r="AG59" s="12"/>
      <c r="AH59" s="12"/>
      <c r="AI59" s="12"/>
      <c r="AJ59" s="12"/>
      <c r="AK59" s="12"/>
      <c r="AL59" s="12"/>
    </row>
    <row r="60" spans="1:42" ht="13">
      <c r="A60" s="6" t="s">
        <v>59</v>
      </c>
      <c r="B60" s="32">
        <f>SUM(B52:B59)</f>
        <v>11489</v>
      </c>
      <c r="C60" s="33">
        <f t="shared" ref="C60:L60" si="9">SUM(C52:C59)</f>
        <v>11589</v>
      </c>
      <c r="D60" s="33">
        <f t="shared" si="9"/>
        <v>16479</v>
      </c>
      <c r="E60" s="34">
        <f t="shared" si="9"/>
        <v>21818.58407079646</v>
      </c>
      <c r="F60" s="226">
        <f t="shared" si="9"/>
        <v>12278.931623931623</v>
      </c>
      <c r="G60" s="226">
        <f>SUM(G52:G59)</f>
        <v>12378.931623931623</v>
      </c>
      <c r="H60" s="226">
        <f>SUM(H52:H59)</f>
        <v>16040.470085470084</v>
      </c>
      <c r="I60" s="226">
        <f>SUM(I52:I59)</f>
        <v>20451.728826728828</v>
      </c>
      <c r="J60" s="226">
        <f t="shared" si="9"/>
        <v>22393.363728470111</v>
      </c>
      <c r="K60" s="32">
        <f t="shared" si="9"/>
        <v>3996.12</v>
      </c>
      <c r="L60" s="33">
        <f t="shared" si="9"/>
        <v>8021.5932117527855</v>
      </c>
      <c r="M60" s="34">
        <f>K60+L60</f>
        <v>12017.713211752785</v>
      </c>
      <c r="N60" s="32">
        <f>SUM(N52:N59)</f>
        <v>3996.12</v>
      </c>
      <c r="O60" s="33">
        <f>SUM(O52:O59)</f>
        <v>8121.5932117527855</v>
      </c>
      <c r="P60" s="34">
        <f>N60+O60</f>
        <v>12117.713211752785</v>
      </c>
      <c r="Q60" s="32">
        <f>SUM(Q52:Q59)</f>
        <v>6832.32</v>
      </c>
      <c r="R60" s="33">
        <f>SUM(R52:R59)</f>
        <v>8021.5932117527855</v>
      </c>
      <c r="S60" s="34">
        <f>Q60+R60</f>
        <v>14853.913211752784</v>
      </c>
      <c r="T60" s="32">
        <f>SUM(T52:T59)</f>
        <v>10237.5</v>
      </c>
      <c r="U60" s="33">
        <f>SUM(U52:U59)</f>
        <v>8021.5932117527855</v>
      </c>
      <c r="V60" s="34">
        <f>T60+U60</f>
        <v>18259.093211752785</v>
      </c>
      <c r="W60" s="32">
        <f>SUM(W52:W59)</f>
        <v>4015.68</v>
      </c>
      <c r="X60" s="33">
        <f>SUM(X52:X59)</f>
        <v>5479.1666666666661</v>
      </c>
      <c r="Y60" s="34">
        <f>W60+X60</f>
        <v>9494.8466666666664</v>
      </c>
      <c r="Z60" s="32">
        <f>SUM(Z52:Z59)</f>
        <v>18980.448717948719</v>
      </c>
      <c r="AA60" s="33">
        <f>SUM(AA52:AA59)</f>
        <v>18944.53125</v>
      </c>
      <c r="AB60" s="34">
        <f>SUM(AB52:AB59)</f>
        <v>21447.916666666664</v>
      </c>
      <c r="AD60" s="12"/>
      <c r="AE60" s="12"/>
      <c r="AF60" s="12"/>
      <c r="AG60" s="12"/>
      <c r="AH60" s="12"/>
      <c r="AI60" s="12"/>
      <c r="AJ60" s="12"/>
      <c r="AK60" s="12"/>
      <c r="AL60" s="12"/>
    </row>
    <row r="61" spans="1:42" ht="13">
      <c r="A61" s="227" t="s">
        <v>461</v>
      </c>
      <c r="B61" s="228">
        <f t="shared" ref="B61:J61" si="10">B60-$B60</f>
        <v>0</v>
      </c>
      <c r="C61" s="229">
        <f t="shared" si="10"/>
        <v>100</v>
      </c>
      <c r="D61" s="229">
        <f t="shared" si="10"/>
        <v>4990</v>
      </c>
      <c r="E61" s="230">
        <f t="shared" si="10"/>
        <v>10329.58407079646</v>
      </c>
      <c r="F61" s="228">
        <f t="shared" si="10"/>
        <v>789.93162393162311</v>
      </c>
      <c r="G61" s="228">
        <f>G60-$B60</f>
        <v>889.93162393162311</v>
      </c>
      <c r="H61" s="228">
        <f>H60-$B60</f>
        <v>4551.4700854700841</v>
      </c>
      <c r="I61" s="228">
        <f>I60-$B60</f>
        <v>8962.7288267288277</v>
      </c>
      <c r="J61" s="228">
        <f t="shared" si="10"/>
        <v>10904.363728470111</v>
      </c>
      <c r="K61" s="228">
        <v>0</v>
      </c>
      <c r="L61" s="229">
        <v>0</v>
      </c>
      <c r="M61" s="230">
        <f>M60-$B60</f>
        <v>528.71321175278536</v>
      </c>
      <c r="N61" s="228">
        <v>0</v>
      </c>
      <c r="O61" s="229">
        <v>0</v>
      </c>
      <c r="P61" s="230">
        <f>P60-$B60</f>
        <v>628.71321175278536</v>
      </c>
      <c r="Q61" s="228">
        <v>0</v>
      </c>
      <c r="R61" s="229">
        <v>0</v>
      </c>
      <c r="S61" s="230">
        <f>S60-$B60</f>
        <v>3364.9132117527843</v>
      </c>
      <c r="T61" s="228">
        <v>0</v>
      </c>
      <c r="U61" s="229">
        <v>0</v>
      </c>
      <c r="V61" s="230">
        <f>V60-$B60</f>
        <v>6770.0932117527846</v>
      </c>
      <c r="W61" s="231">
        <v>0</v>
      </c>
      <c r="X61" s="232">
        <v>0</v>
      </c>
      <c r="Y61" s="233">
        <f>Y60-$B60</f>
        <v>-1994.1533333333336</v>
      </c>
      <c r="Z61" s="228">
        <f>Z60-$B60</f>
        <v>7491.4487179487187</v>
      </c>
      <c r="AA61" s="229">
        <f>AA60-$B60</f>
        <v>7455.53125</v>
      </c>
      <c r="AB61" s="230">
        <f>AB60-$B60</f>
        <v>9958.9166666666642</v>
      </c>
      <c r="AD61" s="12"/>
      <c r="AE61" s="12"/>
      <c r="AF61" s="12"/>
      <c r="AG61" s="12"/>
      <c r="AH61" s="12"/>
      <c r="AI61" s="12"/>
      <c r="AJ61" s="12"/>
      <c r="AK61" s="12"/>
      <c r="AL61" s="12"/>
    </row>
    <row r="62" spans="1:42" ht="13">
      <c r="A62" s="234" t="s">
        <v>462</v>
      </c>
      <c r="B62" s="235">
        <f t="shared" ref="B62:J62" si="11">ROUND(B61,-2)</f>
        <v>0</v>
      </c>
      <c r="C62" s="236">
        <f t="shared" si="11"/>
        <v>100</v>
      </c>
      <c r="D62" s="236">
        <f t="shared" si="11"/>
        <v>5000</v>
      </c>
      <c r="E62" s="237">
        <f t="shared" si="11"/>
        <v>10300</v>
      </c>
      <c r="F62" s="235">
        <f t="shared" si="11"/>
        <v>800</v>
      </c>
      <c r="G62" s="235">
        <f>ROUND(G61,-2)</f>
        <v>900</v>
      </c>
      <c r="H62" s="235">
        <f>ROUND(H61,-2)</f>
        <v>4600</v>
      </c>
      <c r="I62" s="235">
        <f>ROUND(I61,-2)</f>
        <v>9000</v>
      </c>
      <c r="J62" s="235">
        <f t="shared" si="11"/>
        <v>10900</v>
      </c>
      <c r="K62" s="235"/>
      <c r="L62" s="236"/>
      <c r="M62" s="237">
        <f>ROUND(M61,-2)</f>
        <v>500</v>
      </c>
      <c r="N62" s="235"/>
      <c r="O62" s="236"/>
      <c r="P62" s="237">
        <f>ROUND(P61,-2)</f>
        <v>600</v>
      </c>
      <c r="Q62" s="235"/>
      <c r="R62" s="236"/>
      <c r="S62" s="237">
        <f>ROUND(S61,-2)</f>
        <v>3400</v>
      </c>
      <c r="T62" s="235"/>
      <c r="U62" s="236"/>
      <c r="V62" s="237">
        <f>ROUND(V61,-2)</f>
        <v>6800</v>
      </c>
      <c r="W62" s="238"/>
      <c r="X62" s="239"/>
      <c r="Y62" s="240">
        <f>ROUND(Y61,-2)</f>
        <v>-2000</v>
      </c>
      <c r="Z62" s="235">
        <f>ROUND(Z61,-2)</f>
        <v>7500</v>
      </c>
      <c r="AA62" s="236">
        <f>ROUND(AA61,-2)</f>
        <v>7500</v>
      </c>
      <c r="AB62" s="237">
        <f>ROUND(AB61,-2)</f>
        <v>10000</v>
      </c>
      <c r="AD62" s="12"/>
      <c r="AE62" s="12"/>
      <c r="AF62" s="12"/>
      <c r="AG62" s="12"/>
      <c r="AH62" s="12"/>
      <c r="AI62" s="12"/>
      <c r="AJ62" s="12"/>
      <c r="AK62" s="12"/>
      <c r="AL62" s="12"/>
    </row>
    <row r="63" spans="1:42" ht="13">
      <c r="B63" s="241"/>
      <c r="C63" s="242"/>
      <c r="D63" s="242"/>
      <c r="E63" s="243"/>
      <c r="F63" s="241"/>
      <c r="G63" s="241"/>
      <c r="H63" s="241"/>
      <c r="I63" s="241"/>
      <c r="J63" s="241"/>
      <c r="K63" s="241"/>
      <c r="L63" s="242"/>
      <c r="M63" s="243"/>
      <c r="N63" s="241"/>
      <c r="O63" s="242"/>
      <c r="P63" s="243"/>
      <c r="Q63" s="241"/>
      <c r="R63" s="242"/>
      <c r="S63" s="243"/>
      <c r="T63" s="241"/>
      <c r="U63" s="242"/>
      <c r="V63" s="243"/>
      <c r="W63" s="241"/>
      <c r="X63" s="242"/>
      <c r="Y63" s="243"/>
      <c r="Z63" s="241"/>
      <c r="AA63" s="242"/>
      <c r="AB63" s="243"/>
      <c r="AD63" s="12"/>
      <c r="AE63" s="12"/>
      <c r="AF63" s="12"/>
      <c r="AG63" s="12"/>
      <c r="AH63" s="12"/>
      <c r="AI63" s="12"/>
      <c r="AJ63" s="12"/>
      <c r="AK63" s="12"/>
      <c r="AL63" s="12"/>
    </row>
    <row r="64" spans="1:42">
      <c r="A64" s="10" t="s">
        <v>463</v>
      </c>
      <c r="B64" s="28"/>
      <c r="C64" s="29"/>
      <c r="D64" s="29"/>
      <c r="E64" s="30"/>
      <c r="F64" s="187"/>
      <c r="G64" s="187"/>
      <c r="H64" s="187"/>
      <c r="I64" s="187"/>
      <c r="J64" s="187"/>
      <c r="K64" s="28"/>
      <c r="L64" s="29"/>
      <c r="M64" s="30"/>
      <c r="N64" s="28"/>
      <c r="O64" s="29"/>
      <c r="P64" s="30"/>
      <c r="Q64" s="28"/>
      <c r="R64" s="29"/>
      <c r="S64" s="30"/>
      <c r="T64" s="28"/>
      <c r="U64" s="29"/>
      <c r="V64" s="30"/>
      <c r="W64" s="28"/>
      <c r="X64" s="29"/>
      <c r="Y64" s="30"/>
      <c r="Z64" s="28"/>
      <c r="AA64" s="29"/>
      <c r="AB64" s="30"/>
      <c r="AD64" s="12"/>
      <c r="AE64" s="12"/>
      <c r="AF64" s="12"/>
      <c r="AG64" s="12"/>
      <c r="AH64" s="12"/>
      <c r="AI64" s="12"/>
      <c r="AJ64" s="12"/>
      <c r="AK64" s="12"/>
      <c r="AL64" s="12"/>
    </row>
    <row r="65" spans="1:38">
      <c r="A65" s="244" t="s">
        <v>464</v>
      </c>
      <c r="B65" s="245" t="s">
        <v>465</v>
      </c>
      <c r="C65" s="245"/>
      <c r="D65" s="245"/>
      <c r="E65" s="245"/>
      <c r="F65" s="245"/>
      <c r="G65" s="245"/>
      <c r="H65" s="245"/>
      <c r="I65" s="245"/>
      <c r="J65" s="245"/>
      <c r="K65" s="245"/>
      <c r="L65" s="245"/>
      <c r="M65" s="245"/>
      <c r="N65" s="245"/>
      <c r="O65" s="245"/>
      <c r="P65" s="245"/>
      <c r="Q65" s="245"/>
      <c r="R65" s="245"/>
      <c r="S65" s="245"/>
      <c r="T65" s="245"/>
      <c r="U65" s="245"/>
      <c r="V65" s="245"/>
      <c r="W65" s="245"/>
      <c r="X65" s="245"/>
      <c r="Y65" s="245"/>
      <c r="Z65" s="245"/>
      <c r="AA65" s="245"/>
      <c r="AB65" s="246"/>
      <c r="AD65" s="12"/>
      <c r="AE65" s="12"/>
      <c r="AF65" s="12"/>
      <c r="AG65" s="12"/>
      <c r="AH65" s="12"/>
      <c r="AI65" s="12"/>
      <c r="AJ65" s="12"/>
      <c r="AK65" s="12"/>
      <c r="AL65" s="12"/>
    </row>
    <row r="66" spans="1:38" ht="13">
      <c r="A66" s="26"/>
      <c r="B66" s="12"/>
      <c r="C66" s="12"/>
      <c r="D66" s="12"/>
      <c r="E66" s="12"/>
      <c r="F66" s="247"/>
      <c r="G66" s="247"/>
      <c r="H66" s="247"/>
      <c r="I66" s="247"/>
      <c r="J66" s="247"/>
      <c r="K66" s="8"/>
      <c r="L66" s="8"/>
      <c r="M66" s="247"/>
      <c r="N66" s="8"/>
      <c r="O66" s="8"/>
      <c r="P66" s="247"/>
      <c r="Q66" s="8"/>
      <c r="R66" s="8"/>
      <c r="S66" s="247"/>
      <c r="T66" s="8"/>
      <c r="U66" s="8"/>
      <c r="V66" s="247"/>
      <c r="W66" s="247"/>
      <c r="X66" s="247"/>
      <c r="Y66" s="247"/>
      <c r="Z66" s="247"/>
      <c r="AA66" s="247"/>
      <c r="AB66" s="247"/>
      <c r="AD66" s="200"/>
      <c r="AE66" s="12"/>
      <c r="AF66" s="12"/>
      <c r="AG66" s="12"/>
      <c r="AH66" s="12"/>
      <c r="AI66" s="12"/>
      <c r="AJ66" s="12"/>
      <c r="AK66" s="12"/>
      <c r="AL66" s="12"/>
    </row>
    <row r="67" spans="1:38" ht="13">
      <c r="K67" s="8"/>
      <c r="L67" s="8"/>
      <c r="M67" s="248" t="s">
        <v>466</v>
      </c>
      <c r="N67" s="8"/>
      <c r="O67" s="8"/>
      <c r="P67" s="248" t="s">
        <v>466</v>
      </c>
      <c r="Q67" s="8"/>
      <c r="R67" s="8"/>
      <c r="S67" s="248" t="s">
        <v>466</v>
      </c>
      <c r="T67" s="8"/>
      <c r="U67" s="8"/>
      <c r="V67" s="248" t="s">
        <v>466</v>
      </c>
      <c r="W67" s="249">
        <v>65</v>
      </c>
      <c r="X67" s="36" t="s">
        <v>467</v>
      </c>
      <c r="Y67" s="247"/>
      <c r="Z67" s="247"/>
      <c r="AA67" s="247"/>
      <c r="AB67" s="247"/>
      <c r="AD67" s="200"/>
      <c r="AE67" s="12"/>
      <c r="AF67" s="12"/>
      <c r="AG67" s="12"/>
      <c r="AH67" s="12"/>
      <c r="AI67" s="12"/>
      <c r="AJ67" s="12"/>
      <c r="AK67" s="12"/>
      <c r="AL67" s="12"/>
    </row>
    <row r="68" spans="1:38" ht="13">
      <c r="M68" s="250" t="s">
        <v>468</v>
      </c>
      <c r="P68" s="250" t="s">
        <v>468</v>
      </c>
      <c r="S68" s="250" t="s">
        <v>468</v>
      </c>
      <c r="V68" s="250" t="s">
        <v>468</v>
      </c>
      <c r="W68" s="251">
        <v>1100</v>
      </c>
      <c r="X68" s="92" t="s">
        <v>469</v>
      </c>
      <c r="Y68" s="252"/>
      <c r="Z68" s="252"/>
      <c r="AA68" s="252"/>
      <c r="AB68" s="252"/>
      <c r="AE68" s="12"/>
      <c r="AF68" s="12"/>
      <c r="AG68" s="12"/>
      <c r="AH68" s="12"/>
      <c r="AI68" s="12"/>
      <c r="AJ68" s="12"/>
      <c r="AK68" s="12"/>
      <c r="AL68" s="12"/>
    </row>
    <row r="69" spans="1:38" ht="13">
      <c r="M69" s="250" t="s">
        <v>470</v>
      </c>
      <c r="P69" s="250" t="s">
        <v>470</v>
      </c>
      <c r="S69" s="250" t="s">
        <v>470</v>
      </c>
      <c r="V69" s="250" t="s">
        <v>470</v>
      </c>
      <c r="W69" s="251">
        <v>2500</v>
      </c>
      <c r="X69" s="92" t="s">
        <v>471</v>
      </c>
      <c r="AE69" s="12"/>
      <c r="AF69" s="12"/>
      <c r="AG69" s="12"/>
      <c r="AH69" s="12"/>
      <c r="AI69" s="12"/>
      <c r="AJ69" s="12"/>
      <c r="AK69" s="12"/>
      <c r="AL69" s="12"/>
    </row>
    <row r="70" spans="1:38" ht="13">
      <c r="M70" s="253" t="s">
        <v>472</v>
      </c>
      <c r="P70" s="253" t="s">
        <v>472</v>
      </c>
      <c r="S70" s="253" t="s">
        <v>472</v>
      </c>
      <c r="V70" s="253" t="s">
        <v>472</v>
      </c>
      <c r="W70" s="254">
        <v>100</v>
      </c>
      <c r="X70" s="255" t="s">
        <v>473</v>
      </c>
      <c r="AE70" s="12"/>
      <c r="AF70" s="12"/>
      <c r="AG70" s="12"/>
      <c r="AH70" s="12"/>
      <c r="AI70" s="12"/>
      <c r="AJ70" s="12"/>
      <c r="AK70" s="12"/>
      <c r="AL70" s="12"/>
    </row>
    <row r="71" spans="1:38">
      <c r="AE71" s="12"/>
      <c r="AF71" s="12"/>
      <c r="AG71" s="12"/>
      <c r="AH71" s="12"/>
      <c r="AI71" s="12"/>
      <c r="AJ71" s="12"/>
      <c r="AK71" s="12"/>
      <c r="AL71" s="12"/>
    </row>
    <row r="72" spans="1:38">
      <c r="A72" s="216"/>
    </row>
    <row r="75" spans="1:38">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D75" s="12"/>
      <c r="AE75" s="12"/>
      <c r="AF75" s="12"/>
      <c r="AG75" s="12"/>
      <c r="AH75" s="12"/>
      <c r="AI75" s="12"/>
    </row>
    <row r="76" spans="1:38">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c r="AD76" s="12"/>
      <c r="AE76" s="12"/>
      <c r="AF76" s="12"/>
      <c r="AG76" s="12"/>
      <c r="AH76" s="12"/>
      <c r="AI76" s="12"/>
    </row>
    <row r="77" spans="1:38">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D77" s="12"/>
      <c r="AE77" s="12"/>
      <c r="AF77" s="12"/>
      <c r="AG77" s="12"/>
      <c r="AH77" s="12"/>
      <c r="AI77" s="12"/>
    </row>
    <row r="78" spans="1:38">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c r="AD78" s="12"/>
      <c r="AE78" s="12"/>
      <c r="AF78" s="12"/>
      <c r="AG78" s="12"/>
      <c r="AH78" s="12"/>
      <c r="AI78" s="12"/>
      <c r="AJ78" s="8"/>
      <c r="AK78" s="8"/>
      <c r="AL78" s="8"/>
    </row>
    <row r="79" spans="1:38">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D79" s="12"/>
      <c r="AE79" s="12"/>
      <c r="AF79" s="12"/>
      <c r="AG79" s="12"/>
      <c r="AH79" s="12"/>
      <c r="AI79" s="12"/>
      <c r="AJ79" s="8"/>
      <c r="AK79" s="8"/>
      <c r="AL79" s="8"/>
    </row>
    <row r="80" spans="1:38">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D80" s="12"/>
      <c r="AE80" s="12"/>
      <c r="AF80" s="12"/>
      <c r="AG80" s="12"/>
      <c r="AH80" s="12"/>
      <c r="AI80" s="12"/>
    </row>
  </sheetData>
  <mergeCells count="1">
    <mergeCell ref="AI8:AL8"/>
  </mergeCells>
  <pageMargins left="0.5" right="0.5" top="0.4" bottom="0.4" header="0.5" footer="0.5"/>
  <pageSetup scale="72" fitToHeight="2" orientation="landscape" horizontalDpi="4294967292" verticalDpi="4294967292"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T109"/>
  <sheetViews>
    <sheetView zoomScale="90" zoomScaleNormal="90" workbookViewId="0">
      <pane xSplit="1" ySplit="1" topLeftCell="B59" activePane="bottomRight" state="frozen"/>
      <selection activeCell="C69" sqref="C69"/>
      <selection pane="topRight" activeCell="C69" sqref="C69"/>
      <selection pane="bottomLeft" activeCell="C69" sqref="C69"/>
      <selection pane="bottomRight" activeCell="B67" sqref="B67:O67"/>
    </sheetView>
  </sheetViews>
  <sheetFormatPr defaultColWidth="10.1796875" defaultRowHeight="13"/>
  <cols>
    <col min="1" max="1" width="54.54296875" style="308" bestFit="1" customWidth="1"/>
    <col min="2" max="2" width="9.1796875" style="308" customWidth="1"/>
    <col min="3" max="3" width="9.453125" style="308" customWidth="1"/>
    <col min="4" max="4" width="9" style="308" bestFit="1" customWidth="1"/>
    <col min="5" max="5" width="9.453125" style="308" customWidth="1"/>
    <col min="6" max="6" width="8.1796875" style="308" customWidth="1"/>
    <col min="7" max="7" width="8.81640625" style="308" customWidth="1"/>
    <col min="8" max="8" width="9" style="308" bestFit="1" customWidth="1"/>
    <col min="9" max="9" width="7.54296875" style="308" customWidth="1"/>
    <col min="10" max="10" width="8.54296875" style="308" customWidth="1"/>
    <col min="11" max="11" width="8.81640625" style="308" customWidth="1"/>
    <col min="12" max="12" width="7.81640625" style="308" customWidth="1"/>
    <col min="13" max="13" width="8.1796875" style="308" customWidth="1"/>
    <col min="14" max="14" width="9" style="308" customWidth="1"/>
    <col min="15" max="15" width="7.54296875" style="308" customWidth="1"/>
    <col min="16" max="16" width="88.453125" style="308" bestFit="1" customWidth="1"/>
    <col min="17" max="20" width="10.1796875" style="308"/>
    <col min="21" max="21" width="54.81640625" style="308" bestFit="1" customWidth="1"/>
    <col min="22" max="16384" width="10.1796875" style="308"/>
  </cols>
  <sheetData>
    <row r="1" spans="1:20" ht="26">
      <c r="A1" s="273" t="s">
        <v>228</v>
      </c>
      <c r="B1" s="274" t="s">
        <v>0</v>
      </c>
      <c r="C1" s="275" t="s">
        <v>60</v>
      </c>
      <c r="D1" s="275" t="s">
        <v>61</v>
      </c>
      <c r="E1" s="275" t="s">
        <v>1</v>
      </c>
      <c r="F1" s="275" t="s">
        <v>2</v>
      </c>
      <c r="G1" s="275" t="s">
        <v>3</v>
      </c>
      <c r="H1" s="276" t="s">
        <v>4</v>
      </c>
      <c r="I1" s="274" t="s">
        <v>5</v>
      </c>
      <c r="J1" s="275" t="s">
        <v>62</v>
      </c>
      <c r="K1" s="275" t="s">
        <v>6</v>
      </c>
      <c r="L1" s="275" t="s">
        <v>188</v>
      </c>
      <c r="M1" s="275" t="s">
        <v>7</v>
      </c>
      <c r="N1" s="276" t="s">
        <v>8</v>
      </c>
      <c r="O1" s="277" t="s">
        <v>332</v>
      </c>
      <c r="P1" s="273" t="s">
        <v>75</v>
      </c>
    </row>
    <row r="2" spans="1:20">
      <c r="A2" s="278" t="s">
        <v>190</v>
      </c>
      <c r="B2" s="279"/>
      <c r="C2" s="280"/>
      <c r="D2" s="280"/>
      <c r="E2" s="280"/>
      <c r="F2" s="280"/>
      <c r="G2" s="280"/>
      <c r="H2" s="281"/>
      <c r="I2" s="279"/>
      <c r="J2" s="280"/>
      <c r="K2" s="280"/>
      <c r="L2" s="280"/>
      <c r="M2" s="280"/>
      <c r="N2" s="281"/>
      <c r="O2" s="282"/>
      <c r="P2" s="325"/>
    </row>
    <row r="3" spans="1:20">
      <c r="A3" s="283" t="s">
        <v>9</v>
      </c>
      <c r="B3" s="284"/>
      <c r="C3" s="282"/>
      <c r="D3" s="282"/>
      <c r="E3" s="282"/>
      <c r="F3" s="282"/>
      <c r="G3" s="282"/>
      <c r="H3" s="285"/>
      <c r="I3" s="284"/>
      <c r="J3" s="282"/>
      <c r="K3" s="282"/>
      <c r="L3" s="282"/>
      <c r="M3" s="282"/>
      <c r="N3" s="285"/>
      <c r="O3" s="282"/>
      <c r="P3" s="325"/>
    </row>
    <row r="4" spans="1:20">
      <c r="A4" s="286" t="s">
        <v>11</v>
      </c>
      <c r="B4" s="287"/>
      <c r="C4" s="288"/>
      <c r="D4" s="288"/>
      <c r="E4" s="288"/>
      <c r="F4" s="288"/>
      <c r="G4" s="288"/>
      <c r="H4" s="289"/>
      <c r="J4" s="290"/>
      <c r="K4" s="282"/>
      <c r="L4" s="282"/>
      <c r="M4" s="282"/>
      <c r="N4" s="285"/>
      <c r="O4" s="282"/>
      <c r="P4" s="325"/>
    </row>
    <row r="5" spans="1:20">
      <c r="A5" s="286" t="s">
        <v>13</v>
      </c>
      <c r="B5" s="287"/>
      <c r="C5" s="288"/>
      <c r="D5" s="288"/>
      <c r="E5" s="288"/>
      <c r="F5" s="288"/>
      <c r="G5" s="288"/>
      <c r="H5" s="289"/>
      <c r="I5" s="291">
        <v>0.85</v>
      </c>
      <c r="J5" s="292">
        <v>0.85</v>
      </c>
      <c r="K5" s="292">
        <v>0.85</v>
      </c>
      <c r="L5" s="292">
        <v>0.85</v>
      </c>
      <c r="M5" s="292">
        <v>0.85</v>
      </c>
      <c r="N5" s="293"/>
      <c r="O5" s="294"/>
      <c r="P5" s="325" t="s">
        <v>12</v>
      </c>
    </row>
    <row r="6" spans="1:20">
      <c r="A6" s="286" t="s">
        <v>15</v>
      </c>
      <c r="B6" s="287"/>
      <c r="C6" s="288"/>
      <c r="D6" s="288"/>
      <c r="E6" s="288"/>
      <c r="F6" s="288"/>
      <c r="G6" s="288"/>
      <c r="H6" s="289"/>
      <c r="I6" s="291"/>
      <c r="J6" s="292"/>
      <c r="K6" s="292"/>
      <c r="L6" s="292"/>
      <c r="M6" s="292"/>
      <c r="N6" s="295"/>
      <c r="O6" s="292"/>
      <c r="P6" s="325" t="s">
        <v>16</v>
      </c>
    </row>
    <row r="7" spans="1:20">
      <c r="A7" s="286" t="s">
        <v>18</v>
      </c>
      <c r="B7" s="287"/>
      <c r="C7" s="288"/>
      <c r="D7" s="288"/>
      <c r="E7" s="288"/>
      <c r="F7" s="288"/>
      <c r="G7" s="288"/>
      <c r="H7" s="289"/>
      <c r="I7" s="296">
        <v>0.98</v>
      </c>
      <c r="J7" s="297">
        <v>0.98</v>
      </c>
      <c r="K7" s="297">
        <v>0.98</v>
      </c>
      <c r="L7" s="297">
        <v>0.98</v>
      </c>
      <c r="M7" s="297">
        <v>0.98</v>
      </c>
      <c r="N7" s="298">
        <v>0.98</v>
      </c>
      <c r="O7" s="297">
        <v>0.8</v>
      </c>
      <c r="P7" s="325" t="s">
        <v>19</v>
      </c>
    </row>
    <row r="8" spans="1:20">
      <c r="A8" s="286" t="s">
        <v>321</v>
      </c>
      <c r="B8" s="299">
        <f>'Base data for vehicles'!$F$50</f>
        <v>0.4</v>
      </c>
      <c r="C8" s="300">
        <f>'Base data for vehicles'!$F$50</f>
        <v>0.4</v>
      </c>
      <c r="D8" s="300">
        <f>'Base data for vehicles'!$F$50</f>
        <v>0.4</v>
      </c>
      <c r="E8" s="300">
        <f>'Base data for vehicles'!$F$50</f>
        <v>0.4</v>
      </c>
      <c r="F8" s="300">
        <f>'Base data for vehicles'!$F$50</f>
        <v>0.4</v>
      </c>
      <c r="G8" s="300">
        <f>'Base data for vehicles'!$F$50</f>
        <v>0.4</v>
      </c>
      <c r="H8" s="300">
        <f>'Base data for vehicles'!$F$50</f>
        <v>0.4</v>
      </c>
      <c r="I8" s="296">
        <f>'Base data for vehicles'!$F$80</f>
        <v>0.45</v>
      </c>
      <c r="J8" s="297">
        <f>'Base data for vehicles'!$F$80</f>
        <v>0.45</v>
      </c>
      <c r="K8" s="297">
        <f>'Base data for vehicles'!$F$80</f>
        <v>0.45</v>
      </c>
      <c r="L8" s="297">
        <f>'Base data for vehicles'!$F$80</f>
        <v>0.45</v>
      </c>
      <c r="M8" s="297">
        <f>'Base data for vehicles'!$F$80</f>
        <v>0.45</v>
      </c>
      <c r="N8" s="298">
        <f>'Base data for vehicles'!$F$80</f>
        <v>0.45</v>
      </c>
      <c r="O8" s="297"/>
      <c r="P8" s="325"/>
    </row>
    <row r="9" spans="1:20">
      <c r="A9" s="286" t="s">
        <v>320</v>
      </c>
      <c r="B9" s="301">
        <f>B8*'Unit conversion'!$B$5</f>
        <v>0.37399668325041463</v>
      </c>
      <c r="C9" s="302">
        <f>C8*'Unit conversion'!$B$5</f>
        <v>0.37399668325041463</v>
      </c>
      <c r="D9" s="302">
        <f>D8*'Unit conversion'!$C$5</f>
        <v>0.37483731019522781</v>
      </c>
      <c r="E9" s="302">
        <f>E8*'Unit conversion'!$E$5</f>
        <v>0.35242290748898686</v>
      </c>
      <c r="F9" s="302">
        <f>F8*'Unit conversion'!$F$5</f>
        <v>0.35242290748898686</v>
      </c>
      <c r="G9" s="302">
        <f>G8*'Unit conversion'!$G$5</f>
        <v>0.3603603603603604</v>
      </c>
      <c r="H9" s="303">
        <f>H8*'Unit conversion'!$H$5</f>
        <v>0.3380281690140845</v>
      </c>
      <c r="I9" s="301">
        <f>I8*'Unit conversion'!$B$5</f>
        <v>0.42074626865671644</v>
      </c>
      <c r="J9" s="302">
        <f>J8*'Unit conversion'!$C$5</f>
        <v>0.42169197396963126</v>
      </c>
      <c r="K9" s="302">
        <f>K8*'Unit conversion'!$E$5</f>
        <v>0.39647577092511016</v>
      </c>
      <c r="L9" s="302">
        <f>L8*'Unit conversion'!$F$5</f>
        <v>0.39647577092511016</v>
      </c>
      <c r="M9" s="302">
        <f>M8*'Unit conversion'!$G$5</f>
        <v>0.40540540540540543</v>
      </c>
      <c r="N9" s="303">
        <f>N8*'Unit conversion'!$H$5</f>
        <v>0.38028169014084506</v>
      </c>
      <c r="O9" s="302">
        <f>O7</f>
        <v>0.8</v>
      </c>
      <c r="P9" s="307" t="s">
        <v>21</v>
      </c>
    </row>
    <row r="10" spans="1:20">
      <c r="A10" s="286" t="s">
        <v>22</v>
      </c>
      <c r="B10" s="304">
        <f>ROUND(B9/$D$9,2)</f>
        <v>1</v>
      </c>
      <c r="C10" s="305">
        <f>ROUND(C9/$D$9,2)</f>
        <v>1</v>
      </c>
      <c r="D10" s="305">
        <f t="shared" ref="D10:M10" si="0">ROUND(D9/$D$9,2)</f>
        <v>1</v>
      </c>
      <c r="E10" s="305">
        <f t="shared" si="0"/>
        <v>0.94</v>
      </c>
      <c r="F10" s="305">
        <f t="shared" si="0"/>
        <v>0.94</v>
      </c>
      <c r="G10" s="305">
        <f t="shared" si="0"/>
        <v>0.96</v>
      </c>
      <c r="H10" s="305">
        <f t="shared" si="0"/>
        <v>0.9</v>
      </c>
      <c r="I10" s="304">
        <f t="shared" si="0"/>
        <v>1.1200000000000001</v>
      </c>
      <c r="J10" s="305">
        <f t="shared" si="0"/>
        <v>1.1299999999999999</v>
      </c>
      <c r="K10" s="305">
        <f t="shared" si="0"/>
        <v>1.06</v>
      </c>
      <c r="L10" s="305">
        <f t="shared" si="0"/>
        <v>1.06</v>
      </c>
      <c r="M10" s="305">
        <f t="shared" si="0"/>
        <v>1.08</v>
      </c>
      <c r="N10" s="306">
        <f>ROUND(N9/$D$9,2)</f>
        <v>1.01</v>
      </c>
      <c r="O10" s="306">
        <f>ROUND(O9/$D$9,2)</f>
        <v>2.13</v>
      </c>
      <c r="P10" s="307"/>
    </row>
    <row r="11" spans="1:20">
      <c r="A11" s="309" t="s">
        <v>186</v>
      </c>
      <c r="B11" s="310">
        <f>B12*B9</f>
        <v>85.287846481876329</v>
      </c>
      <c r="C11" s="311">
        <f t="shared" ref="C11:N11" si="1">C12*C9</f>
        <v>85.287846481876329</v>
      </c>
      <c r="D11" s="311">
        <f t="shared" si="1"/>
        <v>78.091106290672457</v>
      </c>
      <c r="E11" s="311">
        <f t="shared" si="1"/>
        <v>158.59030837004406</v>
      </c>
      <c r="F11" s="311">
        <f t="shared" si="1"/>
        <v>158.59030837004406</v>
      </c>
      <c r="G11" s="311">
        <f t="shared" si="1"/>
        <v>64.864864864864856</v>
      </c>
      <c r="H11" s="311">
        <f t="shared" si="1"/>
        <v>25.352112676056336</v>
      </c>
      <c r="I11" s="310">
        <f>I12*I9</f>
        <v>85.668595796527555</v>
      </c>
      <c r="J11" s="311">
        <f>J12*J9</f>
        <v>77.74557042212966</v>
      </c>
      <c r="K11" s="311">
        <f t="shared" si="1"/>
        <v>168.3151857700939</v>
      </c>
      <c r="L11" s="311">
        <f t="shared" si="1"/>
        <v>168.3151857700939</v>
      </c>
      <c r="M11" s="311">
        <f t="shared" si="1"/>
        <v>67.567567567567551</v>
      </c>
      <c r="N11" s="312">
        <f t="shared" si="1"/>
        <v>28.238739366894436</v>
      </c>
      <c r="O11" s="311"/>
      <c r="P11" s="313" t="s">
        <v>521</v>
      </c>
    </row>
    <row r="12" spans="1:20">
      <c r="A12" s="314" t="s">
        <v>23</v>
      </c>
      <c r="B12" s="315">
        <f>3600/(B$9*'Unit conversion'!$B$3)</f>
        <v>228.04439264176756</v>
      </c>
      <c r="C12" s="315">
        <f>3600/(C$9*'Unit conversion'!$B$3)</f>
        <v>228.04439264176756</v>
      </c>
      <c r="D12" s="315">
        <f>3600/(D$9*'Unit conversion'!$C$3)</f>
        <v>208.33333333333331</v>
      </c>
      <c r="E12" s="315">
        <f>3600/(E$9*'Unit conversion'!$E$3)</f>
        <v>449.99999999999989</v>
      </c>
      <c r="F12" s="315">
        <f>3600/(F$9*'Unit conversion'!$F$3)</f>
        <v>449.99999999999989</v>
      </c>
      <c r="G12" s="315">
        <f>3600/(G$9*'Unit conversion'!$G$3)</f>
        <v>179.99999999999997</v>
      </c>
      <c r="H12" s="315">
        <f>3600/(H$9*'Unit conversion'!$H$3)</f>
        <v>75</v>
      </c>
      <c r="I12" s="316">
        <f>$B12/I10</f>
        <v>203.61106485872102</v>
      </c>
      <c r="J12" s="317">
        <f>$D12/J10</f>
        <v>184.36578171091446</v>
      </c>
      <c r="K12" s="317">
        <f>$E12/K10</f>
        <v>424.52830188679235</v>
      </c>
      <c r="L12" s="317">
        <f>$F12/L10</f>
        <v>424.52830188679235</v>
      </c>
      <c r="M12" s="317">
        <f>$G12/M10</f>
        <v>166.66666666666663</v>
      </c>
      <c r="N12" s="318">
        <f>$H12/N10</f>
        <v>74.257425742574256</v>
      </c>
      <c r="O12" s="317"/>
      <c r="P12" s="343" t="s">
        <v>212</v>
      </c>
      <c r="Q12" s="344"/>
      <c r="R12" s="344"/>
      <c r="S12" s="344"/>
      <c r="T12" s="344"/>
    </row>
    <row r="13" spans="1:20">
      <c r="A13" s="286" t="s">
        <v>24</v>
      </c>
      <c r="B13" s="319"/>
      <c r="C13" s="320"/>
      <c r="D13" s="320"/>
      <c r="E13" s="320"/>
      <c r="F13" s="320"/>
      <c r="G13" s="320"/>
      <c r="H13" s="321"/>
      <c r="I13" s="316">
        <f t="shared" ref="I13:N13" si="2">I11/I7</f>
        <v>87.416934486252615</v>
      </c>
      <c r="J13" s="317">
        <f t="shared" si="2"/>
        <v>79.332214716458836</v>
      </c>
      <c r="K13" s="317">
        <f t="shared" si="2"/>
        <v>171.75018956132033</v>
      </c>
      <c r="L13" s="317">
        <f t="shared" si="2"/>
        <v>171.75018956132033</v>
      </c>
      <c r="M13" s="317">
        <f t="shared" si="2"/>
        <v>68.946497517926076</v>
      </c>
      <c r="N13" s="318">
        <f t="shared" si="2"/>
        <v>28.815040170300446</v>
      </c>
      <c r="O13" s="317"/>
      <c r="P13" s="345" t="s">
        <v>189</v>
      </c>
      <c r="Q13" s="344"/>
      <c r="R13" s="344"/>
      <c r="S13" s="344"/>
      <c r="T13" s="344"/>
    </row>
    <row r="14" spans="1:20">
      <c r="A14" s="283" t="s">
        <v>102</v>
      </c>
      <c r="B14" s="319"/>
      <c r="C14" s="320"/>
      <c r="D14" s="320"/>
      <c r="E14" s="320"/>
      <c r="F14" s="320"/>
      <c r="G14" s="320"/>
      <c r="H14" s="321"/>
      <c r="I14" s="346"/>
      <c r="J14" s="344"/>
      <c r="K14" s="344"/>
      <c r="L14" s="344"/>
      <c r="M14" s="344"/>
      <c r="N14" s="318"/>
      <c r="O14" s="317"/>
      <c r="P14" s="343"/>
      <c r="Q14" s="344"/>
      <c r="R14" s="344"/>
      <c r="S14" s="344"/>
      <c r="T14" s="344"/>
    </row>
    <row r="15" spans="1:20">
      <c r="A15" s="286" t="s">
        <v>25</v>
      </c>
      <c r="B15" s="316">
        <f>'Base data for vehicles'!$F$7</f>
        <v>162</v>
      </c>
      <c r="C15" s="317">
        <f>'Base data for vehicles'!$F$7</f>
        <v>162</v>
      </c>
      <c r="D15" s="317">
        <f>'Base data for vehicles'!$F$7</f>
        <v>162</v>
      </c>
      <c r="E15" s="317">
        <f>'Base data for vehicles'!$F$7</f>
        <v>162</v>
      </c>
      <c r="F15" s="317">
        <f>'Base data for vehicles'!$F$7</f>
        <v>162</v>
      </c>
      <c r="G15" s="317">
        <f>'Base data for vehicles'!$F$7</f>
        <v>162</v>
      </c>
      <c r="H15" s="318">
        <f>'Base data for vehicles'!$F$7</f>
        <v>162</v>
      </c>
      <c r="I15" s="317">
        <f>'Base data for vehicles'!$F$7</f>
        <v>162</v>
      </c>
      <c r="J15" s="317">
        <f>'Base data for vehicles'!$F$7</f>
        <v>162</v>
      </c>
      <c r="K15" s="317">
        <f>'Base data for vehicles'!$F$7</f>
        <v>162</v>
      </c>
      <c r="L15" s="317">
        <f>'Base data for vehicles'!$F$7</f>
        <v>162</v>
      </c>
      <c r="M15" s="317">
        <f>'Base data for vehicles'!$F$7</f>
        <v>162</v>
      </c>
      <c r="N15" s="318">
        <f>'Base data for vehicles'!$F$7</f>
        <v>162</v>
      </c>
      <c r="P15" s="343"/>
    </row>
    <row r="16" spans="1:20">
      <c r="A16" s="286" t="s">
        <v>26</v>
      </c>
      <c r="B16" s="316"/>
      <c r="C16" s="317"/>
      <c r="D16" s="317"/>
      <c r="E16" s="317"/>
      <c r="F16" s="317"/>
      <c r="G16" s="317"/>
      <c r="H16" s="318"/>
      <c r="I16" s="322">
        <v>2</v>
      </c>
      <c r="J16" s="323">
        <v>3</v>
      </c>
      <c r="K16" s="323">
        <v>2</v>
      </c>
      <c r="L16" s="323">
        <v>2</v>
      </c>
      <c r="M16" s="323">
        <v>2</v>
      </c>
      <c r="N16" s="324">
        <v>2</v>
      </c>
      <c r="O16" s="318">
        <f>'Base data for vehicles'!$F$7</f>
        <v>162</v>
      </c>
      <c r="P16" s="325" t="s">
        <v>215</v>
      </c>
    </row>
    <row r="17" spans="1:16">
      <c r="A17" s="286" t="s">
        <v>27</v>
      </c>
      <c r="B17" s="316">
        <f>B18/'Unit conversion'!$B$7</f>
        <v>89.748035555237934</v>
      </c>
      <c r="C17" s="317">
        <f>C18/'Unit conversion'!$B$7</f>
        <v>89.748035555237934</v>
      </c>
      <c r="D17" s="317">
        <f>D18/'Unit conversion'!$C$7</f>
        <v>93.119700748129659</v>
      </c>
      <c r="E17" s="317">
        <f>E18/'Unit conversion'!E7</f>
        <v>221.87664804469267</v>
      </c>
      <c r="F17" s="317">
        <f>F18/'Unit conversion'!F7</f>
        <v>221.87664804469267</v>
      </c>
      <c r="G17" s="317">
        <f>G18/'Unit conversion'!$G$7</f>
        <v>143.32516605166049</v>
      </c>
      <c r="H17" s="318">
        <f>H18/'Unit conversion'!$H$7</f>
        <v>410.70422535211276</v>
      </c>
      <c r="I17" s="317">
        <f>I18/'Unit conversion'!$B$7</f>
        <v>80.132174602891027</v>
      </c>
      <c r="J17" s="317">
        <f>J18/'Unit conversion'!C7</f>
        <v>82.406814821353692</v>
      </c>
      <c r="K17" s="317">
        <f>K18/'Unit conversion'!E7</f>
        <v>209.31759249499311</v>
      </c>
      <c r="L17" s="317">
        <f>L18/'Unit conversion'!F7</f>
        <v>209.31759249499311</v>
      </c>
      <c r="M17" s="317">
        <f>M18/'Unit conversion'!G7</f>
        <v>132.70848708487082</v>
      </c>
      <c r="N17" s="317">
        <f>N18/'Unit conversion'!H7</f>
        <v>406.63784688327991</v>
      </c>
      <c r="O17" s="317"/>
      <c r="P17" s="325"/>
    </row>
    <row r="18" spans="1:16">
      <c r="A18" s="286" t="s">
        <v>28</v>
      </c>
      <c r="B18" s="316">
        <f>(B12*(B15/10^6))*B23*'Unit conversion'!$B$3</f>
        <v>3742.4930826534223</v>
      </c>
      <c r="C18" s="317">
        <f>(C12*(C15/10^6))*C23*'Unit conversion'!$B$3</f>
        <v>3742.4930826534223</v>
      </c>
      <c r="D18" s="317">
        <f>(D12*(D15/10^6))*D23*'Unit conversion'!$C$3</f>
        <v>3734.0999999999995</v>
      </c>
      <c r="E18" s="317">
        <f>(E12*(E15/10^6))*E23*'Unit conversion'!$E$3</f>
        <v>3971.5919999999987</v>
      </c>
      <c r="F18" s="317">
        <f>(F12*(F15/10^6))*F23*'Unit conversion'!$F$3</f>
        <v>3971.5919999999987</v>
      </c>
      <c r="G18" s="317">
        <f>(G12*(G15/10^6))*G23*'Unit conversion'!$G$3</f>
        <v>3884.1119999999996</v>
      </c>
      <c r="H18" s="317">
        <f>(H12*(H15/10^6))*H23*'Unit conversion'!$H$3</f>
        <v>4140.72</v>
      </c>
      <c r="I18" s="316">
        <f>(I12*(I15/10^6))*I23*'Unit conversion'!$B$3</f>
        <v>3341.5116809405558</v>
      </c>
      <c r="J18" s="317">
        <f>(J12*(J15/10^6))*J23*'Unit conversion'!$C$3</f>
        <v>3304.5132743362833</v>
      </c>
      <c r="K18" s="317">
        <f>(K12*(K15/10^6))*K23*'Unit conversion'!$E$3</f>
        <v>3746.7849056603764</v>
      </c>
      <c r="L18" s="317">
        <f>(L12*(L15/10^6))*L23*'Unit conversion'!$F$3</f>
        <v>3746.7849056603764</v>
      </c>
      <c r="M18" s="317">
        <f>(M12*(M15/10^6))*M23*'Unit conversion'!$G$3</f>
        <v>3596.3999999999996</v>
      </c>
      <c r="N18" s="318">
        <f>(N12*(N15/10^6))*N23*'Unit conversion'!$H$3</f>
        <v>4099.7227722772277</v>
      </c>
      <c r="O18" s="317"/>
      <c r="P18" s="307"/>
    </row>
    <row r="19" spans="1:16">
      <c r="A19" s="286" t="s">
        <v>29</v>
      </c>
      <c r="B19" s="316"/>
      <c r="C19" s="317"/>
      <c r="D19" s="317"/>
      <c r="E19" s="317"/>
      <c r="F19" s="317"/>
      <c r="G19" s="317"/>
      <c r="H19" s="318"/>
      <c r="I19" s="322">
        <v>5</v>
      </c>
      <c r="J19" s="323">
        <v>6</v>
      </c>
      <c r="K19" s="323">
        <v>5</v>
      </c>
      <c r="L19" s="323">
        <v>5</v>
      </c>
      <c r="M19" s="323">
        <v>5</v>
      </c>
      <c r="N19" s="324">
        <v>5</v>
      </c>
      <c r="O19" s="323"/>
      <c r="P19" s="325"/>
    </row>
    <row r="20" spans="1:16">
      <c r="A20" s="286" t="s">
        <v>30</v>
      </c>
      <c r="B20" s="316"/>
      <c r="C20" s="317"/>
      <c r="D20" s="317"/>
      <c r="E20" s="317"/>
      <c r="F20" s="317"/>
      <c r="G20" s="317"/>
      <c r="H20" s="318"/>
      <c r="I20" s="322">
        <f t="shared" ref="I20:N20" si="3">I19*I13*I16/10^6*I23*44.8</f>
        <v>93.990687959618811</v>
      </c>
      <c r="J20" s="323">
        <f t="shared" si="3"/>
        <v>153.53639507364576</v>
      </c>
      <c r="K20" s="323">
        <f t="shared" si="3"/>
        <v>184.66580381633162</v>
      </c>
      <c r="L20" s="323">
        <f t="shared" si="3"/>
        <v>184.66580381633162</v>
      </c>
      <c r="M20" s="323">
        <f t="shared" si="3"/>
        <v>74.131274131274111</v>
      </c>
      <c r="N20" s="324">
        <f t="shared" si="3"/>
        <v>30.981931191107037</v>
      </c>
      <c r="O20" s="323"/>
      <c r="P20" s="325"/>
    </row>
    <row r="21" spans="1:16">
      <c r="A21" s="286" t="s">
        <v>31</v>
      </c>
      <c r="B21" s="316"/>
      <c r="C21" s="317"/>
      <c r="D21" s="317"/>
      <c r="E21" s="317"/>
      <c r="F21" s="317"/>
      <c r="G21" s="317" t="s">
        <v>71</v>
      </c>
      <c r="H21" s="318"/>
      <c r="I21" s="322">
        <f t="shared" ref="I21:N21" si="4">I20*1000000000/3600/1000</f>
        <v>26108.524433227445</v>
      </c>
      <c r="J21" s="323">
        <f t="shared" si="4"/>
        <v>42648.998631568269</v>
      </c>
      <c r="K21" s="323">
        <f t="shared" si="4"/>
        <v>51296.056615647663</v>
      </c>
      <c r="L21" s="323">
        <f t="shared" si="4"/>
        <v>51296.056615647663</v>
      </c>
      <c r="M21" s="323">
        <f t="shared" si="4"/>
        <v>20592.020592020584</v>
      </c>
      <c r="N21" s="324">
        <f t="shared" si="4"/>
        <v>8606.0919975297329</v>
      </c>
      <c r="O21" s="323"/>
      <c r="P21" s="325"/>
    </row>
    <row r="22" spans="1:16">
      <c r="A22" s="283" t="s">
        <v>192</v>
      </c>
      <c r="B22" s="319"/>
      <c r="C22" s="320"/>
      <c r="D22" s="320"/>
      <c r="E22" s="320"/>
      <c r="F22" s="320"/>
      <c r="G22" s="320"/>
      <c r="H22" s="321"/>
      <c r="I22" s="319"/>
      <c r="J22" s="320"/>
      <c r="K22" s="320"/>
      <c r="L22" s="320"/>
      <c r="M22" s="320"/>
      <c r="N22" s="321"/>
      <c r="O22" s="320"/>
      <c r="P22" s="325"/>
    </row>
    <row r="23" spans="1:16">
      <c r="A23" s="286" t="s">
        <v>191</v>
      </c>
      <c r="B23" s="316">
        <f>'Base data for vehicles'!$F$5</f>
        <v>2400</v>
      </c>
      <c r="C23" s="317">
        <f t="shared" ref="C23:H23" si="5">B23</f>
        <v>2400</v>
      </c>
      <c r="D23" s="317">
        <f t="shared" si="5"/>
        <v>2400</v>
      </c>
      <c r="E23" s="317">
        <f t="shared" si="5"/>
        <v>2400</v>
      </c>
      <c r="F23" s="317">
        <f t="shared" si="5"/>
        <v>2400</v>
      </c>
      <c r="G23" s="317">
        <f t="shared" si="5"/>
        <v>2400</v>
      </c>
      <c r="H23" s="317">
        <f t="shared" si="5"/>
        <v>2400</v>
      </c>
      <c r="I23" s="316">
        <f t="shared" ref="I23:N23" si="6">$B23</f>
        <v>2400</v>
      </c>
      <c r="J23" s="282">
        <f t="shared" si="6"/>
        <v>2400</v>
      </c>
      <c r="K23" s="282">
        <f t="shared" si="6"/>
        <v>2400</v>
      </c>
      <c r="L23" s="282">
        <f t="shared" si="6"/>
        <v>2400</v>
      </c>
      <c r="M23" s="282">
        <f t="shared" si="6"/>
        <v>2400</v>
      </c>
      <c r="N23" s="285">
        <f t="shared" si="6"/>
        <v>2400</v>
      </c>
      <c r="O23" s="282">
        <v>2400</v>
      </c>
      <c r="P23" s="325"/>
    </row>
    <row r="24" spans="1:16">
      <c r="A24" s="286" t="s">
        <v>32</v>
      </c>
      <c r="B24" s="316">
        <f t="shared" ref="B24:H24" si="7">B23</f>
        <v>2400</v>
      </c>
      <c r="C24" s="317">
        <f t="shared" si="7"/>
        <v>2400</v>
      </c>
      <c r="D24" s="317">
        <f t="shared" si="7"/>
        <v>2400</v>
      </c>
      <c r="E24" s="317">
        <f t="shared" si="7"/>
        <v>2400</v>
      </c>
      <c r="F24" s="317">
        <f t="shared" si="7"/>
        <v>2400</v>
      </c>
      <c r="G24" s="317">
        <f t="shared" si="7"/>
        <v>2400</v>
      </c>
      <c r="H24" s="318">
        <f t="shared" si="7"/>
        <v>2400</v>
      </c>
      <c r="I24" s="326"/>
      <c r="J24" s="327"/>
      <c r="K24" s="327"/>
      <c r="L24" s="327"/>
      <c r="M24" s="327"/>
      <c r="N24" s="314"/>
      <c r="O24" s="327"/>
      <c r="P24" s="325"/>
    </row>
    <row r="25" spans="1:16">
      <c r="A25" s="286" t="s">
        <v>33</v>
      </c>
      <c r="B25" s="284"/>
      <c r="C25" s="282"/>
      <c r="D25" s="282"/>
      <c r="E25" s="282"/>
      <c r="F25" s="282"/>
      <c r="G25" s="282"/>
      <c r="H25" s="285"/>
      <c r="I25" s="316">
        <f t="shared" ref="I25:N25" si="8">I23</f>
        <v>2400</v>
      </c>
      <c r="J25" s="317">
        <f t="shared" si="8"/>
        <v>2400</v>
      </c>
      <c r="K25" s="317">
        <f t="shared" si="8"/>
        <v>2400</v>
      </c>
      <c r="L25" s="317">
        <f t="shared" si="8"/>
        <v>2400</v>
      </c>
      <c r="M25" s="317">
        <f t="shared" si="8"/>
        <v>2400</v>
      </c>
      <c r="N25" s="318">
        <f t="shared" si="8"/>
        <v>2400</v>
      </c>
      <c r="O25" s="317">
        <v>2400</v>
      </c>
      <c r="P25" s="325"/>
    </row>
    <row r="26" spans="1:16">
      <c r="A26" s="286" t="s">
        <v>34</v>
      </c>
      <c r="B26" s="316">
        <f>B24+B25</f>
        <v>2400</v>
      </c>
      <c r="C26" s="282">
        <f>C24+C25</f>
        <v>2400</v>
      </c>
      <c r="D26" s="282">
        <f>D24+D25</f>
        <v>2400</v>
      </c>
      <c r="E26" s="282">
        <f t="shared" ref="E26:N26" si="9">E24+E25</f>
        <v>2400</v>
      </c>
      <c r="F26" s="282">
        <f t="shared" si="9"/>
        <v>2400</v>
      </c>
      <c r="G26" s="282">
        <f t="shared" si="9"/>
        <v>2400</v>
      </c>
      <c r="H26" s="285">
        <f t="shared" si="9"/>
        <v>2400</v>
      </c>
      <c r="I26" s="284">
        <f t="shared" si="9"/>
        <v>2400</v>
      </c>
      <c r="J26" s="282">
        <f t="shared" si="9"/>
        <v>2400</v>
      </c>
      <c r="K26" s="282">
        <f t="shared" si="9"/>
        <v>2400</v>
      </c>
      <c r="L26" s="282">
        <f t="shared" si="9"/>
        <v>2400</v>
      </c>
      <c r="M26" s="282">
        <f t="shared" si="9"/>
        <v>2400</v>
      </c>
      <c r="N26" s="285">
        <f t="shared" si="9"/>
        <v>2400</v>
      </c>
      <c r="O26" s="282">
        <v>2400</v>
      </c>
      <c r="P26" s="325"/>
    </row>
    <row r="27" spans="1:16">
      <c r="A27" s="286" t="s">
        <v>35</v>
      </c>
      <c r="B27" s="284"/>
      <c r="C27" s="282"/>
      <c r="D27" s="282"/>
      <c r="E27" s="282"/>
      <c r="F27" s="282"/>
      <c r="G27" s="282"/>
      <c r="H27" s="285"/>
      <c r="I27" s="284"/>
      <c r="J27" s="282"/>
      <c r="K27" s="282"/>
      <c r="L27" s="282"/>
      <c r="M27" s="282"/>
      <c r="N27" s="285"/>
      <c r="O27" s="282"/>
      <c r="P27" s="325"/>
    </row>
    <row r="28" spans="1:16">
      <c r="A28" s="286"/>
      <c r="B28" s="316"/>
      <c r="C28" s="317"/>
      <c r="D28" s="317"/>
      <c r="E28" s="317"/>
      <c r="F28" s="317"/>
      <c r="G28" s="317"/>
      <c r="H28" s="318"/>
      <c r="I28" s="316"/>
      <c r="J28" s="317"/>
      <c r="K28" s="317"/>
      <c r="L28" s="317"/>
      <c r="M28" s="317"/>
      <c r="N28" s="318"/>
      <c r="O28" s="317"/>
      <c r="P28" s="328"/>
    </row>
    <row r="29" spans="1:16">
      <c r="A29" s="286" t="s">
        <v>36</v>
      </c>
      <c r="B29" s="284"/>
      <c r="C29" s="282"/>
      <c r="D29" s="282"/>
      <c r="E29" s="282"/>
      <c r="F29" s="282"/>
      <c r="G29" s="282"/>
      <c r="H29" s="285"/>
      <c r="I29" s="316"/>
      <c r="J29" s="317"/>
      <c r="K29" s="317" t="s">
        <v>71</v>
      </c>
      <c r="L29" s="317"/>
      <c r="M29" s="317"/>
      <c r="N29" s="318"/>
      <c r="O29" s="317"/>
      <c r="P29" s="325"/>
    </row>
    <row r="30" spans="1:16">
      <c r="A30" s="286" t="s">
        <v>37</v>
      </c>
      <c r="B30" s="284"/>
      <c r="C30" s="282"/>
      <c r="D30" s="282"/>
      <c r="E30" s="282"/>
      <c r="F30" s="282"/>
      <c r="G30" s="282"/>
      <c r="H30" s="285"/>
      <c r="I30" s="316"/>
      <c r="J30" s="317"/>
      <c r="K30" s="317"/>
      <c r="L30" s="317"/>
      <c r="M30" s="317"/>
      <c r="N30" s="318"/>
      <c r="O30" s="317"/>
      <c r="P30" s="325"/>
    </row>
    <row r="31" spans="1:16">
      <c r="A31" s="286" t="s">
        <v>38</v>
      </c>
      <c r="B31" s="284"/>
      <c r="C31" s="282"/>
      <c r="D31" s="282"/>
      <c r="E31" s="282"/>
      <c r="F31" s="282"/>
      <c r="G31" s="282"/>
      <c r="H31" s="285"/>
      <c r="I31" s="284">
        <f t="shared" ref="I31:N31" si="10">50/80*I23</f>
        <v>1500</v>
      </c>
      <c r="J31" s="282">
        <f t="shared" si="10"/>
        <v>1500</v>
      </c>
      <c r="K31" s="282">
        <f t="shared" si="10"/>
        <v>1500</v>
      </c>
      <c r="L31" s="282">
        <f t="shared" si="10"/>
        <v>1500</v>
      </c>
      <c r="M31" s="282">
        <f t="shared" si="10"/>
        <v>1500</v>
      </c>
      <c r="N31" s="285">
        <f t="shared" si="10"/>
        <v>1500</v>
      </c>
      <c r="O31" s="282"/>
      <c r="P31" s="325" t="s">
        <v>216</v>
      </c>
    </row>
    <row r="32" spans="1:16">
      <c r="A32" s="286" t="s">
        <v>39</v>
      </c>
      <c r="B32" s="319"/>
      <c r="C32" s="320"/>
      <c r="D32" s="320"/>
      <c r="E32" s="320"/>
      <c r="F32" s="320"/>
      <c r="G32" s="320"/>
      <c r="H32" s="321"/>
      <c r="I32" s="316">
        <f t="shared" ref="I32:N32" si="11">44/80*I23</f>
        <v>1320</v>
      </c>
      <c r="J32" s="317">
        <f t="shared" si="11"/>
        <v>1320</v>
      </c>
      <c r="K32" s="317">
        <f t="shared" si="11"/>
        <v>1320</v>
      </c>
      <c r="L32" s="317">
        <f t="shared" si="11"/>
        <v>1320</v>
      </c>
      <c r="M32" s="317">
        <f t="shared" si="11"/>
        <v>1320</v>
      </c>
      <c r="N32" s="318">
        <f t="shared" si="11"/>
        <v>1320</v>
      </c>
      <c r="O32" s="317"/>
      <c r="P32" s="325" t="s">
        <v>216</v>
      </c>
    </row>
    <row r="33" spans="1:20">
      <c r="A33" s="286" t="s">
        <v>333</v>
      </c>
      <c r="B33" s="284"/>
      <c r="C33" s="282"/>
      <c r="D33" s="282"/>
      <c r="E33" s="282"/>
      <c r="F33" s="282"/>
      <c r="G33" s="282"/>
      <c r="H33" s="285"/>
      <c r="I33" s="284"/>
      <c r="J33" s="282"/>
      <c r="K33" s="282"/>
      <c r="L33" s="282"/>
      <c r="M33" s="282"/>
      <c r="N33" s="285"/>
      <c r="O33" s="282"/>
      <c r="P33" s="325"/>
    </row>
    <row r="34" spans="1:20">
      <c r="A34" s="278" t="s">
        <v>40</v>
      </c>
      <c r="B34" s="284"/>
      <c r="C34" s="282"/>
      <c r="D34" s="282"/>
      <c r="E34" s="282"/>
      <c r="F34" s="282"/>
      <c r="G34" s="282"/>
      <c r="H34" s="285"/>
      <c r="I34" s="284"/>
      <c r="J34" s="282"/>
      <c r="K34" s="282"/>
      <c r="L34" s="282"/>
      <c r="M34" s="282"/>
      <c r="N34" s="285"/>
      <c r="O34" s="282"/>
      <c r="P34" s="325"/>
    </row>
    <row r="35" spans="1:20">
      <c r="A35" s="286" t="s">
        <v>41</v>
      </c>
      <c r="B35" s="316">
        <f>'Base data for vehicles'!F20</f>
        <v>350</v>
      </c>
      <c r="C35" s="317">
        <f xml:space="preserve"> B35</f>
        <v>350</v>
      </c>
      <c r="D35" s="317">
        <f>B35</f>
        <v>350</v>
      </c>
      <c r="E35" s="317">
        <f>'Base data for vehicles'!F31</f>
        <v>370</v>
      </c>
      <c r="F35" s="317">
        <f>E35</f>
        <v>370</v>
      </c>
      <c r="G35" s="317">
        <f>'Base data for vehicles'!F34</f>
        <v>500</v>
      </c>
      <c r="H35" s="318">
        <f>'Base data for vehicles'!F43</f>
        <v>800</v>
      </c>
      <c r="I35" s="326"/>
      <c r="J35" s="327"/>
      <c r="K35" s="327"/>
      <c r="L35" s="327"/>
      <c r="M35" s="327"/>
      <c r="N35" s="314"/>
      <c r="O35" s="329">
        <f>'Base data for vehicles'!F88</f>
        <v>62.271214099216706</v>
      </c>
      <c r="P35" s="325" t="s">
        <v>42</v>
      </c>
    </row>
    <row r="36" spans="1:20">
      <c r="A36" s="286" t="s">
        <v>217</v>
      </c>
      <c r="B36" s="316"/>
      <c r="C36" s="317"/>
      <c r="D36" s="317"/>
      <c r="E36" s="317"/>
      <c r="F36" s="317"/>
      <c r="G36" s="317"/>
      <c r="H36" s="318"/>
      <c r="I36" s="317">
        <f>'Base data for vehicles'!$F$63</f>
        <v>889.58877284595303</v>
      </c>
      <c r="J36" s="317">
        <f>'Base data for vehicles'!$F$63</f>
        <v>889.58877284595303</v>
      </c>
      <c r="K36" s="317">
        <f>'Base data for vehicles'!$F$63</f>
        <v>889.58877284595303</v>
      </c>
      <c r="L36" s="317">
        <f>'Base data for vehicles'!$F$63</f>
        <v>889.58877284595303</v>
      </c>
      <c r="M36" s="317">
        <f>'Base data for vehicles'!$F$63</f>
        <v>889.58877284595303</v>
      </c>
      <c r="N36" s="318">
        <f>'Base data for vehicles'!$F$63</f>
        <v>889.58877284595303</v>
      </c>
      <c r="O36" s="317"/>
      <c r="P36" s="307"/>
    </row>
    <row r="37" spans="1:20">
      <c r="A37" s="330" t="s">
        <v>219</v>
      </c>
      <c r="B37" s="331"/>
      <c r="C37" s="332"/>
      <c r="D37" s="332"/>
      <c r="E37" s="332"/>
      <c r="F37" s="332"/>
      <c r="G37" s="332"/>
      <c r="H37" s="333"/>
      <c r="I37" s="331">
        <v>26</v>
      </c>
      <c r="J37" s="332">
        <v>26</v>
      </c>
      <c r="K37" s="332">
        <v>26</v>
      </c>
      <c r="L37" s="332">
        <v>26</v>
      </c>
      <c r="M37" s="332">
        <v>26</v>
      </c>
      <c r="N37" s="333">
        <v>26</v>
      </c>
      <c r="O37" s="332"/>
      <c r="P37" s="325" t="s">
        <v>43</v>
      </c>
    </row>
    <row r="38" spans="1:20">
      <c r="A38" s="330" t="s">
        <v>44</v>
      </c>
      <c r="B38" s="331"/>
      <c r="C38" s="332"/>
      <c r="D38" s="332"/>
      <c r="E38" s="332"/>
      <c r="F38" s="332"/>
      <c r="G38" s="332"/>
      <c r="H38" s="333"/>
      <c r="I38" s="331">
        <v>85</v>
      </c>
      <c r="J38" s="332">
        <v>85</v>
      </c>
      <c r="K38" s="332">
        <v>85</v>
      </c>
      <c r="L38" s="332">
        <v>85</v>
      </c>
      <c r="M38" s="332">
        <v>85</v>
      </c>
      <c r="N38" s="333">
        <v>85</v>
      </c>
      <c r="O38" s="332"/>
      <c r="P38" s="325"/>
    </row>
    <row r="39" spans="1:20">
      <c r="A39" s="330" t="s">
        <v>45</v>
      </c>
      <c r="B39" s="331"/>
      <c r="C39" s="332"/>
      <c r="D39" s="332"/>
      <c r="E39" s="332"/>
      <c r="F39" s="332"/>
      <c r="G39" s="332"/>
      <c r="H39" s="333"/>
      <c r="I39" s="331">
        <v>25</v>
      </c>
      <c r="J39" s="332">
        <v>25</v>
      </c>
      <c r="K39" s="332">
        <v>25</v>
      </c>
      <c r="L39" s="332">
        <v>25</v>
      </c>
      <c r="M39" s="332">
        <v>25</v>
      </c>
      <c r="N39" s="333"/>
      <c r="O39" s="332"/>
      <c r="P39" s="325"/>
    </row>
    <row r="40" spans="1:20">
      <c r="A40" s="330" t="s">
        <v>48</v>
      </c>
      <c r="B40" s="331"/>
      <c r="C40" s="332"/>
      <c r="D40" s="332"/>
      <c r="E40" s="332"/>
      <c r="F40" s="332"/>
      <c r="G40" s="332"/>
      <c r="H40" s="333"/>
      <c r="I40" s="334">
        <f t="shared" ref="I40:N40" si="12">$Y76*1000/3.6</f>
        <v>0</v>
      </c>
      <c r="J40" s="335">
        <f t="shared" si="12"/>
        <v>0</v>
      </c>
      <c r="K40" s="335">
        <f t="shared" si="12"/>
        <v>0</v>
      </c>
      <c r="L40" s="335">
        <f t="shared" si="12"/>
        <v>0</v>
      </c>
      <c r="M40" s="335">
        <f t="shared" si="12"/>
        <v>0</v>
      </c>
      <c r="N40" s="336">
        <f t="shared" si="12"/>
        <v>0</v>
      </c>
      <c r="O40" s="317"/>
      <c r="P40" s="325" t="s">
        <v>49</v>
      </c>
      <c r="T40" s="347"/>
    </row>
    <row r="41" spans="1:20">
      <c r="A41" s="330" t="s">
        <v>50</v>
      </c>
      <c r="B41" s="331"/>
      <c r="C41" s="332"/>
      <c r="D41" s="332"/>
      <c r="E41" s="332"/>
      <c r="F41" s="332"/>
      <c r="G41" s="332"/>
      <c r="H41" s="333"/>
      <c r="I41" s="331">
        <v>20</v>
      </c>
      <c r="J41" s="332">
        <v>21</v>
      </c>
      <c r="K41" s="332">
        <v>20</v>
      </c>
      <c r="L41" s="332">
        <v>20</v>
      </c>
      <c r="M41" s="332">
        <v>20</v>
      </c>
      <c r="N41" s="333">
        <v>20</v>
      </c>
      <c r="P41" s="325"/>
    </row>
    <row r="42" spans="1:20">
      <c r="A42" s="337" t="s">
        <v>46</v>
      </c>
      <c r="B42" s="316">
        <f>'Base data for vehicles'!$F$113</f>
        <v>20</v>
      </c>
      <c r="C42" s="317">
        <f>'Base data for vehicles'!$F$113</f>
        <v>20</v>
      </c>
      <c r="D42" s="317">
        <f>'Base data for vehicles'!$F$113</f>
        <v>20</v>
      </c>
      <c r="E42" s="317">
        <f>'Base data for vehicles'!$F$116</f>
        <v>40</v>
      </c>
      <c r="F42" s="317">
        <f>'Base data for vehicles'!$F$116</f>
        <v>40</v>
      </c>
      <c r="G42" s="317">
        <f>'Base data for vehicles'!$F$121</f>
        <v>110</v>
      </c>
      <c r="H42" s="318">
        <f>'Base data for vehicles'!F135</f>
        <v>300</v>
      </c>
      <c r="I42" s="284">
        <f>$B42</f>
        <v>20</v>
      </c>
      <c r="J42" s="282">
        <f>$B42</f>
        <v>20</v>
      </c>
      <c r="K42" s="282">
        <f>$E42</f>
        <v>40</v>
      </c>
      <c r="L42" s="282">
        <f>$E42</f>
        <v>40</v>
      </c>
      <c r="M42" s="282">
        <f>G42</f>
        <v>110</v>
      </c>
      <c r="N42" s="318">
        <f>'Base data for vehicles'!F135</f>
        <v>300</v>
      </c>
      <c r="O42" s="317">
        <f>O44</f>
        <v>24700</v>
      </c>
      <c r="P42" s="325" t="s">
        <v>47</v>
      </c>
    </row>
    <row r="43" spans="1:20">
      <c r="A43" s="330" t="s">
        <v>337</v>
      </c>
      <c r="B43" s="316"/>
      <c r="C43" s="317"/>
      <c r="D43" s="317"/>
      <c r="E43" s="317"/>
      <c r="F43" s="317"/>
      <c r="G43" s="317"/>
      <c r="H43" s="318"/>
      <c r="I43" s="284"/>
      <c r="J43" s="282"/>
      <c r="K43" s="282"/>
      <c r="L43" s="282"/>
      <c r="M43" s="282"/>
      <c r="N43" s="318"/>
      <c r="O43" s="317"/>
      <c r="P43" s="325"/>
    </row>
    <row r="44" spans="1:20">
      <c r="A44" s="330" t="s">
        <v>48</v>
      </c>
      <c r="B44" s="316"/>
      <c r="C44" s="317"/>
      <c r="D44" s="317"/>
      <c r="E44" s="317"/>
      <c r="F44" s="317"/>
      <c r="G44" s="317"/>
      <c r="H44" s="318"/>
      <c r="I44" s="284"/>
      <c r="J44" s="282"/>
      <c r="K44" s="282"/>
      <c r="L44" s="282"/>
      <c r="M44" s="282"/>
      <c r="N44" s="318"/>
      <c r="O44" s="317">
        <f>'Base data for vehicles'!F102</f>
        <v>24700</v>
      </c>
      <c r="P44" s="325"/>
    </row>
    <row r="45" spans="1:20">
      <c r="A45" s="286" t="s">
        <v>214</v>
      </c>
      <c r="B45" s="284">
        <v>0</v>
      </c>
      <c r="C45" s="317">
        <f>'Base data for vehicles'!F147</f>
        <v>400</v>
      </c>
      <c r="D45" s="282">
        <v>0</v>
      </c>
      <c r="E45" s="282">
        <v>0</v>
      </c>
      <c r="F45" s="282">
        <v>0</v>
      </c>
      <c r="G45" s="282">
        <v>0</v>
      </c>
      <c r="H45" s="285">
        <v>0</v>
      </c>
      <c r="I45" s="284"/>
      <c r="J45" s="282"/>
      <c r="K45" s="282"/>
      <c r="L45" s="282"/>
      <c r="M45" s="282"/>
      <c r="N45" s="285"/>
      <c r="O45" s="282"/>
      <c r="P45" s="325"/>
    </row>
    <row r="46" spans="1:20">
      <c r="A46" s="286" t="s">
        <v>213</v>
      </c>
      <c r="B46" s="287"/>
      <c r="C46" s="288"/>
      <c r="D46" s="288"/>
      <c r="E46" s="288"/>
      <c r="F46" s="288"/>
      <c r="G46" s="288"/>
      <c r="H46" s="289"/>
      <c r="I46" s="284"/>
      <c r="J46" s="282"/>
      <c r="K46" s="282"/>
      <c r="L46" s="282"/>
      <c r="M46" s="282"/>
      <c r="N46" s="285"/>
      <c r="O46" s="282"/>
      <c r="P46" s="325"/>
    </row>
    <row r="47" spans="1:20">
      <c r="A47" s="286"/>
      <c r="B47" s="287"/>
      <c r="C47" s="288"/>
      <c r="D47" s="288"/>
      <c r="E47" s="288"/>
      <c r="F47" s="288"/>
      <c r="G47" s="288"/>
      <c r="H47" s="289"/>
      <c r="I47" s="284"/>
      <c r="J47" s="282"/>
      <c r="K47" s="282"/>
      <c r="L47" s="282"/>
      <c r="M47" s="282"/>
      <c r="N47" s="285"/>
      <c r="O47" s="282"/>
      <c r="P47" s="325"/>
    </row>
    <row r="48" spans="1:20">
      <c r="A48" s="278" t="s">
        <v>51</v>
      </c>
      <c r="B48" s="316"/>
      <c r="C48" s="317"/>
      <c r="D48" s="317"/>
      <c r="E48" s="317"/>
      <c r="F48" s="317"/>
      <c r="G48" s="317"/>
      <c r="H48" s="318"/>
      <c r="I48" s="284"/>
      <c r="J48" s="282"/>
      <c r="K48" s="282"/>
      <c r="L48" s="282"/>
      <c r="M48" s="282"/>
      <c r="N48" s="285"/>
      <c r="O48" s="282"/>
      <c r="P48" s="325"/>
    </row>
    <row r="49" spans="1:16">
      <c r="A49" s="286" t="s">
        <v>52</v>
      </c>
      <c r="B49" s="284">
        <f t="shared" ref="B49:H49" si="13">B35*B24</f>
        <v>840000</v>
      </c>
      <c r="C49" s="282">
        <f t="shared" si="13"/>
        <v>840000</v>
      </c>
      <c r="D49" s="282">
        <f t="shared" si="13"/>
        <v>840000</v>
      </c>
      <c r="E49" s="282">
        <f t="shared" si="13"/>
        <v>888000</v>
      </c>
      <c r="F49" s="282">
        <f t="shared" si="13"/>
        <v>888000</v>
      </c>
      <c r="G49" s="282">
        <f t="shared" si="13"/>
        <v>1200000</v>
      </c>
      <c r="H49" s="285">
        <f t="shared" si="13"/>
        <v>1920000</v>
      </c>
      <c r="I49" s="284"/>
      <c r="J49" s="282"/>
      <c r="K49" s="282"/>
      <c r="L49" s="282"/>
      <c r="M49" s="282"/>
      <c r="N49" s="285"/>
      <c r="O49" s="282"/>
      <c r="P49" s="325"/>
    </row>
    <row r="50" spans="1:16">
      <c r="A50" s="286" t="s">
        <v>217</v>
      </c>
      <c r="B50" s="284"/>
      <c r="C50" s="282"/>
      <c r="D50" s="282"/>
      <c r="E50" s="282"/>
      <c r="F50" s="282"/>
      <c r="G50" s="282"/>
      <c r="H50" s="285"/>
      <c r="I50" s="284">
        <f t="shared" ref="I50:N50" si="14">I36*I23</f>
        <v>2135013.0548302871</v>
      </c>
      <c r="J50" s="282">
        <f t="shared" si="14"/>
        <v>2135013.0548302871</v>
      </c>
      <c r="K50" s="282">
        <f t="shared" si="14"/>
        <v>2135013.0548302871</v>
      </c>
      <c r="L50" s="282">
        <f t="shared" si="14"/>
        <v>2135013.0548302871</v>
      </c>
      <c r="M50" s="282">
        <f t="shared" si="14"/>
        <v>2135013.0548302871</v>
      </c>
      <c r="N50" s="285">
        <f t="shared" si="14"/>
        <v>2135013.0548302871</v>
      </c>
      <c r="O50" s="282"/>
      <c r="P50" s="307"/>
    </row>
    <row r="51" spans="1:16">
      <c r="A51" s="330" t="s">
        <v>53</v>
      </c>
      <c r="B51" s="331"/>
      <c r="C51" s="332"/>
      <c r="D51" s="332"/>
      <c r="E51" s="332"/>
      <c r="F51" s="332"/>
      <c r="G51" s="332"/>
      <c r="H51" s="333"/>
      <c r="I51" s="334">
        <f t="shared" ref="I51:N51" si="15">I25*I37</f>
        <v>62400</v>
      </c>
      <c r="J51" s="335">
        <f t="shared" si="15"/>
        <v>62400</v>
      </c>
      <c r="K51" s="335">
        <f t="shared" si="15"/>
        <v>62400</v>
      </c>
      <c r="L51" s="335">
        <f t="shared" si="15"/>
        <v>62400</v>
      </c>
      <c r="M51" s="335">
        <f t="shared" si="15"/>
        <v>62400</v>
      </c>
      <c r="N51" s="336">
        <f t="shared" si="15"/>
        <v>62400</v>
      </c>
      <c r="O51" s="335"/>
      <c r="P51" s="325"/>
    </row>
    <row r="52" spans="1:16">
      <c r="A52" s="330" t="s">
        <v>54</v>
      </c>
      <c r="B52" s="334"/>
      <c r="C52" s="335"/>
      <c r="D52" s="335"/>
      <c r="E52" s="335"/>
      <c r="F52" s="335"/>
      <c r="G52" s="335"/>
      <c r="H52" s="336"/>
      <c r="I52" s="334">
        <f t="shared" ref="I52:N52" si="16">I38*I31</f>
        <v>127500</v>
      </c>
      <c r="J52" s="335">
        <f t="shared" si="16"/>
        <v>127500</v>
      </c>
      <c r="K52" s="335">
        <f t="shared" si="16"/>
        <v>127500</v>
      </c>
      <c r="L52" s="335">
        <f t="shared" si="16"/>
        <v>127500</v>
      </c>
      <c r="M52" s="335">
        <f t="shared" si="16"/>
        <v>127500</v>
      </c>
      <c r="N52" s="336">
        <f t="shared" si="16"/>
        <v>127500</v>
      </c>
      <c r="O52" s="335"/>
      <c r="P52" s="325"/>
    </row>
    <row r="53" spans="1:16">
      <c r="A53" s="330" t="s">
        <v>55</v>
      </c>
      <c r="B53" s="334"/>
      <c r="C53" s="335"/>
      <c r="D53" s="335"/>
      <c r="E53" s="335"/>
      <c r="F53" s="335"/>
      <c r="G53" s="335"/>
      <c r="H53" s="336"/>
      <c r="I53" s="334">
        <f>I31*I39</f>
        <v>37500</v>
      </c>
      <c r="J53" s="335">
        <f>J31*J39</f>
        <v>37500</v>
      </c>
      <c r="K53" s="335">
        <f>K39*K31</f>
        <v>37500</v>
      </c>
      <c r="L53" s="335">
        <f>L39*L31</f>
        <v>37500</v>
      </c>
      <c r="M53" s="335">
        <f>M39*M31</f>
        <v>37500</v>
      </c>
      <c r="N53" s="336"/>
      <c r="O53" s="335"/>
      <c r="P53" s="325"/>
    </row>
    <row r="54" spans="1:16">
      <c r="A54" s="330" t="s">
        <v>57</v>
      </c>
      <c r="B54" s="334"/>
      <c r="C54" s="335"/>
      <c r="D54" s="335"/>
      <c r="E54" s="335"/>
      <c r="F54" s="335"/>
      <c r="G54" s="335"/>
      <c r="H54" s="336"/>
      <c r="I54" s="334">
        <f t="shared" ref="I54:N54" si="17">I40*I20</f>
        <v>0</v>
      </c>
      <c r="J54" s="335">
        <f t="shared" si="17"/>
        <v>0</v>
      </c>
      <c r="K54" s="335">
        <f t="shared" si="17"/>
        <v>0</v>
      </c>
      <c r="L54" s="335">
        <f t="shared" si="17"/>
        <v>0</v>
      </c>
      <c r="M54" s="335">
        <f t="shared" si="17"/>
        <v>0</v>
      </c>
      <c r="N54" s="336">
        <f t="shared" si="17"/>
        <v>0</v>
      </c>
      <c r="O54" s="335"/>
      <c r="P54" s="325"/>
    </row>
    <row r="55" spans="1:16">
      <c r="A55" s="330" t="s">
        <v>58</v>
      </c>
      <c r="B55" s="334"/>
      <c r="C55" s="335"/>
      <c r="D55" s="335"/>
      <c r="E55" s="335"/>
      <c r="F55" s="335"/>
      <c r="G55" s="335"/>
      <c r="H55" s="336"/>
      <c r="I55" s="334">
        <f t="shared" ref="I55:N55" si="18">I32*I41</f>
        <v>26400</v>
      </c>
      <c r="J55" s="335">
        <f t="shared" si="18"/>
        <v>27720</v>
      </c>
      <c r="K55" s="335">
        <f t="shared" si="18"/>
        <v>26400</v>
      </c>
      <c r="L55" s="335">
        <f t="shared" si="18"/>
        <v>26400</v>
      </c>
      <c r="M55" s="335">
        <f t="shared" si="18"/>
        <v>26400</v>
      </c>
      <c r="N55" s="336">
        <f t="shared" si="18"/>
        <v>26400</v>
      </c>
      <c r="O55" s="335"/>
      <c r="P55" s="342"/>
    </row>
    <row r="56" spans="1:16">
      <c r="A56" s="286" t="s">
        <v>335</v>
      </c>
      <c r="B56" s="334"/>
      <c r="C56" s="335"/>
      <c r="D56" s="335"/>
      <c r="E56" s="335"/>
      <c r="F56" s="335"/>
      <c r="G56" s="335"/>
      <c r="H56" s="336"/>
      <c r="I56" s="334"/>
      <c r="J56" s="335"/>
      <c r="K56" s="335"/>
      <c r="L56" s="335"/>
      <c r="M56" s="335"/>
      <c r="N56" s="336"/>
      <c r="O56" s="285">
        <f>SUM(O57:O58)</f>
        <v>17439450.913838118</v>
      </c>
      <c r="P56" s="342"/>
    </row>
    <row r="57" spans="1:16">
      <c r="A57" s="330" t="s">
        <v>53</v>
      </c>
      <c r="B57" s="334"/>
      <c r="C57" s="335"/>
      <c r="D57" s="335"/>
      <c r="E57" s="335"/>
      <c r="F57" s="335"/>
      <c r="G57" s="335"/>
      <c r="H57" s="336"/>
      <c r="I57" s="334"/>
      <c r="J57" s="335"/>
      <c r="K57" s="335"/>
      <c r="L57" s="335"/>
      <c r="M57" s="335"/>
      <c r="N57" s="336"/>
      <c r="O57" s="335">
        <f>O35*O25</f>
        <v>149450.91383812009</v>
      </c>
      <c r="P57" s="342"/>
    </row>
    <row r="58" spans="1:16">
      <c r="A58" s="330" t="s">
        <v>57</v>
      </c>
      <c r="B58" s="334"/>
      <c r="C58" s="335"/>
      <c r="D58" s="335"/>
      <c r="E58" s="335"/>
      <c r="F58" s="335"/>
      <c r="G58" s="335"/>
      <c r="H58" s="336"/>
      <c r="I58" s="334"/>
      <c r="J58" s="335"/>
      <c r="K58" s="335"/>
      <c r="L58" s="335"/>
      <c r="M58" s="335"/>
      <c r="N58" s="336"/>
      <c r="O58" s="335">
        <f>O42*'Base data for vehicles'!F9/2</f>
        <v>17290000</v>
      </c>
      <c r="P58" s="342"/>
    </row>
    <row r="59" spans="1:16">
      <c r="A59" s="337" t="s">
        <v>56</v>
      </c>
      <c r="B59" s="316">
        <f t="shared" ref="B59:N59" si="19">B42*B18</f>
        <v>74849.861653068452</v>
      </c>
      <c r="C59" s="317">
        <f t="shared" si="19"/>
        <v>74849.861653068452</v>
      </c>
      <c r="D59" s="317">
        <f t="shared" si="19"/>
        <v>74681.999999999985</v>
      </c>
      <c r="E59" s="317">
        <f t="shared" si="19"/>
        <v>158863.67999999993</v>
      </c>
      <c r="F59" s="317">
        <f t="shared" si="19"/>
        <v>158863.67999999993</v>
      </c>
      <c r="G59" s="317">
        <f t="shared" si="19"/>
        <v>427252.31999999995</v>
      </c>
      <c r="H59" s="318">
        <f t="shared" si="19"/>
        <v>1242216</v>
      </c>
      <c r="I59" s="316">
        <f t="shared" si="19"/>
        <v>66830.233618811122</v>
      </c>
      <c r="J59" s="317">
        <f t="shared" si="19"/>
        <v>66090.265486725664</v>
      </c>
      <c r="K59" s="317">
        <f t="shared" si="19"/>
        <v>149871.39622641506</v>
      </c>
      <c r="L59" s="317">
        <f t="shared" si="19"/>
        <v>149871.39622641506</v>
      </c>
      <c r="M59" s="317">
        <f t="shared" si="19"/>
        <v>395603.99999999994</v>
      </c>
      <c r="N59" s="318">
        <f t="shared" si="19"/>
        <v>1229916.8316831684</v>
      </c>
      <c r="O59" s="317"/>
      <c r="P59" s="325"/>
    </row>
    <row r="60" spans="1:16">
      <c r="A60" s="337" t="s">
        <v>218</v>
      </c>
      <c r="B60" s="316">
        <f t="shared" ref="B60:H60" si="20">B45*B23+B46*B24</f>
        <v>0</v>
      </c>
      <c r="C60" s="317">
        <f t="shared" si="20"/>
        <v>960000</v>
      </c>
      <c r="D60" s="317">
        <f t="shared" si="20"/>
        <v>0</v>
      </c>
      <c r="E60" s="317">
        <f t="shared" si="20"/>
        <v>0</v>
      </c>
      <c r="F60" s="317">
        <f t="shared" si="20"/>
        <v>0</v>
      </c>
      <c r="G60" s="317">
        <f t="shared" si="20"/>
        <v>0</v>
      </c>
      <c r="H60" s="317">
        <f t="shared" si="20"/>
        <v>0</v>
      </c>
      <c r="I60" s="316"/>
      <c r="J60" s="317"/>
      <c r="K60" s="317"/>
      <c r="L60" s="317"/>
      <c r="M60" s="317"/>
      <c r="N60" s="318"/>
      <c r="O60" s="317"/>
      <c r="P60" s="325"/>
    </row>
    <row r="61" spans="1:16">
      <c r="A61" s="278" t="s">
        <v>59</v>
      </c>
      <c r="B61" s="338">
        <f t="shared" ref="B61:H61" si="21">SUM(B49:B60)</f>
        <v>914849.86165306845</v>
      </c>
      <c r="C61" s="339">
        <f t="shared" si="21"/>
        <v>1874849.8616530686</v>
      </c>
      <c r="D61" s="339">
        <f t="shared" si="21"/>
        <v>914682</v>
      </c>
      <c r="E61" s="339">
        <f t="shared" si="21"/>
        <v>1046863.6799999999</v>
      </c>
      <c r="F61" s="339">
        <f t="shared" si="21"/>
        <v>1046863.6799999999</v>
      </c>
      <c r="G61" s="339">
        <f t="shared" si="21"/>
        <v>1627252.3199999998</v>
      </c>
      <c r="H61" s="340">
        <f t="shared" si="21"/>
        <v>3162216</v>
      </c>
      <c r="I61" s="338">
        <f t="shared" ref="I61:N61" si="22">SUM(I49:I50,I59:I60)</f>
        <v>2201843.2884490984</v>
      </c>
      <c r="J61" s="339">
        <f t="shared" si="22"/>
        <v>2201103.3203170127</v>
      </c>
      <c r="K61" s="339">
        <f t="shared" si="22"/>
        <v>2284884.4510567021</v>
      </c>
      <c r="L61" s="339">
        <f t="shared" si="22"/>
        <v>2284884.4510567021</v>
      </c>
      <c r="M61" s="339">
        <f t="shared" si="22"/>
        <v>2530617.0548302871</v>
      </c>
      <c r="N61" s="340">
        <f t="shared" si="22"/>
        <v>3364929.8865134558</v>
      </c>
      <c r="O61" s="339">
        <f>SUM(O49:O50,O59:O60,O56)</f>
        <v>17439450.913838118</v>
      </c>
      <c r="P61" s="307"/>
    </row>
    <row r="62" spans="1:16">
      <c r="A62" s="344"/>
      <c r="B62" s="344"/>
      <c r="C62" s="344"/>
      <c r="D62" s="344"/>
      <c r="E62" s="344"/>
      <c r="F62" s="344"/>
      <c r="G62" s="344"/>
      <c r="H62" s="344"/>
      <c r="I62" s="341"/>
      <c r="J62" s="341"/>
      <c r="K62" s="341"/>
      <c r="L62" s="341"/>
      <c r="M62" s="341"/>
      <c r="N62" s="341"/>
      <c r="O62" s="341"/>
    </row>
    <row r="63" spans="1:16">
      <c r="A63" s="348" t="s">
        <v>86</v>
      </c>
      <c r="B63" s="344"/>
      <c r="C63" s="344"/>
      <c r="D63" s="344"/>
      <c r="E63" s="344"/>
      <c r="F63" s="344"/>
      <c r="G63" s="344"/>
      <c r="H63" s="344"/>
      <c r="I63" s="344"/>
      <c r="J63" s="344"/>
      <c r="K63" s="344"/>
      <c r="L63" s="344"/>
      <c r="M63" s="344"/>
      <c r="N63" s="344"/>
      <c r="O63" s="344"/>
    </row>
    <row r="64" spans="1:16">
      <c r="A64" s="308" t="s">
        <v>88</v>
      </c>
      <c r="B64" s="349">
        <f>(B61/'Base data for vehicles'!$J$15)*(1-'Base data for vehicles'!$J$15)</f>
        <v>8233648.7548776167</v>
      </c>
      <c r="C64" s="350">
        <f t="shared" ref="C64:H64" si="23">B64</f>
        <v>8233648.7548776167</v>
      </c>
      <c r="D64" s="350">
        <f t="shared" si="23"/>
        <v>8233648.7548776167</v>
      </c>
      <c r="E64" s="350">
        <f t="shared" si="23"/>
        <v>8233648.7548776167</v>
      </c>
      <c r="F64" s="350">
        <f t="shared" si="23"/>
        <v>8233648.7548776167</v>
      </c>
      <c r="G64" s="350">
        <f t="shared" si="23"/>
        <v>8233648.7548776167</v>
      </c>
      <c r="H64" s="351">
        <f t="shared" si="23"/>
        <v>8233648.7548776167</v>
      </c>
      <c r="I64" s="349">
        <f>B64</f>
        <v>8233648.7548776167</v>
      </c>
      <c r="J64" s="350">
        <f t="shared" ref="J64:O64" si="24">C64</f>
        <v>8233648.7548776167</v>
      </c>
      <c r="K64" s="350">
        <f t="shared" si="24"/>
        <v>8233648.7548776167</v>
      </c>
      <c r="L64" s="350">
        <f t="shared" si="24"/>
        <v>8233648.7548776167</v>
      </c>
      <c r="M64" s="350">
        <f t="shared" si="24"/>
        <v>8233648.7548776167</v>
      </c>
      <c r="N64" s="351">
        <f t="shared" si="24"/>
        <v>8233648.7548776167</v>
      </c>
      <c r="O64" s="351">
        <f t="shared" si="24"/>
        <v>8233648.7548776167</v>
      </c>
      <c r="P64" s="307"/>
    </row>
    <row r="65" spans="1:16">
      <c r="A65" s="308" t="s">
        <v>196</v>
      </c>
      <c r="B65" s="352">
        <f>(B64+B61)</f>
        <v>9148498.6165306848</v>
      </c>
      <c r="C65" s="353">
        <f t="shared" ref="C65:N65" si="25">C64+C61</f>
        <v>10108498.616530685</v>
      </c>
      <c r="D65" s="353">
        <f t="shared" si="25"/>
        <v>9148330.7548776157</v>
      </c>
      <c r="E65" s="353">
        <f t="shared" si="25"/>
        <v>9280512.4348776173</v>
      </c>
      <c r="F65" s="353">
        <f t="shared" si="25"/>
        <v>9280512.4348776173</v>
      </c>
      <c r="G65" s="353">
        <f>G64+G61</f>
        <v>9860901.074877616</v>
      </c>
      <c r="H65" s="354">
        <f>H64+H61</f>
        <v>11395864.754877616</v>
      </c>
      <c r="I65" s="355">
        <f t="shared" si="25"/>
        <v>10435492.043326715</v>
      </c>
      <c r="J65" s="353">
        <f t="shared" si="25"/>
        <v>10434752.075194629</v>
      </c>
      <c r="K65" s="353">
        <f t="shared" si="25"/>
        <v>10518533.20593432</v>
      </c>
      <c r="L65" s="353">
        <f t="shared" si="25"/>
        <v>10518533.20593432</v>
      </c>
      <c r="M65" s="353">
        <f t="shared" si="25"/>
        <v>10764265.809707904</v>
      </c>
      <c r="N65" s="354">
        <f t="shared" si="25"/>
        <v>11598578.641391072</v>
      </c>
      <c r="O65" s="354">
        <f>O64+O61</f>
        <v>25673099.668715734</v>
      </c>
      <c r="P65" s="307"/>
    </row>
    <row r="66" spans="1:16" s="348" customFormat="1">
      <c r="A66" s="348" t="s">
        <v>531</v>
      </c>
      <c r="B66" s="356">
        <f>B65-$D$65</f>
        <v>167.86165306903422</v>
      </c>
      <c r="C66" s="357">
        <f t="shared" ref="C66:N66" si="26">C65-$D$65</f>
        <v>960167.86165306903</v>
      </c>
      <c r="D66" s="357">
        <f t="shared" si="26"/>
        <v>0</v>
      </c>
      <c r="E66" s="357">
        <f t="shared" si="26"/>
        <v>132181.68000000156</v>
      </c>
      <c r="F66" s="357">
        <f t="shared" si="26"/>
        <v>132181.68000000156</v>
      </c>
      <c r="G66" s="357">
        <f t="shared" si="26"/>
        <v>712570.3200000003</v>
      </c>
      <c r="H66" s="358">
        <f>H65-$D$65</f>
        <v>2247534</v>
      </c>
      <c r="I66" s="356">
        <f t="shared" si="26"/>
        <v>1287161.2884490993</v>
      </c>
      <c r="J66" s="357">
        <f t="shared" si="26"/>
        <v>1286421.3203170132</v>
      </c>
      <c r="K66" s="357">
        <f t="shared" si="26"/>
        <v>1370202.4510567039</v>
      </c>
      <c r="L66" s="357">
        <f t="shared" si="26"/>
        <v>1370202.4510567039</v>
      </c>
      <c r="M66" s="357">
        <f t="shared" si="26"/>
        <v>1615935.0548302885</v>
      </c>
      <c r="N66" s="358">
        <f t="shared" si="26"/>
        <v>2450247.8865134567</v>
      </c>
      <c r="O66" s="358">
        <f>O65-$D$65</f>
        <v>16524768.913838118</v>
      </c>
      <c r="P66" s="307"/>
    </row>
    <row r="67" spans="1:16" s="348" customFormat="1">
      <c r="A67" s="348" t="s">
        <v>743</v>
      </c>
      <c r="B67" s="373">
        <f>B66*10^5/10^9</f>
        <v>1.6786165306903422E-2</v>
      </c>
      <c r="C67" s="373">
        <f t="shared" ref="C67:O67" si="27">C66*10^5/10^9</f>
        <v>96.016786165306897</v>
      </c>
      <c r="D67" s="373">
        <f t="shared" si="27"/>
        <v>0</v>
      </c>
      <c r="E67" s="373">
        <f t="shared" si="27"/>
        <v>13.218168000000157</v>
      </c>
      <c r="F67" s="373">
        <f t="shared" si="27"/>
        <v>13.218168000000157</v>
      </c>
      <c r="G67" s="373">
        <f t="shared" si="27"/>
        <v>71.257032000000024</v>
      </c>
      <c r="H67" s="373">
        <f t="shared" si="27"/>
        <v>224.7534</v>
      </c>
      <c r="I67" s="373">
        <f t="shared" si="27"/>
        <v>128.71612884490992</v>
      </c>
      <c r="J67" s="373">
        <f t="shared" si="27"/>
        <v>128.64213203170132</v>
      </c>
      <c r="K67" s="373">
        <f t="shared" si="27"/>
        <v>137.0202451056704</v>
      </c>
      <c r="L67" s="373">
        <f t="shared" si="27"/>
        <v>137.0202451056704</v>
      </c>
      <c r="M67" s="373">
        <f t="shared" si="27"/>
        <v>161.59350548302885</v>
      </c>
      <c r="N67" s="373">
        <f t="shared" si="27"/>
        <v>245.02478865134566</v>
      </c>
      <c r="O67" s="373">
        <f t="shared" si="27"/>
        <v>1652.4768913838118</v>
      </c>
      <c r="P67" s="359"/>
    </row>
    <row r="68" spans="1:16" s="348" customFormat="1">
      <c r="A68" s="348" t="s">
        <v>246</v>
      </c>
      <c r="B68" s="360">
        <f t="shared" ref="B68:O68" si="28">B65/$B$65</f>
        <v>1</v>
      </c>
      <c r="C68" s="360">
        <f t="shared" si="28"/>
        <v>1.1049352511531618</v>
      </c>
      <c r="D68" s="360">
        <f t="shared" si="28"/>
        <v>0.99998165145341278</v>
      </c>
      <c r="E68" s="360">
        <f t="shared" si="28"/>
        <v>1.0144301074832534</v>
      </c>
      <c r="F68" s="360">
        <f t="shared" si="28"/>
        <v>1.0144301074832534</v>
      </c>
      <c r="G68" s="360">
        <f t="shared" si="28"/>
        <v>1.0778709696757969</v>
      </c>
      <c r="H68" s="360">
        <f t="shared" si="28"/>
        <v>1.2456540939172358</v>
      </c>
      <c r="I68" s="360">
        <f t="shared" si="28"/>
        <v>1.1406781025763644</v>
      </c>
      <c r="J68" s="360">
        <f t="shared" si="28"/>
        <v>1.1405972184703375</v>
      </c>
      <c r="K68" s="360">
        <f t="shared" si="28"/>
        <v>1.1497551288829055</v>
      </c>
      <c r="L68" s="360">
        <f t="shared" si="28"/>
        <v>1.1497551288829055</v>
      </c>
      <c r="M68" s="360">
        <f t="shared" si="28"/>
        <v>1.1766155585636362</v>
      </c>
      <c r="N68" s="360">
        <f t="shared" si="28"/>
        <v>1.2678122528688225</v>
      </c>
      <c r="O68" s="360">
        <f t="shared" si="28"/>
        <v>2.8062637100175403</v>
      </c>
      <c r="P68" s="359"/>
    </row>
    <row r="70" spans="1:16">
      <c r="A70" s="348" t="s">
        <v>220</v>
      </c>
    </row>
    <row r="71" spans="1:16">
      <c r="A71" s="308" t="s">
        <v>223</v>
      </c>
      <c r="B71" s="361">
        <f t="shared" ref="B71:O71" si="29">B65/1000</f>
        <v>9148.4986165306855</v>
      </c>
      <c r="C71" s="361">
        <f t="shared" si="29"/>
        <v>10108.498616530685</v>
      </c>
      <c r="D71" s="361">
        <f t="shared" si="29"/>
        <v>9148.3307548776156</v>
      </c>
      <c r="E71" s="361">
        <f t="shared" si="29"/>
        <v>9280.5124348776171</v>
      </c>
      <c r="F71" s="361">
        <f t="shared" si="29"/>
        <v>9280.5124348776171</v>
      </c>
      <c r="G71" s="361">
        <f t="shared" si="29"/>
        <v>9860.9010748776163</v>
      </c>
      <c r="H71" s="361">
        <f t="shared" si="29"/>
        <v>11395.864754877615</v>
      </c>
      <c r="I71" s="361">
        <f t="shared" si="29"/>
        <v>10435.492043326714</v>
      </c>
      <c r="J71" s="361">
        <f t="shared" si="29"/>
        <v>10434.752075194629</v>
      </c>
      <c r="K71" s="361">
        <f t="shared" si="29"/>
        <v>10518.53320593432</v>
      </c>
      <c r="L71" s="361">
        <f t="shared" si="29"/>
        <v>10518.53320593432</v>
      </c>
      <c r="M71" s="361">
        <f t="shared" si="29"/>
        <v>10764.265809707904</v>
      </c>
      <c r="N71" s="361">
        <f t="shared" si="29"/>
        <v>11598.578641391072</v>
      </c>
      <c r="O71" s="361">
        <f t="shared" si="29"/>
        <v>25673.099668715735</v>
      </c>
    </row>
    <row r="72" spans="1:16">
      <c r="A72" s="308" t="s">
        <v>222</v>
      </c>
      <c r="B72" s="361">
        <f t="shared" ref="B72:O72" si="30">B66/1000</f>
        <v>0.16786165306903422</v>
      </c>
      <c r="C72" s="361">
        <f t="shared" si="30"/>
        <v>960.16786165306905</v>
      </c>
      <c r="D72" s="361">
        <f t="shared" si="30"/>
        <v>0</v>
      </c>
      <c r="E72" s="361">
        <f t="shared" si="30"/>
        <v>132.18168000000156</v>
      </c>
      <c r="F72" s="361">
        <f t="shared" si="30"/>
        <v>132.18168000000156</v>
      </c>
      <c r="G72" s="361">
        <f t="shared" si="30"/>
        <v>712.57032000000027</v>
      </c>
      <c r="H72" s="361">
        <f t="shared" si="30"/>
        <v>2247.5340000000001</v>
      </c>
      <c r="I72" s="361">
        <f t="shared" si="30"/>
        <v>1287.1612884490992</v>
      </c>
      <c r="J72" s="361">
        <f t="shared" si="30"/>
        <v>1286.4213203170132</v>
      </c>
      <c r="K72" s="361">
        <f t="shared" si="30"/>
        <v>1370.2024510567039</v>
      </c>
      <c r="L72" s="361">
        <f t="shared" si="30"/>
        <v>1370.2024510567039</v>
      </c>
      <c r="M72" s="361">
        <f t="shared" si="30"/>
        <v>1615.9350548302884</v>
      </c>
      <c r="N72" s="361">
        <f t="shared" si="30"/>
        <v>2450.2478865134567</v>
      </c>
      <c r="O72" s="361">
        <f t="shared" si="30"/>
        <v>16524.768913838117</v>
      </c>
    </row>
    <row r="73" spans="1:16">
      <c r="A73" s="308" t="s">
        <v>224</v>
      </c>
      <c r="B73" s="308">
        <f t="shared" ref="B73:O73" si="31">SUM(B49:B50)/B23</f>
        <v>350</v>
      </c>
      <c r="C73" s="308">
        <f t="shared" si="31"/>
        <v>350</v>
      </c>
      <c r="D73" s="308">
        <f t="shared" si="31"/>
        <v>350</v>
      </c>
      <c r="E73" s="308">
        <f t="shared" si="31"/>
        <v>370</v>
      </c>
      <c r="F73" s="308">
        <f t="shared" si="31"/>
        <v>370</v>
      </c>
      <c r="G73" s="308">
        <f t="shared" si="31"/>
        <v>500</v>
      </c>
      <c r="H73" s="308">
        <f t="shared" si="31"/>
        <v>800</v>
      </c>
      <c r="I73" s="308">
        <f t="shared" si="31"/>
        <v>889.58877284595292</v>
      </c>
      <c r="J73" s="308">
        <f t="shared" si="31"/>
        <v>889.58877284595292</v>
      </c>
      <c r="K73" s="308">
        <f t="shared" si="31"/>
        <v>889.58877284595292</v>
      </c>
      <c r="L73" s="308">
        <f t="shared" si="31"/>
        <v>889.58877284595292</v>
      </c>
      <c r="M73" s="308">
        <f t="shared" si="31"/>
        <v>889.58877284595292</v>
      </c>
      <c r="N73" s="308">
        <f t="shared" si="31"/>
        <v>889.58877284595292</v>
      </c>
      <c r="O73" s="308">
        <f t="shared" si="31"/>
        <v>0</v>
      </c>
    </row>
    <row r="74" spans="1:16">
      <c r="A74" s="308" t="s">
        <v>225</v>
      </c>
      <c r="B74" s="361">
        <f t="shared" ref="B74:O74" si="32">B59</f>
        <v>74849.861653068452</v>
      </c>
      <c r="C74" s="361">
        <f t="shared" si="32"/>
        <v>74849.861653068452</v>
      </c>
      <c r="D74" s="361">
        <f t="shared" si="32"/>
        <v>74681.999999999985</v>
      </c>
      <c r="E74" s="361">
        <f t="shared" si="32"/>
        <v>158863.67999999993</v>
      </c>
      <c r="F74" s="361">
        <f t="shared" si="32"/>
        <v>158863.67999999993</v>
      </c>
      <c r="G74" s="361">
        <f t="shared" si="32"/>
        <v>427252.31999999995</v>
      </c>
      <c r="H74" s="361">
        <f t="shared" si="32"/>
        <v>1242216</v>
      </c>
      <c r="I74" s="361">
        <f t="shared" si="32"/>
        <v>66830.233618811122</v>
      </c>
      <c r="J74" s="361">
        <f t="shared" si="32"/>
        <v>66090.265486725664</v>
      </c>
      <c r="K74" s="361">
        <f t="shared" si="32"/>
        <v>149871.39622641506</v>
      </c>
      <c r="L74" s="361">
        <f t="shared" si="32"/>
        <v>149871.39622641506</v>
      </c>
      <c r="M74" s="361">
        <f t="shared" si="32"/>
        <v>395603.99999999994</v>
      </c>
      <c r="N74" s="361">
        <f t="shared" si="32"/>
        <v>1229916.8316831684</v>
      </c>
      <c r="O74" s="361">
        <f t="shared" si="32"/>
        <v>0</v>
      </c>
    </row>
    <row r="75" spans="1:16">
      <c r="A75" s="308" t="s">
        <v>71</v>
      </c>
    </row>
    <row r="76" spans="1:16">
      <c r="B76" s="361">
        <f t="shared" ref="B76:N76" si="33">B59/B23</f>
        <v>31.187442355445189</v>
      </c>
      <c r="C76" s="361">
        <f t="shared" si="33"/>
        <v>31.187442355445189</v>
      </c>
      <c r="D76" s="361">
        <f t="shared" si="33"/>
        <v>31.117499999999993</v>
      </c>
      <c r="E76" s="361">
        <f t="shared" si="33"/>
        <v>66.193199999999976</v>
      </c>
      <c r="F76" s="361">
        <f t="shared" si="33"/>
        <v>66.193199999999976</v>
      </c>
      <c r="G76" s="361">
        <f t="shared" si="33"/>
        <v>178.02179999999998</v>
      </c>
      <c r="H76" s="361">
        <f t="shared" si="33"/>
        <v>517.59</v>
      </c>
      <c r="I76" s="361">
        <f t="shared" si="33"/>
        <v>27.845930674504633</v>
      </c>
      <c r="J76" s="361">
        <f t="shared" si="33"/>
        <v>27.537610619469028</v>
      </c>
      <c r="K76" s="361">
        <f t="shared" si="33"/>
        <v>62.446415094339606</v>
      </c>
      <c r="L76" s="361">
        <f t="shared" si="33"/>
        <v>62.446415094339606</v>
      </c>
      <c r="M76" s="361">
        <f t="shared" si="33"/>
        <v>164.83499999999998</v>
      </c>
      <c r="N76" s="361">
        <f t="shared" si="33"/>
        <v>512.46534653465346</v>
      </c>
      <c r="O76" s="361"/>
    </row>
    <row r="77" spans="1:16">
      <c r="A77" s="344"/>
      <c r="B77" s="344"/>
      <c r="C77" s="344"/>
      <c r="D77" s="344"/>
      <c r="E77" s="344"/>
      <c r="F77" s="344"/>
      <c r="G77" s="344"/>
      <c r="H77" s="344"/>
      <c r="I77" s="344"/>
      <c r="J77" s="344"/>
      <c r="K77" s="344"/>
      <c r="L77" s="344"/>
      <c r="M77" s="344"/>
      <c r="N77" s="344"/>
      <c r="O77" s="344"/>
    </row>
    <row r="78" spans="1:16">
      <c r="A78" s="308" t="s">
        <v>116</v>
      </c>
      <c r="C78" s="361">
        <f t="shared" ref="C78:N78" si="34">C66/C23</f>
        <v>400.06994235544545</v>
      </c>
      <c r="D78" s="361">
        <f t="shared" si="34"/>
        <v>0</v>
      </c>
      <c r="E78" s="361">
        <f t="shared" si="34"/>
        <v>55.075700000000651</v>
      </c>
      <c r="F78" s="361">
        <f t="shared" si="34"/>
        <v>55.075700000000651</v>
      </c>
      <c r="G78" s="361">
        <f t="shared" si="34"/>
        <v>296.90430000000015</v>
      </c>
      <c r="H78" s="361">
        <f t="shared" si="34"/>
        <v>936.47249999999997</v>
      </c>
      <c r="I78" s="361">
        <f t="shared" si="34"/>
        <v>536.31720352045807</v>
      </c>
      <c r="J78" s="361">
        <f t="shared" si="34"/>
        <v>536.00888346542217</v>
      </c>
      <c r="K78" s="361">
        <f t="shared" si="34"/>
        <v>570.91768794029326</v>
      </c>
      <c r="L78" s="361">
        <f t="shared" si="34"/>
        <v>570.91768794029326</v>
      </c>
      <c r="M78" s="361">
        <f t="shared" si="34"/>
        <v>673.30627284595357</v>
      </c>
      <c r="N78" s="361">
        <f t="shared" si="34"/>
        <v>1020.936619380607</v>
      </c>
      <c r="O78" s="361"/>
    </row>
    <row r="81" spans="1:16">
      <c r="A81" s="348" t="s">
        <v>287</v>
      </c>
    </row>
    <row r="82" spans="1:16">
      <c r="A82" s="362" t="s">
        <v>288</v>
      </c>
      <c r="B82" s="363"/>
      <c r="C82" s="364"/>
      <c r="D82" s="364"/>
      <c r="E82" s="364"/>
      <c r="F82" s="364"/>
      <c r="G82" s="364"/>
      <c r="H82" s="365"/>
      <c r="I82" s="363"/>
      <c r="J82" s="364"/>
      <c r="K82" s="364"/>
      <c r="L82" s="364"/>
      <c r="M82" s="364"/>
      <c r="N82" s="365"/>
      <c r="O82" s="288"/>
      <c r="P82" s="325"/>
    </row>
    <row r="83" spans="1:16">
      <c r="A83" s="286" t="s">
        <v>269</v>
      </c>
      <c r="B83" s="366">
        <f>B23/('Base data for vehicles'!$J$18/1000)</f>
        <v>26666.666666666668</v>
      </c>
      <c r="C83" s="315">
        <f>C23/('Base data for vehicles'!$J$18/1000)</f>
        <v>26666.666666666668</v>
      </c>
      <c r="D83" s="315">
        <f>D23/('Base data for vehicles'!$J$18/1000)</f>
        <v>26666.666666666668</v>
      </c>
      <c r="E83" s="315">
        <f>E23/('Base data for vehicles'!$J$18/1000)</f>
        <v>26666.666666666668</v>
      </c>
      <c r="F83" s="315">
        <f>F23/('Base data for vehicles'!$J$18/1000)</f>
        <v>26666.666666666668</v>
      </c>
      <c r="G83" s="315">
        <f>G23/('Base data for vehicles'!$J$18/1000)</f>
        <v>26666.666666666668</v>
      </c>
      <c r="H83" s="367">
        <f>H23/('Base data for vehicles'!$J$18/1000)</f>
        <v>26666.666666666668</v>
      </c>
      <c r="I83" s="366">
        <f>I23/('Base data for vehicles'!$J$61/1000)</f>
        <v>160000</v>
      </c>
      <c r="J83" s="315">
        <f>J23/('Base data for vehicles'!$J$61/1000)</f>
        <v>160000</v>
      </c>
      <c r="K83" s="315">
        <f>K23/('Base data for vehicles'!$J$61/1000)</f>
        <v>160000</v>
      </c>
      <c r="L83" s="315">
        <f>L23/('Base data for vehicles'!$J$61/1000)</f>
        <v>160000</v>
      </c>
      <c r="M83" s="315">
        <f>M23/('Base data for vehicles'!$J$61/1000)</f>
        <v>160000</v>
      </c>
      <c r="N83" s="367">
        <f>N23/('Base data for vehicles'!$J$61/1000)</f>
        <v>160000</v>
      </c>
      <c r="O83" s="315"/>
      <c r="P83" s="342"/>
    </row>
    <row r="84" spans="1:16">
      <c r="A84" s="286" t="s">
        <v>270</v>
      </c>
      <c r="B84" s="366">
        <f>B23/'Base data for vehicles'!$J$19</f>
        <v>30</v>
      </c>
      <c r="C84" s="315">
        <f>C23/'Base data for vehicles'!$J$19</f>
        <v>30</v>
      </c>
      <c r="D84" s="315">
        <f>D23/'Base data for vehicles'!$J$19</f>
        <v>30</v>
      </c>
      <c r="E84" s="315">
        <f>E23/'Base data for vehicles'!$J$19</f>
        <v>30</v>
      </c>
      <c r="F84" s="315">
        <f>F23/'Base data for vehicles'!$J$19</f>
        <v>30</v>
      </c>
      <c r="G84" s="315">
        <f>G23/'Base data for vehicles'!$J$19</f>
        <v>30</v>
      </c>
      <c r="H84" s="367">
        <f>H23/'Base data for vehicles'!$J$19</f>
        <v>30</v>
      </c>
      <c r="I84" s="366">
        <f>I23/'Base data for vehicles'!$J$62</f>
        <v>800</v>
      </c>
      <c r="J84" s="315">
        <f>J23/'Base data for vehicles'!$J$62</f>
        <v>800</v>
      </c>
      <c r="K84" s="315">
        <f>K23/'Base data for vehicles'!$J$62</f>
        <v>800</v>
      </c>
      <c r="L84" s="315">
        <f>L23/'Base data for vehicles'!$J$62</f>
        <v>800</v>
      </c>
      <c r="M84" s="315">
        <f>M23/'Base data for vehicles'!$J$62</f>
        <v>800</v>
      </c>
      <c r="N84" s="367">
        <f>N23/'Base data for vehicles'!$J$62</f>
        <v>800</v>
      </c>
      <c r="O84" s="315"/>
      <c r="P84" s="342"/>
    </row>
    <row r="85" spans="1:16">
      <c r="A85" s="362" t="s">
        <v>289</v>
      </c>
      <c r="B85" s="287"/>
      <c r="C85" s="288"/>
      <c r="D85" s="288"/>
      <c r="E85" s="288"/>
      <c r="F85" s="288"/>
      <c r="G85" s="288"/>
      <c r="H85" s="289"/>
      <c r="I85" s="287"/>
      <c r="J85" s="288"/>
      <c r="K85" s="288"/>
      <c r="L85" s="288"/>
      <c r="M85" s="288"/>
      <c r="N85" s="289"/>
      <c r="O85" s="288"/>
      <c r="P85" s="325"/>
    </row>
    <row r="86" spans="1:16">
      <c r="A86" s="286" t="s">
        <v>269</v>
      </c>
      <c r="B86" s="366">
        <f>B17*'Unit conversion'!$B$6*1000</f>
        <v>88581.311093019831</v>
      </c>
      <c r="C86" s="315">
        <f>C17*'Unit conversion'!$B$6*1000</f>
        <v>88581.311093019831</v>
      </c>
      <c r="D86" s="315">
        <f>D17*'Unit conversion'!$C$6*1000</f>
        <v>80921.019950124668</v>
      </c>
      <c r="E86" s="315">
        <f>E17*'Unit conversion'!$E$6*1000</f>
        <v>174616.92201117313</v>
      </c>
      <c r="F86" s="315">
        <f>F17*'Unit conversion'!$F$6*1000</f>
        <v>174616.92201117313</v>
      </c>
      <c r="G86" s="315">
        <f>G17*'Unit conversion'!$G$6*1000</f>
        <v>70086.006199261974</v>
      </c>
      <c r="H86" s="367">
        <f>H17*'Unit conversion'!$H$6*1000</f>
        <v>29160.000000000004</v>
      </c>
      <c r="I86" s="366">
        <f>I17*'Unit conversion'!$B$6*1000</f>
        <v>79090.456333053444</v>
      </c>
      <c r="J86" s="315">
        <f>J17*'Unit conversion'!$C$6*1000</f>
        <v>71611.522079756352</v>
      </c>
      <c r="K86" s="315">
        <f>K17*'Unit conversion'!E6*1000</f>
        <v>164732.94529355961</v>
      </c>
      <c r="L86" s="315">
        <f>L17*'Unit conversion'!F6*1000</f>
        <v>164732.94529355961</v>
      </c>
      <c r="M86" s="315">
        <f>M17*'Unit conversion'!G6*1000</f>
        <v>64894.450184501839</v>
      </c>
      <c r="N86" s="315">
        <f>N17*'Unit conversion'!H6*1000</f>
        <v>28871.287128712873</v>
      </c>
      <c r="O86" s="315"/>
      <c r="P86" s="325"/>
    </row>
    <row r="87" spans="1:16">
      <c r="A87" s="286" t="s">
        <v>270</v>
      </c>
      <c r="B87" s="366">
        <f t="shared" ref="B87:N87" si="35">B17</f>
        <v>89.748035555237934</v>
      </c>
      <c r="C87" s="315">
        <f t="shared" si="35"/>
        <v>89.748035555237934</v>
      </c>
      <c r="D87" s="315">
        <f t="shared" si="35"/>
        <v>93.119700748129659</v>
      </c>
      <c r="E87" s="315">
        <f t="shared" si="35"/>
        <v>221.87664804469267</v>
      </c>
      <c r="F87" s="315">
        <f t="shared" si="35"/>
        <v>221.87664804469267</v>
      </c>
      <c r="G87" s="315">
        <f t="shared" si="35"/>
        <v>143.32516605166049</v>
      </c>
      <c r="H87" s="367">
        <f t="shared" si="35"/>
        <v>410.70422535211276</v>
      </c>
      <c r="I87" s="366">
        <f t="shared" si="35"/>
        <v>80.132174602891027</v>
      </c>
      <c r="J87" s="315">
        <f t="shared" si="35"/>
        <v>82.406814821353692</v>
      </c>
      <c r="K87" s="315">
        <f t="shared" si="35"/>
        <v>209.31759249499311</v>
      </c>
      <c r="L87" s="315">
        <f t="shared" si="35"/>
        <v>209.31759249499311</v>
      </c>
      <c r="M87" s="315">
        <f t="shared" si="35"/>
        <v>132.70848708487082</v>
      </c>
      <c r="N87" s="367">
        <f t="shared" si="35"/>
        <v>406.63784688327991</v>
      </c>
      <c r="O87" s="315"/>
      <c r="P87" s="325"/>
    </row>
    <row r="88" spans="1:16">
      <c r="A88" s="362" t="s">
        <v>292</v>
      </c>
      <c r="B88" s="287"/>
      <c r="C88" s="288"/>
      <c r="D88" s="288"/>
      <c r="E88" s="288"/>
      <c r="F88" s="288"/>
      <c r="G88" s="288"/>
      <c r="H88" s="289"/>
      <c r="I88" s="287"/>
      <c r="J88" s="288"/>
      <c r="K88" s="288"/>
      <c r="L88" s="288"/>
      <c r="M88" s="288"/>
      <c r="N88" s="289"/>
      <c r="O88" s="288"/>
      <c r="P88" s="325"/>
    </row>
    <row r="89" spans="1:16">
      <c r="A89" s="286" t="s">
        <v>290</v>
      </c>
      <c r="B89" s="366">
        <f>B87*0.02*'Unit conversion'!$B$16</f>
        <v>14359.68568883807</v>
      </c>
      <c r="C89" s="315">
        <f>C87*0.02*'Unit conversion'!$B$16</f>
        <v>14359.68568883807</v>
      </c>
      <c r="D89" s="315">
        <f>D87*0.02*'Unit conversion'!$B$16</f>
        <v>14899.152119700746</v>
      </c>
      <c r="E89" s="315">
        <f>E87*0.02*'Unit conversion'!$B$16</f>
        <v>35500.263687150829</v>
      </c>
      <c r="F89" s="315">
        <f>F87*0.02*'Unit conversion'!$B$16</f>
        <v>35500.263687150829</v>
      </c>
      <c r="G89" s="315">
        <f>G87*0.02*2*'Unit conversion'!$B$16</f>
        <v>45864.053136531358</v>
      </c>
      <c r="H89" s="367">
        <f>H87*0.02*'Unit conversion'!$B$16*2</f>
        <v>131425.35211267608</v>
      </c>
      <c r="I89" s="366">
        <f>I87*0.02*'Unit conversion'!$B$16</f>
        <v>12821.147936462565</v>
      </c>
      <c r="J89" s="315">
        <f>J87*0.02*'Unit conversion'!$B$16</f>
        <v>13185.090371416591</v>
      </c>
      <c r="K89" s="315">
        <f>K87*0.02*'Unit conversion'!$B$16</f>
        <v>33490.814799198903</v>
      </c>
      <c r="L89" s="315">
        <f>L87*0.02*'Unit conversion'!$B$16</f>
        <v>33490.814799198903</v>
      </c>
      <c r="M89" s="315">
        <f>M87*0.02*'Unit conversion'!$B$16*2</f>
        <v>42466.715867158659</v>
      </c>
      <c r="N89" s="367">
        <f>N87*0.02*'Unit conversion'!$B$16*2</f>
        <v>130124.11100264959</v>
      </c>
      <c r="O89" s="315"/>
      <c r="P89" s="325" t="s">
        <v>298</v>
      </c>
    </row>
    <row r="90" spans="1:16">
      <c r="A90" s="286" t="s">
        <v>291</v>
      </c>
      <c r="B90" s="368">
        <f>B87*0.02</f>
        <v>1.7949607111047587</v>
      </c>
      <c r="C90" s="369">
        <f t="shared" ref="C90:L90" si="36">C87*0.02</f>
        <v>1.7949607111047587</v>
      </c>
      <c r="D90" s="369">
        <f t="shared" si="36"/>
        <v>1.8623940149625933</v>
      </c>
      <c r="E90" s="369">
        <f t="shared" si="36"/>
        <v>4.4375329608938534</v>
      </c>
      <c r="F90" s="369">
        <f t="shared" si="36"/>
        <v>4.4375329608938534</v>
      </c>
      <c r="G90" s="369">
        <f>G87*0.02*2</f>
        <v>5.7330066420664201</v>
      </c>
      <c r="H90" s="370">
        <f>H87*0.02*2</f>
        <v>16.42816901408451</v>
      </c>
      <c r="I90" s="368">
        <f t="shared" si="36"/>
        <v>1.6026434920578205</v>
      </c>
      <c r="J90" s="369">
        <f t="shared" si="36"/>
        <v>1.6481362964270738</v>
      </c>
      <c r="K90" s="369">
        <f t="shared" si="36"/>
        <v>4.1863518498998626</v>
      </c>
      <c r="L90" s="369">
        <f t="shared" si="36"/>
        <v>4.1863518498998626</v>
      </c>
      <c r="M90" s="369">
        <f>M87*0.02*2</f>
        <v>5.3083394833948327</v>
      </c>
      <c r="N90" s="370">
        <f>N87*0.02*2</f>
        <v>16.265513875331198</v>
      </c>
      <c r="O90" s="315"/>
      <c r="P90" s="325" t="s">
        <v>298</v>
      </c>
    </row>
    <row r="92" spans="1:16" ht="26">
      <c r="A92" s="308" t="s">
        <v>294</v>
      </c>
      <c r="B92" s="274" t="s">
        <v>0</v>
      </c>
      <c r="C92" s="275" t="s">
        <v>60</v>
      </c>
      <c r="D92" s="275" t="s">
        <v>61</v>
      </c>
      <c r="E92" s="275" t="s">
        <v>1</v>
      </c>
      <c r="F92" s="275" t="s">
        <v>2</v>
      </c>
      <c r="G92" s="275" t="s">
        <v>3</v>
      </c>
      <c r="H92" s="276" t="s">
        <v>4</v>
      </c>
      <c r="I92" s="274" t="s">
        <v>5</v>
      </c>
      <c r="J92" s="275" t="s">
        <v>62</v>
      </c>
      <c r="K92" s="275" t="s">
        <v>6</v>
      </c>
      <c r="L92" s="275" t="s">
        <v>188</v>
      </c>
      <c r="M92" s="275" t="s">
        <v>7</v>
      </c>
      <c r="N92" s="276" t="s">
        <v>8</v>
      </c>
      <c r="O92" s="277"/>
    </row>
    <row r="93" spans="1:16">
      <c r="A93" s="308" t="s">
        <v>295</v>
      </c>
      <c r="B93" s="361">
        <f>B83</f>
        <v>26666.666666666668</v>
      </c>
      <c r="C93" s="361">
        <f t="shared" ref="C93:N93" si="37">C83</f>
        <v>26666.666666666668</v>
      </c>
      <c r="D93" s="361">
        <f t="shared" si="37"/>
        <v>26666.666666666668</v>
      </c>
      <c r="E93" s="361">
        <f t="shared" si="37"/>
        <v>26666.666666666668</v>
      </c>
      <c r="F93" s="361">
        <f t="shared" si="37"/>
        <v>26666.666666666668</v>
      </c>
      <c r="G93" s="361">
        <f t="shared" si="37"/>
        <v>26666.666666666668</v>
      </c>
      <c r="H93" s="361">
        <f t="shared" si="37"/>
        <v>26666.666666666668</v>
      </c>
      <c r="I93" s="361">
        <f t="shared" si="37"/>
        <v>160000</v>
      </c>
      <c r="J93" s="361">
        <f t="shared" si="37"/>
        <v>160000</v>
      </c>
      <c r="K93" s="361">
        <f t="shared" si="37"/>
        <v>160000</v>
      </c>
      <c r="L93" s="361">
        <f t="shared" si="37"/>
        <v>160000</v>
      </c>
      <c r="M93" s="361">
        <f t="shared" si="37"/>
        <v>160000</v>
      </c>
      <c r="N93" s="361">
        <f t="shared" si="37"/>
        <v>160000</v>
      </c>
      <c r="O93" s="361"/>
    </row>
    <row r="94" spans="1:16">
      <c r="A94" s="308" t="s">
        <v>286</v>
      </c>
      <c r="B94" s="361">
        <f>B86</f>
        <v>88581.311093019831</v>
      </c>
      <c r="C94" s="361">
        <f t="shared" ref="C94:N94" si="38">C86</f>
        <v>88581.311093019831</v>
      </c>
      <c r="D94" s="361">
        <f t="shared" si="38"/>
        <v>80921.019950124668</v>
      </c>
      <c r="E94" s="361">
        <f t="shared" si="38"/>
        <v>174616.92201117313</v>
      </c>
      <c r="F94" s="361">
        <f t="shared" si="38"/>
        <v>174616.92201117313</v>
      </c>
      <c r="G94" s="361">
        <f t="shared" si="38"/>
        <v>70086.006199261974</v>
      </c>
      <c r="H94" s="361">
        <f t="shared" si="38"/>
        <v>29160.000000000004</v>
      </c>
      <c r="I94" s="361">
        <f t="shared" si="38"/>
        <v>79090.456333053444</v>
      </c>
      <c r="J94" s="361">
        <f t="shared" si="38"/>
        <v>71611.522079756352</v>
      </c>
      <c r="K94" s="361">
        <f t="shared" si="38"/>
        <v>164732.94529355961</v>
      </c>
      <c r="L94" s="361">
        <f t="shared" si="38"/>
        <v>164732.94529355961</v>
      </c>
      <c r="M94" s="361">
        <f t="shared" si="38"/>
        <v>64894.450184501839</v>
      </c>
      <c r="N94" s="361">
        <f t="shared" si="38"/>
        <v>28871.287128712873</v>
      </c>
      <c r="O94" s="361"/>
    </row>
    <row r="95" spans="1:16">
      <c r="A95" s="308" t="s">
        <v>296</v>
      </c>
      <c r="B95" s="361">
        <f>B89</f>
        <v>14359.68568883807</v>
      </c>
      <c r="C95" s="361">
        <f t="shared" ref="C95:N95" si="39">C89</f>
        <v>14359.68568883807</v>
      </c>
      <c r="D95" s="361">
        <f t="shared" si="39"/>
        <v>14899.152119700746</v>
      </c>
      <c r="E95" s="361">
        <f t="shared" si="39"/>
        <v>35500.263687150829</v>
      </c>
      <c r="F95" s="361">
        <f t="shared" si="39"/>
        <v>35500.263687150829</v>
      </c>
      <c r="G95" s="361">
        <f t="shared" si="39"/>
        <v>45864.053136531358</v>
      </c>
      <c r="H95" s="361">
        <f t="shared" si="39"/>
        <v>131425.35211267608</v>
      </c>
      <c r="I95" s="361">
        <f t="shared" si="39"/>
        <v>12821.147936462565</v>
      </c>
      <c r="J95" s="361">
        <f t="shared" si="39"/>
        <v>13185.090371416591</v>
      </c>
      <c r="K95" s="361">
        <f t="shared" si="39"/>
        <v>33490.814799198903</v>
      </c>
      <c r="L95" s="361">
        <f t="shared" si="39"/>
        <v>33490.814799198903</v>
      </c>
      <c r="M95" s="361">
        <f t="shared" si="39"/>
        <v>42466.715867158659</v>
      </c>
      <c r="N95" s="361">
        <f t="shared" si="39"/>
        <v>130124.11100264959</v>
      </c>
      <c r="O95" s="361"/>
    </row>
    <row r="96" spans="1:16">
      <c r="A96" s="308" t="s">
        <v>300</v>
      </c>
      <c r="B96" s="361">
        <f>SUM(B93:B95)</f>
        <v>129607.66344852457</v>
      </c>
      <c r="C96" s="361">
        <f t="shared" ref="C96:N96" si="40">SUM(C93:C95)</f>
        <v>129607.66344852457</v>
      </c>
      <c r="D96" s="361">
        <f t="shared" si="40"/>
        <v>122486.83873649209</v>
      </c>
      <c r="E96" s="361">
        <f t="shared" si="40"/>
        <v>236783.85236499063</v>
      </c>
      <c r="F96" s="361">
        <f t="shared" si="40"/>
        <v>236783.85236499063</v>
      </c>
      <c r="G96" s="361">
        <f t="shared" si="40"/>
        <v>142616.72600246</v>
      </c>
      <c r="H96" s="361">
        <f t="shared" si="40"/>
        <v>187252.01877934276</v>
      </c>
      <c r="I96" s="361">
        <f t="shared" si="40"/>
        <v>251911.60426951601</v>
      </c>
      <c r="J96" s="361">
        <f t="shared" si="40"/>
        <v>244796.61245117296</v>
      </c>
      <c r="K96" s="361">
        <f t="shared" si="40"/>
        <v>358223.76009275846</v>
      </c>
      <c r="L96" s="361">
        <f t="shared" si="40"/>
        <v>358223.76009275846</v>
      </c>
      <c r="M96" s="361">
        <f t="shared" si="40"/>
        <v>267361.16605166049</v>
      </c>
      <c r="N96" s="361">
        <f t="shared" si="40"/>
        <v>318995.39813136245</v>
      </c>
      <c r="O96" s="361"/>
    </row>
    <row r="97" spans="1:15">
      <c r="A97" s="308" t="s">
        <v>299</v>
      </c>
      <c r="B97" s="371">
        <f>(B96-$D$96)/$D$96</f>
        <v>5.8135427328250555E-2</v>
      </c>
      <c r="C97" s="371">
        <f t="shared" ref="C97:N97" si="41">(C96-$D$96)/$D$96</f>
        <v>5.8135427328250555E-2</v>
      </c>
      <c r="D97" s="371">
        <f t="shared" si="41"/>
        <v>0</v>
      </c>
      <c r="E97" s="371">
        <f t="shared" si="41"/>
        <v>0.93313710115735404</v>
      </c>
      <c r="F97" s="371">
        <f t="shared" si="41"/>
        <v>0.93313710115735404</v>
      </c>
      <c r="G97" s="371">
        <f t="shared" si="41"/>
        <v>0.16434326719194423</v>
      </c>
      <c r="H97" s="371">
        <f t="shared" si="41"/>
        <v>0.52875215583105251</v>
      </c>
      <c r="I97" s="371">
        <f t="shared" si="41"/>
        <v>1.0566422226918395</v>
      </c>
      <c r="J97" s="371">
        <f t="shared" si="41"/>
        <v>0.99855441593857974</v>
      </c>
      <c r="K97" s="371">
        <f t="shared" si="41"/>
        <v>1.9245898072641991</v>
      </c>
      <c r="L97" s="371">
        <f t="shared" si="41"/>
        <v>1.9245898072641991</v>
      </c>
      <c r="M97" s="371">
        <f t="shared" si="41"/>
        <v>1.1827746459098261</v>
      </c>
      <c r="N97" s="371">
        <f t="shared" si="41"/>
        <v>1.6043238720334876</v>
      </c>
      <c r="O97" s="371"/>
    </row>
    <row r="98" spans="1:15" ht="26">
      <c r="A98" s="308" t="s">
        <v>297</v>
      </c>
      <c r="B98" s="274" t="s">
        <v>0</v>
      </c>
      <c r="C98" s="275" t="s">
        <v>60</v>
      </c>
      <c r="D98" s="275" t="s">
        <v>61</v>
      </c>
      <c r="E98" s="275" t="s">
        <v>1</v>
      </c>
      <c r="F98" s="275" t="s">
        <v>2</v>
      </c>
      <c r="G98" s="275" t="s">
        <v>3</v>
      </c>
      <c r="H98" s="276" t="s">
        <v>4</v>
      </c>
      <c r="I98" s="274" t="s">
        <v>5</v>
      </c>
      <c r="J98" s="275" t="s">
        <v>62</v>
      </c>
      <c r="K98" s="275" t="s">
        <v>6</v>
      </c>
      <c r="L98" s="275" t="s">
        <v>188</v>
      </c>
      <c r="M98" s="275" t="s">
        <v>7</v>
      </c>
      <c r="N98" s="276" t="s">
        <v>8</v>
      </c>
      <c r="O98" s="277"/>
    </row>
    <row r="99" spans="1:15">
      <c r="A99" s="308" t="s">
        <v>295</v>
      </c>
      <c r="B99" s="361">
        <f>B84</f>
        <v>30</v>
      </c>
      <c r="C99" s="361">
        <f t="shared" ref="C99:N99" si="42">C84</f>
        <v>30</v>
      </c>
      <c r="D99" s="361">
        <f t="shared" si="42"/>
        <v>30</v>
      </c>
      <c r="E99" s="361">
        <f t="shared" si="42"/>
        <v>30</v>
      </c>
      <c r="F99" s="361">
        <f t="shared" si="42"/>
        <v>30</v>
      </c>
      <c r="G99" s="361">
        <f t="shared" si="42"/>
        <v>30</v>
      </c>
      <c r="H99" s="361">
        <f t="shared" si="42"/>
        <v>30</v>
      </c>
      <c r="I99" s="361">
        <f t="shared" si="42"/>
        <v>800</v>
      </c>
      <c r="J99" s="361">
        <f t="shared" si="42"/>
        <v>800</v>
      </c>
      <c r="K99" s="361">
        <f t="shared" si="42"/>
        <v>800</v>
      </c>
      <c r="L99" s="361">
        <f t="shared" si="42"/>
        <v>800</v>
      </c>
      <c r="M99" s="361">
        <f t="shared" si="42"/>
        <v>800</v>
      </c>
      <c r="N99" s="361">
        <f t="shared" si="42"/>
        <v>800</v>
      </c>
      <c r="O99" s="361"/>
    </row>
    <row r="100" spans="1:15">
      <c r="A100" s="308" t="s">
        <v>286</v>
      </c>
      <c r="B100" s="361">
        <f>B87</f>
        <v>89.748035555237934</v>
      </c>
      <c r="C100" s="361">
        <f t="shared" ref="C100:N100" si="43">C87</f>
        <v>89.748035555237934</v>
      </c>
      <c r="D100" s="361">
        <f t="shared" si="43"/>
        <v>93.119700748129659</v>
      </c>
      <c r="E100" s="361">
        <f t="shared" si="43"/>
        <v>221.87664804469267</v>
      </c>
      <c r="F100" s="361">
        <f t="shared" si="43"/>
        <v>221.87664804469267</v>
      </c>
      <c r="G100" s="361">
        <f t="shared" si="43"/>
        <v>143.32516605166049</v>
      </c>
      <c r="H100" s="361">
        <f t="shared" si="43"/>
        <v>410.70422535211276</v>
      </c>
      <c r="I100" s="361">
        <f t="shared" si="43"/>
        <v>80.132174602891027</v>
      </c>
      <c r="J100" s="361">
        <f t="shared" si="43"/>
        <v>82.406814821353692</v>
      </c>
      <c r="K100" s="361">
        <f t="shared" si="43"/>
        <v>209.31759249499311</v>
      </c>
      <c r="L100" s="361">
        <f t="shared" si="43"/>
        <v>209.31759249499311</v>
      </c>
      <c r="M100" s="361">
        <f t="shared" si="43"/>
        <v>132.70848708487082</v>
      </c>
      <c r="N100" s="361">
        <f t="shared" si="43"/>
        <v>406.63784688327991</v>
      </c>
      <c r="O100" s="361"/>
    </row>
    <row r="101" spans="1:15">
      <c r="A101" s="308" t="s">
        <v>296</v>
      </c>
      <c r="B101" s="361">
        <f>B90</f>
        <v>1.7949607111047587</v>
      </c>
      <c r="C101" s="361">
        <f t="shared" ref="C101:N101" si="44">C90</f>
        <v>1.7949607111047587</v>
      </c>
      <c r="D101" s="361">
        <f t="shared" si="44"/>
        <v>1.8623940149625933</v>
      </c>
      <c r="E101" s="361">
        <f t="shared" si="44"/>
        <v>4.4375329608938534</v>
      </c>
      <c r="F101" s="361">
        <f t="shared" si="44"/>
        <v>4.4375329608938534</v>
      </c>
      <c r="G101" s="361">
        <f t="shared" si="44"/>
        <v>5.7330066420664201</v>
      </c>
      <c r="H101" s="361">
        <f t="shared" si="44"/>
        <v>16.42816901408451</v>
      </c>
      <c r="I101" s="361">
        <f t="shared" si="44"/>
        <v>1.6026434920578205</v>
      </c>
      <c r="J101" s="361">
        <f t="shared" si="44"/>
        <v>1.6481362964270738</v>
      </c>
      <c r="K101" s="361">
        <f t="shared" si="44"/>
        <v>4.1863518498998626</v>
      </c>
      <c r="L101" s="361">
        <f t="shared" si="44"/>
        <v>4.1863518498998626</v>
      </c>
      <c r="M101" s="361">
        <f t="shared" si="44"/>
        <v>5.3083394833948327</v>
      </c>
      <c r="N101" s="361">
        <f t="shared" si="44"/>
        <v>16.265513875331198</v>
      </c>
      <c r="O101" s="361"/>
    </row>
    <row r="102" spans="1:15">
      <c r="A102" s="308" t="s">
        <v>300</v>
      </c>
      <c r="B102" s="361">
        <f t="shared" ref="B102:N102" si="45">SUM(B99:B101)</f>
        <v>121.5429962663427</v>
      </c>
      <c r="C102" s="361">
        <f t="shared" si="45"/>
        <v>121.5429962663427</v>
      </c>
      <c r="D102" s="361">
        <f t="shared" si="45"/>
        <v>124.98209476309225</v>
      </c>
      <c r="E102" s="361">
        <f t="shared" si="45"/>
        <v>256.31418100558653</v>
      </c>
      <c r="F102" s="361">
        <f t="shared" si="45"/>
        <v>256.31418100558653</v>
      </c>
      <c r="G102" s="361">
        <f t="shared" si="45"/>
        <v>179.0581726937269</v>
      </c>
      <c r="H102" s="361">
        <f t="shared" si="45"/>
        <v>457.13239436619727</v>
      </c>
      <c r="I102" s="361">
        <f t="shared" si="45"/>
        <v>881.73481809494888</v>
      </c>
      <c r="J102" s="361">
        <f t="shared" si="45"/>
        <v>884.05495111778077</v>
      </c>
      <c r="K102" s="361">
        <f t="shared" si="45"/>
        <v>1013.5039443448929</v>
      </c>
      <c r="L102" s="361">
        <f t="shared" si="45"/>
        <v>1013.5039443448929</v>
      </c>
      <c r="M102" s="361">
        <f t="shared" si="45"/>
        <v>938.01682656826574</v>
      </c>
      <c r="N102" s="361">
        <f t="shared" si="45"/>
        <v>1222.9033607586111</v>
      </c>
      <c r="O102" s="361"/>
    </row>
    <row r="103" spans="1:15">
      <c r="A103" s="308" t="s">
        <v>299</v>
      </c>
      <c r="B103" s="371">
        <f>(B102-$D$102)/$D$102</f>
        <v>-2.7516729522484622E-2</v>
      </c>
      <c r="C103" s="371">
        <f t="shared" ref="C103:N103" si="46">(C102-$D$102)/$D$102</f>
        <v>-2.7516729522484622E-2</v>
      </c>
      <c r="D103" s="371">
        <f t="shared" si="46"/>
        <v>0</v>
      </c>
      <c r="E103" s="371">
        <f t="shared" si="46"/>
        <v>1.050807209556206</v>
      </c>
      <c r="F103" s="371">
        <f t="shared" si="46"/>
        <v>1.050807209556206</v>
      </c>
      <c r="G103" s="371">
        <f t="shared" si="46"/>
        <v>0.43267060000184565</v>
      </c>
      <c r="H103" s="371">
        <f t="shared" si="46"/>
        <v>2.657583074061185</v>
      </c>
      <c r="I103" s="371">
        <f t="shared" si="46"/>
        <v>6.0548891004452017</v>
      </c>
      <c r="J103" s="371">
        <f t="shared" si="46"/>
        <v>6.0734528237307632</v>
      </c>
      <c r="K103" s="371">
        <f t="shared" si="46"/>
        <v>7.1091931309522662</v>
      </c>
      <c r="L103" s="371">
        <f t="shared" si="46"/>
        <v>7.1091931309522662</v>
      </c>
      <c r="M103" s="371">
        <f t="shared" si="46"/>
        <v>6.5052096730040256</v>
      </c>
      <c r="N103" s="371">
        <f t="shared" si="46"/>
        <v>8.7846284547931894</v>
      </c>
      <c r="O103" s="371"/>
    </row>
    <row r="109" spans="1:15">
      <c r="G109" s="308" t="s">
        <v>71</v>
      </c>
    </row>
  </sheetData>
  <pageMargins left="0.7" right="0.7" top="0.75" bottom="0.75" header="0.3" footer="0.3"/>
  <pageSetup paperSize="9" orientation="portrait" horizontalDpi="4294967292" verticalDpi="4294967292"/>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103"/>
  <sheetViews>
    <sheetView workbookViewId="0">
      <pane xSplit="1" ySplit="1" topLeftCell="B47" activePane="bottomRight" state="frozen"/>
      <selection activeCell="A76" sqref="A76"/>
      <selection pane="topRight" activeCell="A76" sqref="A76"/>
      <selection pane="bottomLeft" activeCell="A76" sqref="A76"/>
      <selection pane="bottomRight" activeCell="B67" sqref="B67:O67"/>
    </sheetView>
  </sheetViews>
  <sheetFormatPr defaultColWidth="10.1796875" defaultRowHeight="11.5"/>
  <cols>
    <col min="1" max="1" width="62.1796875" style="5" bestFit="1" customWidth="1"/>
    <col min="2" max="2" width="13.1796875" style="5" bestFit="1" customWidth="1"/>
    <col min="3" max="3" width="10" style="5" bestFit="1" customWidth="1"/>
    <col min="4" max="4" width="9" style="5" bestFit="1" customWidth="1"/>
    <col min="5" max="14" width="10" style="5" bestFit="1" customWidth="1"/>
    <col min="15" max="15" width="10.54296875" style="5" bestFit="1" customWidth="1"/>
    <col min="16" max="16" width="88.453125" style="5" bestFit="1" customWidth="1"/>
    <col min="17" max="20" width="10.1796875" style="5"/>
    <col min="21" max="21" width="54.81640625" style="5" bestFit="1" customWidth="1"/>
    <col min="22" max="16384" width="10.1796875" style="5"/>
  </cols>
  <sheetData>
    <row r="1" spans="1:20" ht="26">
      <c r="A1" s="1" t="s">
        <v>226</v>
      </c>
      <c r="B1" s="2" t="s">
        <v>0</v>
      </c>
      <c r="C1" s="3" t="s">
        <v>60</v>
      </c>
      <c r="D1" s="3" t="s">
        <v>61</v>
      </c>
      <c r="E1" s="3" t="s">
        <v>1</v>
      </c>
      <c r="F1" s="3" t="s">
        <v>2</v>
      </c>
      <c r="G1" s="3" t="s">
        <v>3</v>
      </c>
      <c r="H1" s="4" t="s">
        <v>4</v>
      </c>
      <c r="I1" s="2" t="s">
        <v>5</v>
      </c>
      <c r="J1" s="3" t="s">
        <v>62</v>
      </c>
      <c r="K1" s="3" t="s">
        <v>6</v>
      </c>
      <c r="L1" s="3" t="s">
        <v>188</v>
      </c>
      <c r="M1" s="3" t="s">
        <v>7</v>
      </c>
      <c r="N1" s="4" t="s">
        <v>8</v>
      </c>
      <c r="O1" s="103" t="s">
        <v>332</v>
      </c>
      <c r="P1" s="1" t="s">
        <v>75</v>
      </c>
    </row>
    <row r="2" spans="1:20" ht="13">
      <c r="A2" s="6" t="s">
        <v>190</v>
      </c>
      <c r="B2" s="41"/>
      <c r="C2" s="42"/>
      <c r="D2" s="42"/>
      <c r="E2" s="42"/>
      <c r="F2" s="42"/>
      <c r="G2" s="42"/>
      <c r="H2" s="43"/>
      <c r="I2" s="41"/>
      <c r="J2" s="42"/>
      <c r="K2" s="42"/>
      <c r="L2" s="42"/>
      <c r="M2" s="42"/>
      <c r="N2" s="43"/>
      <c r="O2" s="8"/>
      <c r="P2" s="67"/>
    </row>
    <row r="3" spans="1:20" ht="13">
      <c r="A3" s="73" t="s">
        <v>9</v>
      </c>
      <c r="B3" s="7"/>
      <c r="C3" s="8"/>
      <c r="D3" s="8"/>
      <c r="E3" s="8"/>
      <c r="F3" s="8"/>
      <c r="G3" s="8"/>
      <c r="H3" s="9"/>
      <c r="I3" s="7"/>
      <c r="J3" s="8"/>
      <c r="K3" s="8"/>
      <c r="L3" s="8"/>
      <c r="M3" s="8"/>
      <c r="N3" s="9"/>
      <c r="O3" s="8"/>
      <c r="P3" s="67"/>
    </row>
    <row r="4" spans="1:20" ht="12.5">
      <c r="A4" s="10" t="s">
        <v>11</v>
      </c>
      <c r="B4" s="11"/>
      <c r="C4" s="37"/>
      <c r="D4" s="37"/>
      <c r="E4" s="37"/>
      <c r="F4" s="37"/>
      <c r="G4" s="37"/>
      <c r="H4" s="44"/>
      <c r="J4" s="36"/>
      <c r="K4" s="8"/>
      <c r="L4" s="8"/>
      <c r="M4" s="8"/>
      <c r="N4" s="9"/>
      <c r="O4" s="8"/>
      <c r="P4" s="67"/>
    </row>
    <row r="5" spans="1:20" ht="12.5">
      <c r="A5" s="10" t="s">
        <v>13</v>
      </c>
      <c r="B5" s="11"/>
      <c r="C5" s="37"/>
      <c r="D5" s="37"/>
      <c r="E5" s="37"/>
      <c r="F5" s="37"/>
      <c r="G5" s="37"/>
      <c r="H5" s="44"/>
      <c r="I5" s="13">
        <v>0.85</v>
      </c>
      <c r="J5" s="14">
        <v>0.85</v>
      </c>
      <c r="K5" s="14">
        <v>0.85</v>
      </c>
      <c r="L5" s="14">
        <v>0.85</v>
      </c>
      <c r="M5" s="14">
        <v>0.85</v>
      </c>
      <c r="N5" s="15"/>
      <c r="O5" s="159"/>
      <c r="P5" s="67" t="s">
        <v>12</v>
      </c>
    </row>
    <row r="6" spans="1:20" ht="12.5">
      <c r="A6" s="10" t="s">
        <v>15</v>
      </c>
      <c r="B6" s="11"/>
      <c r="C6" s="37"/>
      <c r="D6" s="37"/>
      <c r="E6" s="37"/>
      <c r="F6" s="37"/>
      <c r="G6" s="37"/>
      <c r="H6" s="44"/>
      <c r="I6" s="13"/>
      <c r="J6" s="14"/>
      <c r="K6" s="14"/>
      <c r="L6" s="14"/>
      <c r="M6" s="14"/>
      <c r="N6" s="16"/>
      <c r="O6" s="14"/>
      <c r="P6" s="67" t="s">
        <v>16</v>
      </c>
    </row>
    <row r="7" spans="1:20" ht="12.5">
      <c r="A7" s="10" t="s">
        <v>18</v>
      </c>
      <c r="B7" s="11"/>
      <c r="C7" s="37"/>
      <c r="D7" s="37"/>
      <c r="E7" s="37"/>
      <c r="F7" s="37"/>
      <c r="G7" s="37"/>
      <c r="H7" s="44"/>
      <c r="I7" s="17">
        <v>0.98</v>
      </c>
      <c r="J7" s="45">
        <v>0.98</v>
      </c>
      <c r="K7" s="45">
        <v>0.98</v>
      </c>
      <c r="L7" s="45">
        <v>0.98</v>
      </c>
      <c r="M7" s="45">
        <v>0.98</v>
      </c>
      <c r="N7" s="46">
        <v>0.98</v>
      </c>
      <c r="O7" s="45">
        <v>0.8</v>
      </c>
      <c r="P7" s="67" t="s">
        <v>19</v>
      </c>
    </row>
    <row r="8" spans="1:20" ht="12.5">
      <c r="A8" s="10" t="s">
        <v>321</v>
      </c>
      <c r="B8" s="144">
        <f>'Base data for vehicles'!$G$50</f>
        <v>0.4</v>
      </c>
      <c r="C8" s="145">
        <f>'Base data for vehicles'!$G$50</f>
        <v>0.4</v>
      </c>
      <c r="D8" s="145">
        <f>'Base data for vehicles'!$G$50</f>
        <v>0.4</v>
      </c>
      <c r="E8" s="145">
        <f>'Base data for vehicles'!$G$50</f>
        <v>0.4</v>
      </c>
      <c r="F8" s="145">
        <f>'Base data for vehicles'!$G$50</f>
        <v>0.4</v>
      </c>
      <c r="G8" s="145">
        <f>'Base data for vehicles'!$G$50</f>
        <v>0.4</v>
      </c>
      <c r="H8" s="146">
        <f>'Base data for vehicles'!$G$50</f>
        <v>0.4</v>
      </c>
      <c r="I8" s="144">
        <f>'Base data for vehicles'!$G$80</f>
        <v>0.45</v>
      </c>
      <c r="J8" s="145">
        <f>'Base data for vehicles'!$G$80</f>
        <v>0.45</v>
      </c>
      <c r="K8" s="145">
        <f>'Base data for vehicles'!$G$80</f>
        <v>0.45</v>
      </c>
      <c r="L8" s="145">
        <f>'Base data for vehicles'!$G$80</f>
        <v>0.45</v>
      </c>
      <c r="M8" s="145">
        <f>'Base data for vehicles'!$G$80</f>
        <v>0.45</v>
      </c>
      <c r="N8" s="146">
        <f>'Base data for vehicles'!$G$80</f>
        <v>0.45</v>
      </c>
      <c r="O8" s="45"/>
      <c r="P8" s="67"/>
    </row>
    <row r="9" spans="1:20" ht="12.5">
      <c r="A9" s="10" t="s">
        <v>320</v>
      </c>
      <c r="B9" s="155">
        <f>B8*'Unit conversion'!$B$5</f>
        <v>0.37399668325041463</v>
      </c>
      <c r="C9" s="156">
        <f>C8*'Unit conversion'!$B$5</f>
        <v>0.37399668325041463</v>
      </c>
      <c r="D9" s="156">
        <f>D8*'Unit conversion'!$C$5</f>
        <v>0.37483731019522781</v>
      </c>
      <c r="E9" s="156">
        <f>E8*'Unit conversion'!$E$5</f>
        <v>0.35242290748898686</v>
      </c>
      <c r="F9" s="156">
        <f>F8*'Unit conversion'!$F$5</f>
        <v>0.35242290748898686</v>
      </c>
      <c r="G9" s="156">
        <f>G8*'Unit conversion'!$G$5</f>
        <v>0.3603603603603604</v>
      </c>
      <c r="H9" s="157">
        <f>H8*'Unit conversion'!$H$5</f>
        <v>0.3380281690140845</v>
      </c>
      <c r="I9" s="155">
        <f>I8*'Unit conversion'!$B$5</f>
        <v>0.42074626865671644</v>
      </c>
      <c r="J9" s="156">
        <f>J8*'Unit conversion'!$C$5</f>
        <v>0.42169197396963126</v>
      </c>
      <c r="K9" s="156">
        <f>K8*'Unit conversion'!$E$5</f>
        <v>0.39647577092511016</v>
      </c>
      <c r="L9" s="156">
        <f>L8*'Unit conversion'!$F$5</f>
        <v>0.39647577092511016</v>
      </c>
      <c r="M9" s="156">
        <f>M8*'Unit conversion'!$G$5</f>
        <v>0.40540540540540543</v>
      </c>
      <c r="N9" s="157">
        <f>N8*'Unit conversion'!$H$5</f>
        <v>0.38028169014084506</v>
      </c>
      <c r="O9" s="156">
        <f>O7</f>
        <v>0.8</v>
      </c>
      <c r="P9" s="88" t="s">
        <v>21</v>
      </c>
    </row>
    <row r="10" spans="1:20" ht="12.5">
      <c r="A10" s="10" t="s">
        <v>22</v>
      </c>
      <c r="B10" s="148">
        <f t="shared" ref="B10:H10" si="0">ROUND(B9/$D$9,2)</f>
        <v>1</v>
      </c>
      <c r="C10" s="147">
        <f t="shared" si="0"/>
        <v>1</v>
      </c>
      <c r="D10" s="147">
        <f t="shared" si="0"/>
        <v>1</v>
      </c>
      <c r="E10" s="147">
        <f t="shared" si="0"/>
        <v>0.94</v>
      </c>
      <c r="F10" s="147">
        <f t="shared" si="0"/>
        <v>0.94</v>
      </c>
      <c r="G10" s="147">
        <f t="shared" si="0"/>
        <v>0.96</v>
      </c>
      <c r="H10" s="147">
        <f t="shared" si="0"/>
        <v>0.9</v>
      </c>
      <c r="I10" s="147">
        <f t="shared" ref="I10:N10" si="1">ROUND(I9/$D$9,2)</f>
        <v>1.1200000000000001</v>
      </c>
      <c r="J10" s="147">
        <f t="shared" si="1"/>
        <v>1.1299999999999999</v>
      </c>
      <c r="K10" s="147">
        <f t="shared" si="1"/>
        <v>1.06</v>
      </c>
      <c r="L10" s="147">
        <f t="shared" si="1"/>
        <v>1.06</v>
      </c>
      <c r="M10" s="147">
        <f t="shared" si="1"/>
        <v>1.08</v>
      </c>
      <c r="N10" s="147">
        <f t="shared" si="1"/>
        <v>1.01</v>
      </c>
      <c r="O10" s="149">
        <f>ROUND(O9/$D$9,2)</f>
        <v>2.13</v>
      </c>
      <c r="P10" s="68"/>
      <c r="Q10" s="12"/>
      <c r="R10" s="12"/>
      <c r="S10" s="12"/>
      <c r="T10" s="12"/>
    </row>
    <row r="11" spans="1:20" ht="13">
      <c r="A11" s="21" t="s">
        <v>186</v>
      </c>
      <c r="B11" s="22">
        <f>B12*B9</f>
        <v>85.287846481876329</v>
      </c>
      <c r="C11" s="23">
        <f t="shared" ref="C11:N11" si="2">C12*C9</f>
        <v>85.287846481876329</v>
      </c>
      <c r="D11" s="23">
        <f t="shared" si="2"/>
        <v>78.091106290672457</v>
      </c>
      <c r="E11" s="23">
        <f>E12*E9</f>
        <v>158.59030837004406</v>
      </c>
      <c r="F11" s="23">
        <f t="shared" si="2"/>
        <v>158.59030837004406</v>
      </c>
      <c r="G11" s="23">
        <f t="shared" si="2"/>
        <v>64.864864864864856</v>
      </c>
      <c r="H11" s="23">
        <f t="shared" si="2"/>
        <v>25.352112676056336</v>
      </c>
      <c r="I11" s="22">
        <f>I12*I9</f>
        <v>85.668595796527555</v>
      </c>
      <c r="J11" s="23">
        <f>J12*J9</f>
        <v>77.74557042212966</v>
      </c>
      <c r="K11" s="23">
        <f t="shared" si="2"/>
        <v>158.59030837004406</v>
      </c>
      <c r="L11" s="23">
        <f t="shared" si="2"/>
        <v>158.59030837004406</v>
      </c>
      <c r="M11" s="23">
        <f t="shared" si="2"/>
        <v>64.86486486486487</v>
      </c>
      <c r="N11" s="24">
        <f t="shared" si="2"/>
        <v>25.35211267605634</v>
      </c>
      <c r="O11" s="23"/>
      <c r="P11" s="69" t="s">
        <v>187</v>
      </c>
      <c r="Q11" s="12"/>
      <c r="R11" s="12"/>
      <c r="S11" s="12"/>
      <c r="T11" s="12"/>
    </row>
    <row r="12" spans="1:20" ht="14.5">
      <c r="A12" s="27" t="s">
        <v>23</v>
      </c>
      <c r="B12" s="66">
        <f>3600/(B$9*'Unit conversion'!$B$3)</f>
        <v>228.04439264176756</v>
      </c>
      <c r="C12" s="66">
        <f>3600/(C$9*'Unit conversion'!$B$3)</f>
        <v>228.04439264176756</v>
      </c>
      <c r="D12" s="66">
        <f>3600/(D$9*'Unit conversion'!$C$3)</f>
        <v>208.33333333333331</v>
      </c>
      <c r="E12" s="66">
        <f>3600/(E$9*'Unit conversion'!$E$3)</f>
        <v>449.99999999999989</v>
      </c>
      <c r="F12" s="66">
        <f>3600/(F$9*'Unit conversion'!$F$3)</f>
        <v>449.99999999999989</v>
      </c>
      <c r="G12" s="66">
        <f>3600/(G$9*'Unit conversion'!$G$3)</f>
        <v>179.99999999999997</v>
      </c>
      <c r="H12" s="66">
        <f>3600/(H$9*'Unit conversion'!$H$3)</f>
        <v>75</v>
      </c>
      <c r="I12" s="28">
        <f>$B12/I10</f>
        <v>203.61106485872102</v>
      </c>
      <c r="J12" s="29">
        <f>$D12/J10</f>
        <v>184.36578171091446</v>
      </c>
      <c r="K12" s="66">
        <f>3600/(K$9*'Unit conversion'!$E$3)</f>
        <v>400</v>
      </c>
      <c r="L12" s="66">
        <f>3600/(L$9*'Unit conversion'!$F$3)</f>
        <v>400</v>
      </c>
      <c r="M12" s="66">
        <f>3600/(M$9*'Unit conversion'!$G$3)</f>
        <v>160</v>
      </c>
      <c r="N12" s="66">
        <f>3600/(N$9*'Unit conversion'!$H$3)</f>
        <v>66.666666666666671</v>
      </c>
      <c r="O12" s="29"/>
      <c r="P12" s="65" t="s">
        <v>212</v>
      </c>
      <c r="Q12"/>
      <c r="R12"/>
      <c r="S12"/>
      <c r="T12"/>
    </row>
    <row r="13" spans="1:20" ht="14.5">
      <c r="A13" s="10" t="s">
        <v>24</v>
      </c>
      <c r="B13" s="18"/>
      <c r="C13" s="19"/>
      <c r="D13" s="19"/>
      <c r="E13" s="19"/>
      <c r="F13" s="19"/>
      <c r="G13" s="19"/>
      <c r="H13" s="20"/>
      <c r="I13" s="28">
        <f t="shared" ref="I13:N13" si="3">I11/I7</f>
        <v>87.416934486252615</v>
      </c>
      <c r="J13" s="29">
        <f t="shared" si="3"/>
        <v>79.332214716458836</v>
      </c>
      <c r="K13" s="29">
        <f t="shared" si="3"/>
        <v>161.82684527555517</v>
      </c>
      <c r="L13" s="29">
        <f t="shared" si="3"/>
        <v>161.82684527555517</v>
      </c>
      <c r="M13" s="29">
        <f t="shared" si="3"/>
        <v>66.188637617209054</v>
      </c>
      <c r="N13" s="30">
        <f t="shared" si="3"/>
        <v>25.869502730669733</v>
      </c>
      <c r="O13" s="29"/>
      <c r="P13" s="72" t="s">
        <v>189</v>
      </c>
      <c r="Q13"/>
      <c r="R13"/>
      <c r="S13"/>
      <c r="T13"/>
    </row>
    <row r="14" spans="1:20" ht="14.5">
      <c r="A14" s="73" t="s">
        <v>102</v>
      </c>
      <c r="B14" s="18"/>
      <c r="C14" s="19"/>
      <c r="D14" s="19"/>
      <c r="E14" s="19"/>
      <c r="F14" s="19"/>
      <c r="G14" s="19"/>
      <c r="H14" s="20"/>
      <c r="I14" s="71"/>
      <c r="J14"/>
      <c r="K14"/>
      <c r="L14"/>
      <c r="M14"/>
      <c r="N14" s="30"/>
      <c r="O14" s="29"/>
      <c r="P14" s="65"/>
      <c r="Q14"/>
      <c r="R14"/>
      <c r="S14"/>
      <c r="T14"/>
    </row>
    <row r="15" spans="1:20" ht="14.5">
      <c r="A15" s="10" t="s">
        <v>25</v>
      </c>
      <c r="B15" s="28">
        <f>'Base data for vehicles'!$G$7</f>
        <v>720</v>
      </c>
      <c r="C15" s="29">
        <f>'Base data for vehicles'!$G$7</f>
        <v>720</v>
      </c>
      <c r="D15" s="29">
        <f>'Base data for vehicles'!$G$7</f>
        <v>720</v>
      </c>
      <c r="E15" s="29">
        <f>'Base data for vehicles'!$G$7</f>
        <v>720</v>
      </c>
      <c r="F15" s="29">
        <f>'Base data for vehicles'!$G$7</f>
        <v>720</v>
      </c>
      <c r="G15" s="29">
        <f>'Base data for vehicles'!$G$7</f>
        <v>720</v>
      </c>
      <c r="H15" s="29">
        <f>'Base data for vehicles'!$G$7</f>
        <v>720</v>
      </c>
      <c r="I15" s="28">
        <f>'Base data for vehicles'!$G$7</f>
        <v>720</v>
      </c>
      <c r="J15" s="29">
        <f>'Base data for vehicles'!$G$7</f>
        <v>720</v>
      </c>
      <c r="K15" s="29">
        <f>'Base data for vehicles'!$G$7</f>
        <v>720</v>
      </c>
      <c r="L15" s="29">
        <f>'Base data for vehicles'!$G$7</f>
        <v>720</v>
      </c>
      <c r="M15" s="29">
        <f>'Base data for vehicles'!$G$7</f>
        <v>720</v>
      </c>
      <c r="N15" s="30">
        <f>'Base data for vehicles'!$G$7</f>
        <v>720</v>
      </c>
      <c r="P15" s="104"/>
    </row>
    <row r="16" spans="1:20" ht="12.5">
      <c r="A16" s="10" t="s">
        <v>26</v>
      </c>
      <c r="B16" s="28"/>
      <c r="C16" s="29"/>
      <c r="D16" s="29"/>
      <c r="E16" s="29"/>
      <c r="F16" s="29"/>
      <c r="G16" s="29"/>
      <c r="H16" s="30"/>
      <c r="I16" s="89">
        <v>2</v>
      </c>
      <c r="J16" s="90">
        <v>3</v>
      </c>
      <c r="K16" s="90">
        <v>2</v>
      </c>
      <c r="L16" s="90">
        <v>2</v>
      </c>
      <c r="M16" s="90">
        <v>2</v>
      </c>
      <c r="N16" s="91">
        <v>2</v>
      </c>
      <c r="O16" s="28">
        <f>'Base data for vehicles'!$I$7</f>
        <v>12</v>
      </c>
      <c r="P16" s="67" t="s">
        <v>215</v>
      </c>
    </row>
    <row r="17" spans="1:16" ht="12.5">
      <c r="A17" s="10" t="s">
        <v>27</v>
      </c>
      <c r="B17" s="28">
        <f>B18/'Unit conversion'!$B$7</f>
        <v>1828.2007242733657</v>
      </c>
      <c r="C17" s="29">
        <f>C18/'Unit conversion'!$B$7</f>
        <v>1828.2007242733657</v>
      </c>
      <c r="D17" s="29">
        <f>D18/'Unit conversion'!$C$7</f>
        <v>1896.8827930174564</v>
      </c>
      <c r="E17" s="29">
        <f>E18/'Unit conversion'!E7</f>
        <v>4519.7094972067034</v>
      </c>
      <c r="F17" s="29">
        <f>F18/'Unit conversion'!F7</f>
        <v>4519.7094972067034</v>
      </c>
      <c r="G17" s="29">
        <f>G18/'Unit conversion'!$G$7</f>
        <v>2919.5867158671581</v>
      </c>
      <c r="H17" s="30">
        <f>H18/'Unit conversion'!$H$7</f>
        <v>8366.1971830985931</v>
      </c>
      <c r="I17" s="29">
        <f>I18/'Unit conversion'!$B$7</f>
        <v>1632.3220752440764</v>
      </c>
      <c r="J17" s="29">
        <f>J18/'Unit conversion'!C7</f>
        <v>1678.6573389535013</v>
      </c>
      <c r="K17" s="29">
        <f>K18/'Unit conversion'!E7</f>
        <v>4017.5195530726264</v>
      </c>
      <c r="L17" s="29">
        <f>L18/'Unit conversion'!F7</f>
        <v>4017.5195530726264</v>
      </c>
      <c r="M17" s="29">
        <f>M18/'Unit conversion'!G7</f>
        <v>2595.188191881919</v>
      </c>
      <c r="N17" s="29">
        <f>N18/'Unit conversion'!H7</f>
        <v>7436.6197183098611</v>
      </c>
      <c r="O17" s="29"/>
      <c r="P17" s="67"/>
    </row>
    <row r="18" spans="1:16" ht="12.5">
      <c r="A18" s="10" t="s">
        <v>28</v>
      </c>
      <c r="B18" s="28">
        <f>(B12*(B15/10^6))*B23*'Unit conversion'!$B$3</f>
        <v>76235.970202199358</v>
      </c>
      <c r="C18" s="29">
        <f>(C12*(C15/10^6))*C23*'Unit conversion'!$B$3</f>
        <v>76235.970202199358</v>
      </c>
      <c r="D18" s="29">
        <f>(D12*(D15/10^6))*D23*'Unit conversion'!$C$3</f>
        <v>76065</v>
      </c>
      <c r="E18" s="29">
        <f>(E12*(E15/10^6))*E23*'Unit conversion'!$E$3</f>
        <v>80902.799999999988</v>
      </c>
      <c r="F18" s="29">
        <f>(F12*(F15/10^6))*F23*'Unit conversion'!$F$3</f>
        <v>80902.799999999988</v>
      </c>
      <c r="G18" s="29">
        <f>(G12*(G15/10^6))*G23*'Unit conversion'!$G$3</f>
        <v>79120.799999999988</v>
      </c>
      <c r="H18" s="29">
        <f>(H12*(H15/10^6))*H23*'Unit conversion'!$H$3</f>
        <v>84348.000000000015</v>
      </c>
      <c r="I18" s="28">
        <f>(I12*(I15/10^6))*I23*'Unit conversion'!$B$3</f>
        <v>68067.83053767799</v>
      </c>
      <c r="J18" s="29">
        <f>(J12*(J15/10^6))*J23*'Unit conversion'!$C$3</f>
        <v>67314.159292035401</v>
      </c>
      <c r="K18" s="29">
        <f>(K12*(K15/10^6))*K23*'Unit conversion'!$E$3</f>
        <v>71913.600000000006</v>
      </c>
      <c r="L18" s="29">
        <f>(L12*(L15/10^6))*L23*'Unit conversion'!$F$3</f>
        <v>71913.600000000006</v>
      </c>
      <c r="M18" s="29">
        <f>(M12*(M15/10^6))*M23*'Unit conversion'!$G$3</f>
        <v>70329.600000000006</v>
      </c>
      <c r="N18" s="30">
        <f>(N12*(N15/10^6))*N23*'Unit conversion'!$H$3</f>
        <v>74976.000000000015</v>
      </c>
      <c r="O18" s="29"/>
      <c r="P18" s="102"/>
    </row>
    <row r="19" spans="1:16" ht="12.5">
      <c r="A19" s="10" t="s">
        <v>29</v>
      </c>
      <c r="B19" s="28"/>
      <c r="C19" s="29"/>
      <c r="D19" s="29"/>
      <c r="E19" s="29"/>
      <c r="F19" s="29"/>
      <c r="G19" s="29"/>
      <c r="H19" s="30"/>
      <c r="I19" s="89">
        <v>5</v>
      </c>
      <c r="J19" s="90">
        <v>6</v>
      </c>
      <c r="K19" s="90">
        <v>5</v>
      </c>
      <c r="L19" s="90">
        <v>5</v>
      </c>
      <c r="M19" s="90">
        <v>5</v>
      </c>
      <c r="N19" s="91">
        <v>5</v>
      </c>
      <c r="O19" s="90"/>
      <c r="P19" s="68"/>
    </row>
    <row r="20" spans="1:16" ht="12.5">
      <c r="A20" s="10" t="s">
        <v>30</v>
      </c>
      <c r="B20" s="28"/>
      <c r="C20" s="29"/>
      <c r="D20" s="29"/>
      <c r="E20" s="29"/>
      <c r="F20" s="29"/>
      <c r="G20" s="29"/>
      <c r="H20" s="30"/>
      <c r="I20" s="89">
        <f t="shared" ref="I20:N20" si="4">I19*I13*I16/10^6*I23*44.8</f>
        <v>430.79065314825283</v>
      </c>
      <c r="J20" s="90">
        <f t="shared" si="4"/>
        <v>703.70847742087642</v>
      </c>
      <c r="K20" s="90">
        <f t="shared" si="4"/>
        <v>797.48269351793579</v>
      </c>
      <c r="L20" s="90">
        <f t="shared" si="4"/>
        <v>797.48269351793579</v>
      </c>
      <c r="M20" s="90">
        <f t="shared" si="4"/>
        <v>326.17760617760621</v>
      </c>
      <c r="N20" s="91">
        <f t="shared" si="4"/>
        <v>127.48490945674045</v>
      </c>
      <c r="O20" s="90"/>
      <c r="P20" s="68"/>
    </row>
    <row r="21" spans="1:16" ht="12.5">
      <c r="A21" s="10" t="s">
        <v>31</v>
      </c>
      <c r="B21" s="28"/>
      <c r="C21" s="29"/>
      <c r="D21" s="29"/>
      <c r="E21" s="29"/>
      <c r="F21" s="29"/>
      <c r="G21" s="29" t="s">
        <v>71</v>
      </c>
      <c r="H21" s="30"/>
      <c r="I21" s="89">
        <f t="shared" ref="I21:N21" si="5">I20*1000000000/3600/1000</f>
        <v>119664.07031895911</v>
      </c>
      <c r="J21" s="90">
        <f t="shared" si="5"/>
        <v>195474.57706135459</v>
      </c>
      <c r="K21" s="90">
        <f t="shared" si="5"/>
        <v>221522.97042164882</v>
      </c>
      <c r="L21" s="90">
        <f t="shared" si="5"/>
        <v>221522.97042164882</v>
      </c>
      <c r="M21" s="90">
        <f t="shared" si="5"/>
        <v>90604.890604890621</v>
      </c>
      <c r="N21" s="91">
        <f t="shared" si="5"/>
        <v>35412.474849094571</v>
      </c>
      <c r="O21" s="90"/>
      <c r="P21" s="68"/>
    </row>
    <row r="22" spans="1:16" ht="13">
      <c r="A22" s="73" t="s">
        <v>192</v>
      </c>
      <c r="B22" s="18"/>
      <c r="C22" s="19"/>
      <c r="D22" s="19"/>
      <c r="E22" s="19"/>
      <c r="F22" s="19"/>
      <c r="G22" s="19"/>
      <c r="H22" s="20"/>
      <c r="I22" s="18"/>
      <c r="J22" s="19"/>
      <c r="K22" s="19"/>
      <c r="L22" s="19"/>
      <c r="M22" s="19"/>
      <c r="N22" s="20"/>
      <c r="O22" s="19"/>
      <c r="P22" s="68"/>
    </row>
    <row r="23" spans="1:16" ht="12.5">
      <c r="A23" s="10" t="s">
        <v>191</v>
      </c>
      <c r="B23" s="28">
        <f>'Base data for vehicles'!G5</f>
        <v>11000</v>
      </c>
      <c r="C23" s="29">
        <f t="shared" ref="C23:H23" si="6">B23</f>
        <v>11000</v>
      </c>
      <c r="D23" s="29">
        <f t="shared" si="6"/>
        <v>11000</v>
      </c>
      <c r="E23" s="29">
        <f t="shared" si="6"/>
        <v>11000</v>
      </c>
      <c r="F23" s="29">
        <f t="shared" si="6"/>
        <v>11000</v>
      </c>
      <c r="G23" s="29">
        <f t="shared" si="6"/>
        <v>11000</v>
      </c>
      <c r="H23" s="29">
        <f t="shared" si="6"/>
        <v>11000</v>
      </c>
      <c r="I23" s="28">
        <f t="shared" ref="I23:N23" si="7">$B23</f>
        <v>11000</v>
      </c>
      <c r="J23" s="8">
        <f t="shared" si="7"/>
        <v>11000</v>
      </c>
      <c r="K23" s="8">
        <f t="shared" si="7"/>
        <v>11000</v>
      </c>
      <c r="L23" s="8">
        <f t="shared" si="7"/>
        <v>11000</v>
      </c>
      <c r="M23" s="8">
        <f t="shared" si="7"/>
        <v>11000</v>
      </c>
      <c r="N23" s="9">
        <f t="shared" si="7"/>
        <v>11000</v>
      </c>
      <c r="O23" s="30">
        <f>$E23</f>
        <v>11000</v>
      </c>
      <c r="P23" s="68"/>
    </row>
    <row r="24" spans="1:16" ht="12.5">
      <c r="A24" s="10" t="s">
        <v>32</v>
      </c>
      <c r="B24" s="28">
        <f t="shared" ref="B24:H24" si="8">B23</f>
        <v>11000</v>
      </c>
      <c r="C24" s="29">
        <f t="shared" si="8"/>
        <v>11000</v>
      </c>
      <c r="D24" s="29">
        <f t="shared" si="8"/>
        <v>11000</v>
      </c>
      <c r="E24" s="29">
        <f t="shared" si="8"/>
        <v>11000</v>
      </c>
      <c r="F24" s="29">
        <f t="shared" si="8"/>
        <v>11000</v>
      </c>
      <c r="G24" s="29">
        <f t="shared" si="8"/>
        <v>11000</v>
      </c>
      <c r="H24" s="30">
        <f t="shared" si="8"/>
        <v>11000</v>
      </c>
      <c r="I24" s="25"/>
      <c r="J24" s="26"/>
      <c r="K24" s="26"/>
      <c r="L24" s="26"/>
      <c r="M24" s="26"/>
      <c r="N24" s="27"/>
      <c r="O24" s="26"/>
      <c r="P24" s="68"/>
    </row>
    <row r="25" spans="1:16" ht="12.5">
      <c r="A25" s="10" t="s">
        <v>33</v>
      </c>
      <c r="B25" s="7"/>
      <c r="C25" s="8"/>
      <c r="D25" s="8"/>
      <c r="E25" s="8"/>
      <c r="F25" s="8"/>
      <c r="G25" s="8"/>
      <c r="H25" s="9"/>
      <c r="I25" s="28">
        <f t="shared" ref="I25:N25" si="9">I23</f>
        <v>11000</v>
      </c>
      <c r="J25" s="29">
        <f t="shared" si="9"/>
        <v>11000</v>
      </c>
      <c r="K25" s="29">
        <f t="shared" si="9"/>
        <v>11000</v>
      </c>
      <c r="L25" s="29">
        <f t="shared" si="9"/>
        <v>11000</v>
      </c>
      <c r="M25" s="29">
        <f t="shared" si="9"/>
        <v>11000</v>
      </c>
      <c r="N25" s="30">
        <f t="shared" si="9"/>
        <v>11000</v>
      </c>
      <c r="O25" s="29">
        <f>N25</f>
        <v>11000</v>
      </c>
      <c r="P25" s="68"/>
    </row>
    <row r="26" spans="1:16" ht="12.5">
      <c r="A26" s="10" t="s">
        <v>34</v>
      </c>
      <c r="B26" s="7">
        <f t="shared" ref="B26:N26" si="10">B24+B25</f>
        <v>11000</v>
      </c>
      <c r="C26" s="8">
        <f>C24+C25</f>
        <v>11000</v>
      </c>
      <c r="D26" s="8">
        <f>D24+D25</f>
        <v>11000</v>
      </c>
      <c r="E26" s="8">
        <f t="shared" si="10"/>
        <v>11000</v>
      </c>
      <c r="F26" s="8">
        <f t="shared" si="10"/>
        <v>11000</v>
      </c>
      <c r="G26" s="8">
        <f t="shared" si="10"/>
        <v>11000</v>
      </c>
      <c r="H26" s="9">
        <f t="shared" si="10"/>
        <v>11000</v>
      </c>
      <c r="I26" s="7">
        <f t="shared" si="10"/>
        <v>11000</v>
      </c>
      <c r="J26" s="8">
        <f t="shared" si="10"/>
        <v>11000</v>
      </c>
      <c r="K26" s="8">
        <f t="shared" si="10"/>
        <v>11000</v>
      </c>
      <c r="L26" s="8">
        <f t="shared" si="10"/>
        <v>11000</v>
      </c>
      <c r="M26" s="8">
        <f t="shared" si="10"/>
        <v>11000</v>
      </c>
      <c r="N26" s="9">
        <f t="shared" si="10"/>
        <v>11000</v>
      </c>
      <c r="O26" s="8">
        <f>N26</f>
        <v>11000</v>
      </c>
      <c r="P26" s="68"/>
    </row>
    <row r="27" spans="1:16" ht="12.5">
      <c r="A27" s="10" t="s">
        <v>35</v>
      </c>
      <c r="B27" s="7"/>
      <c r="C27" s="8"/>
      <c r="D27" s="8"/>
      <c r="E27" s="8"/>
      <c r="F27" s="8"/>
      <c r="G27" s="8"/>
      <c r="H27" s="9"/>
      <c r="I27" s="7"/>
      <c r="J27" s="8"/>
      <c r="K27" s="8"/>
      <c r="L27" s="8"/>
      <c r="M27" s="8"/>
      <c r="N27" s="9"/>
      <c r="O27" s="8"/>
      <c r="P27" s="68"/>
    </row>
    <row r="28" spans="1:16" ht="12.5">
      <c r="A28" s="10"/>
      <c r="B28" s="28"/>
      <c r="C28" s="29"/>
      <c r="D28" s="29"/>
      <c r="E28" s="29"/>
      <c r="F28" s="29"/>
      <c r="G28" s="29"/>
      <c r="H28" s="30"/>
      <c r="I28" s="28"/>
      <c r="J28" s="29"/>
      <c r="K28" s="29"/>
      <c r="L28" s="29"/>
      <c r="M28" s="29"/>
      <c r="N28" s="30"/>
      <c r="O28" s="29"/>
      <c r="P28" s="121"/>
    </row>
    <row r="29" spans="1:16" ht="12.5">
      <c r="A29" s="10" t="s">
        <v>36</v>
      </c>
      <c r="B29" s="7"/>
      <c r="C29" s="8"/>
      <c r="D29" s="8"/>
      <c r="E29" s="8"/>
      <c r="F29" s="8"/>
      <c r="G29" s="8"/>
      <c r="H29" s="9"/>
      <c r="I29" s="28"/>
      <c r="J29" s="29"/>
      <c r="K29" s="29" t="s">
        <v>71</v>
      </c>
      <c r="L29" s="29"/>
      <c r="M29" s="29"/>
      <c r="N29" s="30"/>
      <c r="O29" s="29"/>
      <c r="P29" s="68"/>
    </row>
    <row r="30" spans="1:16" ht="12.5">
      <c r="A30" s="10" t="s">
        <v>37</v>
      </c>
      <c r="B30" s="7"/>
      <c r="C30" s="8"/>
      <c r="D30" s="8"/>
      <c r="E30" s="8"/>
      <c r="F30" s="8"/>
      <c r="G30" s="8"/>
      <c r="H30" s="9"/>
      <c r="I30" s="28"/>
      <c r="J30" s="29"/>
      <c r="K30" s="29"/>
      <c r="L30" s="29"/>
      <c r="M30" s="29"/>
      <c r="N30" s="30"/>
      <c r="O30" s="29"/>
      <c r="P30" s="68"/>
    </row>
    <row r="31" spans="1:16" ht="12.5">
      <c r="A31" s="10" t="s">
        <v>38</v>
      </c>
      <c r="B31" s="7"/>
      <c r="C31" s="8"/>
      <c r="D31" s="8"/>
      <c r="E31" s="8"/>
      <c r="F31" s="8"/>
      <c r="G31" s="8"/>
      <c r="H31" s="9"/>
      <c r="I31" s="7">
        <f t="shared" ref="I31:N31" si="11">50/80*I23</f>
        <v>6875</v>
      </c>
      <c r="J31" s="8">
        <f t="shared" si="11"/>
        <v>6875</v>
      </c>
      <c r="K31" s="8">
        <f t="shared" si="11"/>
        <v>6875</v>
      </c>
      <c r="L31" s="8">
        <f t="shared" si="11"/>
        <v>6875</v>
      </c>
      <c r="M31" s="8">
        <f t="shared" si="11"/>
        <v>6875</v>
      </c>
      <c r="N31" s="9">
        <f t="shared" si="11"/>
        <v>6875</v>
      </c>
      <c r="O31" s="8"/>
      <c r="P31" s="67" t="s">
        <v>216</v>
      </c>
    </row>
    <row r="32" spans="1:16" ht="12.5">
      <c r="A32" s="10" t="s">
        <v>39</v>
      </c>
      <c r="B32" s="18"/>
      <c r="C32" s="19"/>
      <c r="D32" s="19"/>
      <c r="E32" s="19"/>
      <c r="F32" s="19"/>
      <c r="G32" s="19"/>
      <c r="H32" s="20"/>
      <c r="I32" s="28">
        <f t="shared" ref="I32:N32" si="12">44/80*I23</f>
        <v>6050.0000000000009</v>
      </c>
      <c r="J32" s="29">
        <f t="shared" si="12"/>
        <v>6050.0000000000009</v>
      </c>
      <c r="K32" s="29">
        <f t="shared" si="12"/>
        <v>6050.0000000000009</v>
      </c>
      <c r="L32" s="29">
        <f t="shared" si="12"/>
        <v>6050.0000000000009</v>
      </c>
      <c r="M32" s="29">
        <f t="shared" si="12"/>
        <v>6050.0000000000009</v>
      </c>
      <c r="N32" s="30">
        <f t="shared" si="12"/>
        <v>6050.0000000000009</v>
      </c>
      <c r="O32" s="29"/>
      <c r="P32" s="67" t="s">
        <v>216</v>
      </c>
    </row>
    <row r="33" spans="1:20" ht="12.5">
      <c r="A33" s="10"/>
      <c r="B33" s="7"/>
      <c r="C33" s="8"/>
      <c r="D33" s="8"/>
      <c r="E33" s="8"/>
      <c r="F33" s="8"/>
      <c r="G33" s="8"/>
      <c r="H33" s="9"/>
      <c r="I33" s="7"/>
      <c r="J33" s="8"/>
      <c r="K33" s="8"/>
      <c r="L33" s="8"/>
      <c r="M33" s="8"/>
      <c r="N33" s="9"/>
      <c r="O33" s="8"/>
      <c r="P33" s="67"/>
    </row>
    <row r="34" spans="1:20" ht="13">
      <c r="A34" s="6" t="s">
        <v>40</v>
      </c>
      <c r="B34" s="7"/>
      <c r="C34" s="8"/>
      <c r="D34" s="8"/>
      <c r="E34" s="8"/>
      <c r="F34" s="8"/>
      <c r="G34" s="8"/>
      <c r="H34" s="9"/>
      <c r="I34" s="7"/>
      <c r="J34" s="8"/>
      <c r="K34" s="8"/>
      <c r="L34" s="8"/>
      <c r="M34" s="8"/>
      <c r="N34" s="9"/>
      <c r="O34" s="8"/>
      <c r="P34" s="67"/>
    </row>
    <row r="35" spans="1:20" ht="12.5">
      <c r="A35" s="10" t="s">
        <v>41</v>
      </c>
      <c r="B35" s="28">
        <f>'Base data for vehicles'!G20</f>
        <v>350</v>
      </c>
      <c r="C35" s="29">
        <f xml:space="preserve"> B35</f>
        <v>350</v>
      </c>
      <c r="D35" s="29">
        <f>B35</f>
        <v>350</v>
      </c>
      <c r="E35" s="29">
        <f>'Base data for vehicles'!G31</f>
        <v>370</v>
      </c>
      <c r="F35" s="29">
        <f>E35</f>
        <v>370</v>
      </c>
      <c r="G35" s="29">
        <f>'Base data for vehicles'!G34</f>
        <v>500</v>
      </c>
      <c r="H35" s="30">
        <f>'Base data for vehicles'!G43</f>
        <v>600</v>
      </c>
      <c r="I35" s="25"/>
      <c r="J35" s="26"/>
      <c r="K35" s="26"/>
      <c r="L35" s="26"/>
      <c r="M35" s="26"/>
      <c r="N35" s="27"/>
      <c r="O35" s="160">
        <f>'Base data for vehicles'!F88</f>
        <v>62.271214099216706</v>
      </c>
      <c r="P35" s="67" t="s">
        <v>42</v>
      </c>
    </row>
    <row r="36" spans="1:20" ht="12.5">
      <c r="A36" s="10" t="s">
        <v>217</v>
      </c>
      <c r="B36" s="28"/>
      <c r="C36" s="29"/>
      <c r="D36" s="29"/>
      <c r="E36" s="29"/>
      <c r="F36" s="29"/>
      <c r="G36" s="29"/>
      <c r="H36" s="30"/>
      <c r="I36" s="29">
        <f>'Base data for vehicles'!$G$63</f>
        <v>889.58877284595303</v>
      </c>
      <c r="J36" s="29">
        <f>'Base data for vehicles'!$G$63</f>
        <v>889.58877284595303</v>
      </c>
      <c r="K36" s="29">
        <f>'Base data for vehicles'!$G$63</f>
        <v>889.58877284595303</v>
      </c>
      <c r="L36" s="29">
        <f>'Base data for vehicles'!$G$63</f>
        <v>889.58877284595303</v>
      </c>
      <c r="M36" s="29">
        <f>'Base data for vehicles'!$G$63</f>
        <v>889.58877284595303</v>
      </c>
      <c r="N36" s="30">
        <f>'Base data for vehicles'!$G$63</f>
        <v>889.58877284595303</v>
      </c>
      <c r="O36" s="29"/>
      <c r="P36" s="88"/>
    </row>
    <row r="37" spans="1:20" ht="13">
      <c r="A37" s="93" t="s">
        <v>219</v>
      </c>
      <c r="B37" s="94"/>
      <c r="C37" s="95"/>
      <c r="D37" s="95"/>
      <c r="E37" s="95"/>
      <c r="F37" s="95"/>
      <c r="G37" s="95"/>
      <c r="H37" s="96"/>
      <c r="I37" s="94">
        <v>26</v>
      </c>
      <c r="J37" s="95">
        <v>26</v>
      </c>
      <c r="K37" s="95">
        <v>26</v>
      </c>
      <c r="L37" s="95">
        <v>26</v>
      </c>
      <c r="M37" s="95">
        <v>26</v>
      </c>
      <c r="N37" s="96">
        <v>26</v>
      </c>
      <c r="O37" s="95"/>
      <c r="P37" s="67" t="s">
        <v>43</v>
      </c>
    </row>
    <row r="38" spans="1:20" ht="13">
      <c r="A38" s="93" t="s">
        <v>44</v>
      </c>
      <c r="B38" s="94"/>
      <c r="C38" s="95"/>
      <c r="D38" s="95"/>
      <c r="E38" s="95"/>
      <c r="F38" s="95"/>
      <c r="G38" s="95"/>
      <c r="H38" s="96"/>
      <c r="I38" s="94">
        <v>85</v>
      </c>
      <c r="J38" s="95">
        <v>85</v>
      </c>
      <c r="K38" s="95">
        <v>85</v>
      </c>
      <c r="L38" s="95">
        <v>85</v>
      </c>
      <c r="M38" s="95">
        <v>85</v>
      </c>
      <c r="N38" s="96">
        <v>85</v>
      </c>
      <c r="O38" s="95"/>
      <c r="P38" s="67"/>
    </row>
    <row r="39" spans="1:20" ht="13">
      <c r="A39" s="93" t="s">
        <v>45</v>
      </c>
      <c r="B39" s="94"/>
      <c r="C39" s="95"/>
      <c r="D39" s="95"/>
      <c r="E39" s="95"/>
      <c r="F39" s="95"/>
      <c r="G39" s="95"/>
      <c r="H39" s="96"/>
      <c r="I39" s="94">
        <v>25</v>
      </c>
      <c r="J39" s="95">
        <v>25</v>
      </c>
      <c r="K39" s="95">
        <v>25</v>
      </c>
      <c r="L39" s="95">
        <v>25</v>
      </c>
      <c r="M39" s="95">
        <v>25</v>
      </c>
      <c r="N39" s="96"/>
      <c r="O39" s="95"/>
      <c r="P39" s="67"/>
    </row>
    <row r="40" spans="1:20" ht="13">
      <c r="A40" s="93" t="s">
        <v>48</v>
      </c>
      <c r="B40" s="94"/>
      <c r="C40" s="95"/>
      <c r="D40" s="95"/>
      <c r="E40" s="95"/>
      <c r="F40" s="95"/>
      <c r="G40" s="95"/>
      <c r="H40" s="96"/>
      <c r="I40" s="97">
        <f t="shared" ref="I40:N40" si="13">$Y76*1000/3.6</f>
        <v>0</v>
      </c>
      <c r="J40" s="98">
        <f t="shared" si="13"/>
        <v>0</v>
      </c>
      <c r="K40" s="98">
        <f t="shared" si="13"/>
        <v>0</v>
      </c>
      <c r="L40" s="98">
        <f t="shared" si="13"/>
        <v>0</v>
      </c>
      <c r="M40" s="98">
        <f t="shared" si="13"/>
        <v>0</v>
      </c>
      <c r="N40" s="99">
        <f t="shared" si="13"/>
        <v>0</v>
      </c>
      <c r="O40" s="29"/>
      <c r="P40" s="67" t="s">
        <v>49</v>
      </c>
      <c r="T40" s="31"/>
    </row>
    <row r="41" spans="1:20" ht="13">
      <c r="A41" s="93" t="s">
        <v>50</v>
      </c>
      <c r="B41" s="94"/>
      <c r="C41" s="95"/>
      <c r="D41" s="95"/>
      <c r="E41" s="95"/>
      <c r="F41" s="95"/>
      <c r="G41" s="95"/>
      <c r="H41" s="96"/>
      <c r="I41" s="94">
        <v>20</v>
      </c>
      <c r="J41" s="95">
        <v>21</v>
      </c>
      <c r="K41" s="95">
        <v>20</v>
      </c>
      <c r="L41" s="95">
        <v>20</v>
      </c>
      <c r="M41" s="95">
        <v>20</v>
      </c>
      <c r="N41" s="96">
        <v>20</v>
      </c>
      <c r="P41" s="67"/>
    </row>
    <row r="42" spans="1:20" ht="12.5">
      <c r="A42" s="92" t="s">
        <v>46</v>
      </c>
      <c r="B42" s="28">
        <f>'Base data for vehicles'!G113</f>
        <v>15</v>
      </c>
      <c r="C42" s="29">
        <f>B42</f>
        <v>15</v>
      </c>
      <c r="D42" s="29">
        <f>B42</f>
        <v>15</v>
      </c>
      <c r="E42" s="29">
        <f>'Base data for vehicles'!G116</f>
        <v>30</v>
      </c>
      <c r="F42" s="29">
        <f>E42</f>
        <v>30</v>
      </c>
      <c r="G42" s="29">
        <f>'Base data for vehicles'!G121</f>
        <v>70</v>
      </c>
      <c r="H42" s="30">
        <f>'Base data for vehicles'!G135</f>
        <v>225</v>
      </c>
      <c r="I42" s="28">
        <f>'Base data for vehicles'!G113</f>
        <v>15</v>
      </c>
      <c r="J42" s="29">
        <f>I42</f>
        <v>15</v>
      </c>
      <c r="K42" s="29">
        <f>'Base data for vehicles'!G116</f>
        <v>30</v>
      </c>
      <c r="L42" s="29">
        <f>K42</f>
        <v>30</v>
      </c>
      <c r="M42" s="29">
        <f>'Base data for vehicles'!G121</f>
        <v>70</v>
      </c>
      <c r="N42" s="30">
        <f>'Base data for vehicles'!G135</f>
        <v>225</v>
      </c>
      <c r="O42" s="29">
        <f>O44</f>
        <v>24700</v>
      </c>
      <c r="P42" s="67" t="s">
        <v>47</v>
      </c>
    </row>
    <row r="43" spans="1:20" ht="13">
      <c r="A43" s="93" t="s">
        <v>337</v>
      </c>
      <c r="B43" s="28"/>
      <c r="C43" s="29"/>
      <c r="D43" s="29"/>
      <c r="E43" s="29"/>
      <c r="F43" s="29"/>
      <c r="G43" s="29"/>
      <c r="H43" s="30"/>
      <c r="I43" s="7"/>
      <c r="J43" s="8"/>
      <c r="K43" s="8"/>
      <c r="L43" s="8"/>
      <c r="M43" s="8"/>
      <c r="N43" s="30"/>
      <c r="O43" s="29"/>
      <c r="P43" s="67"/>
    </row>
    <row r="44" spans="1:20" ht="13">
      <c r="A44" s="93" t="s">
        <v>48</v>
      </c>
      <c r="B44" s="28"/>
      <c r="C44" s="29"/>
      <c r="D44" s="29"/>
      <c r="E44" s="29"/>
      <c r="F44" s="29"/>
      <c r="G44" s="29"/>
      <c r="H44" s="30"/>
      <c r="I44" s="7"/>
      <c r="J44" s="8"/>
      <c r="K44" s="8"/>
      <c r="L44" s="8"/>
      <c r="M44" s="8"/>
      <c r="N44" s="30"/>
      <c r="O44" s="29">
        <f>'Base data for vehicles'!F102</f>
        <v>24700</v>
      </c>
      <c r="P44" s="67"/>
    </row>
    <row r="45" spans="1:20" ht="12.5">
      <c r="A45" s="10" t="s">
        <v>214</v>
      </c>
      <c r="B45" s="7">
        <v>0</v>
      </c>
      <c r="C45" s="29">
        <f>'Base data for vehicles'!F147</f>
        <v>400</v>
      </c>
      <c r="D45" s="8">
        <v>0</v>
      </c>
      <c r="E45" s="8">
        <v>0</v>
      </c>
      <c r="F45" s="8">
        <v>0</v>
      </c>
      <c r="G45" s="8">
        <v>0</v>
      </c>
      <c r="H45" s="9">
        <v>0</v>
      </c>
      <c r="I45" s="7"/>
      <c r="J45" s="8"/>
      <c r="K45" s="8"/>
      <c r="L45" s="8"/>
      <c r="M45" s="8"/>
      <c r="N45" s="9"/>
      <c r="O45" s="8"/>
      <c r="P45" s="67"/>
    </row>
    <row r="46" spans="1:20" ht="12.5">
      <c r="A46" s="10" t="s">
        <v>213</v>
      </c>
      <c r="B46" s="49"/>
      <c r="C46" s="50"/>
      <c r="D46" s="50"/>
      <c r="E46" s="50"/>
      <c r="F46" s="50"/>
      <c r="G46" s="50"/>
      <c r="H46" s="51"/>
      <c r="I46" s="7"/>
      <c r="J46" s="8"/>
      <c r="K46" s="8"/>
      <c r="L46" s="8"/>
      <c r="M46" s="8"/>
      <c r="N46" s="9"/>
      <c r="O46" s="8"/>
      <c r="P46" s="67"/>
    </row>
    <row r="47" spans="1:20" ht="12.5">
      <c r="A47" s="10"/>
      <c r="B47" s="49"/>
      <c r="C47" s="50"/>
      <c r="D47" s="50"/>
      <c r="E47" s="50"/>
      <c r="F47" s="50"/>
      <c r="G47" s="50"/>
      <c r="H47" s="51"/>
      <c r="I47" s="7"/>
      <c r="J47" s="8"/>
      <c r="K47" s="8"/>
      <c r="L47" s="8"/>
      <c r="M47" s="8"/>
      <c r="N47" s="9"/>
      <c r="O47" s="8"/>
      <c r="P47" s="67"/>
    </row>
    <row r="48" spans="1:20" ht="13">
      <c r="A48" s="6" t="s">
        <v>51</v>
      </c>
      <c r="B48" s="28"/>
      <c r="C48" s="29"/>
      <c r="D48" s="29"/>
      <c r="E48" s="29"/>
      <c r="F48" s="29"/>
      <c r="G48" s="29"/>
      <c r="H48" s="30"/>
      <c r="I48" s="7"/>
      <c r="J48" s="8"/>
      <c r="K48" s="8"/>
      <c r="L48" s="8"/>
      <c r="M48" s="8"/>
      <c r="N48" s="9"/>
      <c r="O48" s="8"/>
      <c r="P48" s="67"/>
    </row>
    <row r="49" spans="1:16" ht="12.5">
      <c r="A49" s="10" t="s">
        <v>52</v>
      </c>
      <c r="B49" s="7">
        <f t="shared" ref="B49:H49" si="14">B35*B24</f>
        <v>3850000</v>
      </c>
      <c r="C49" s="8">
        <f t="shared" si="14"/>
        <v>3850000</v>
      </c>
      <c r="D49" s="8">
        <f t="shared" si="14"/>
        <v>3850000</v>
      </c>
      <c r="E49" s="8">
        <f t="shared" si="14"/>
        <v>4070000</v>
      </c>
      <c r="F49" s="8">
        <f t="shared" si="14"/>
        <v>4070000</v>
      </c>
      <c r="G49" s="8">
        <f t="shared" si="14"/>
        <v>5500000</v>
      </c>
      <c r="H49" s="9">
        <f t="shared" si="14"/>
        <v>6600000</v>
      </c>
      <c r="I49" s="7"/>
      <c r="J49" s="8"/>
      <c r="K49" s="8"/>
      <c r="L49" s="8"/>
      <c r="M49" s="8"/>
      <c r="N49" s="9"/>
      <c r="O49" s="8"/>
      <c r="P49" s="67"/>
    </row>
    <row r="50" spans="1:16" ht="12.5">
      <c r="A50" s="10" t="s">
        <v>217</v>
      </c>
      <c r="B50" s="7"/>
      <c r="C50" s="8"/>
      <c r="D50" s="8"/>
      <c r="E50" s="8"/>
      <c r="F50" s="8"/>
      <c r="G50" s="8"/>
      <c r="H50" s="9"/>
      <c r="I50" s="7">
        <f t="shared" ref="I50:N50" si="15">I36*I23</f>
        <v>9785476.5013054833</v>
      </c>
      <c r="J50" s="8">
        <f t="shared" si="15"/>
        <v>9785476.5013054833</v>
      </c>
      <c r="K50" s="8">
        <f t="shared" si="15"/>
        <v>9785476.5013054833</v>
      </c>
      <c r="L50" s="8">
        <f t="shared" si="15"/>
        <v>9785476.5013054833</v>
      </c>
      <c r="M50" s="8">
        <f t="shared" si="15"/>
        <v>9785476.5013054833</v>
      </c>
      <c r="N50" s="9">
        <f t="shared" si="15"/>
        <v>9785476.5013054833</v>
      </c>
      <c r="O50" s="8"/>
      <c r="P50" s="88"/>
    </row>
    <row r="51" spans="1:16" ht="13">
      <c r="A51" s="93" t="s">
        <v>53</v>
      </c>
      <c r="B51" s="94"/>
      <c r="C51" s="95"/>
      <c r="D51" s="95"/>
      <c r="E51" s="95"/>
      <c r="F51" s="95"/>
      <c r="G51" s="95"/>
      <c r="H51" s="96"/>
      <c r="I51" s="97">
        <f t="shared" ref="I51:N51" si="16">I25*I37</f>
        <v>286000</v>
      </c>
      <c r="J51" s="98">
        <f t="shared" si="16"/>
        <v>286000</v>
      </c>
      <c r="K51" s="98">
        <f t="shared" si="16"/>
        <v>286000</v>
      </c>
      <c r="L51" s="98">
        <f t="shared" si="16"/>
        <v>286000</v>
      </c>
      <c r="M51" s="98">
        <f t="shared" si="16"/>
        <v>286000</v>
      </c>
      <c r="N51" s="99">
        <f t="shared" si="16"/>
        <v>286000</v>
      </c>
      <c r="O51" s="98"/>
      <c r="P51" s="67"/>
    </row>
    <row r="52" spans="1:16" ht="13">
      <c r="A52" s="93" t="s">
        <v>54</v>
      </c>
      <c r="B52" s="97"/>
      <c r="C52" s="98"/>
      <c r="D52" s="98"/>
      <c r="E52" s="98"/>
      <c r="F52" s="98"/>
      <c r="G52" s="98"/>
      <c r="H52" s="99"/>
      <c r="I52" s="97">
        <f t="shared" ref="I52:N52" si="17">I38*I31</f>
        <v>584375</v>
      </c>
      <c r="J52" s="98">
        <f t="shared" si="17"/>
        <v>584375</v>
      </c>
      <c r="K52" s="98">
        <f t="shared" si="17"/>
        <v>584375</v>
      </c>
      <c r="L52" s="98">
        <f t="shared" si="17"/>
        <v>584375</v>
      </c>
      <c r="M52" s="98">
        <f t="shared" si="17"/>
        <v>584375</v>
      </c>
      <c r="N52" s="99">
        <f t="shared" si="17"/>
        <v>584375</v>
      </c>
      <c r="O52" s="98"/>
      <c r="P52" s="67"/>
    </row>
    <row r="53" spans="1:16" ht="13">
      <c r="A53" s="93" t="s">
        <v>55</v>
      </c>
      <c r="B53" s="97"/>
      <c r="C53" s="98"/>
      <c r="D53" s="98"/>
      <c r="E53" s="98"/>
      <c r="F53" s="98"/>
      <c r="G53" s="98"/>
      <c r="H53" s="99"/>
      <c r="I53" s="97">
        <f>I31*I39</f>
        <v>171875</v>
      </c>
      <c r="J53" s="98">
        <f>J31*J39</f>
        <v>171875</v>
      </c>
      <c r="K53" s="98">
        <f>K39*K31</f>
        <v>171875</v>
      </c>
      <c r="L53" s="98">
        <f>L39*L31</f>
        <v>171875</v>
      </c>
      <c r="M53" s="98">
        <f>M39*M31</f>
        <v>171875</v>
      </c>
      <c r="N53" s="99"/>
      <c r="O53" s="98"/>
      <c r="P53" s="67"/>
    </row>
    <row r="54" spans="1:16" ht="13">
      <c r="A54" s="93" t="s">
        <v>57</v>
      </c>
      <c r="B54" s="97"/>
      <c r="C54" s="98"/>
      <c r="D54" s="98"/>
      <c r="E54" s="98"/>
      <c r="F54" s="98"/>
      <c r="G54" s="98"/>
      <c r="H54" s="99"/>
      <c r="I54" s="97">
        <f t="shared" ref="I54:N54" si="18">I40*I20</f>
        <v>0</v>
      </c>
      <c r="J54" s="98">
        <f t="shared" si="18"/>
        <v>0</v>
      </c>
      <c r="K54" s="98">
        <f t="shared" si="18"/>
        <v>0</v>
      </c>
      <c r="L54" s="98">
        <f t="shared" si="18"/>
        <v>0</v>
      </c>
      <c r="M54" s="98">
        <f t="shared" si="18"/>
        <v>0</v>
      </c>
      <c r="N54" s="99">
        <f t="shared" si="18"/>
        <v>0</v>
      </c>
      <c r="O54" s="98"/>
      <c r="P54" s="67"/>
    </row>
    <row r="55" spans="1:16" ht="13">
      <c r="A55" s="93" t="s">
        <v>58</v>
      </c>
      <c r="B55" s="97"/>
      <c r="C55" s="98"/>
      <c r="D55" s="98"/>
      <c r="E55" s="98"/>
      <c r="F55" s="98"/>
      <c r="G55" s="98"/>
      <c r="H55" s="99"/>
      <c r="I55" s="97">
        <f t="shared" ref="I55:N55" si="19">I32*I41</f>
        <v>121000.00000000001</v>
      </c>
      <c r="J55" s="98">
        <f t="shared" si="19"/>
        <v>127050.00000000001</v>
      </c>
      <c r="K55" s="98">
        <f t="shared" si="19"/>
        <v>121000.00000000001</v>
      </c>
      <c r="L55" s="98">
        <f t="shared" si="19"/>
        <v>121000.00000000001</v>
      </c>
      <c r="M55" s="98">
        <f t="shared" si="19"/>
        <v>121000.00000000001</v>
      </c>
      <c r="N55" s="99">
        <f t="shared" si="19"/>
        <v>121000.00000000001</v>
      </c>
      <c r="O55" s="98"/>
      <c r="P55" s="100"/>
    </row>
    <row r="56" spans="1:16" ht="13">
      <c r="A56" s="10" t="s">
        <v>335</v>
      </c>
      <c r="B56" s="97"/>
      <c r="C56" s="98"/>
      <c r="D56" s="98"/>
      <c r="E56" s="98"/>
      <c r="F56" s="98"/>
      <c r="G56" s="98"/>
      <c r="H56" s="99"/>
      <c r="I56" s="97"/>
      <c r="J56" s="98"/>
      <c r="K56" s="98"/>
      <c r="L56" s="98"/>
      <c r="M56" s="98"/>
      <c r="N56" s="99"/>
      <c r="O56" s="9">
        <f>SUM(O57:O58)</f>
        <v>11799983.355091384</v>
      </c>
      <c r="P56" s="100"/>
    </row>
    <row r="57" spans="1:16" ht="13">
      <c r="A57" s="93" t="s">
        <v>53</v>
      </c>
      <c r="B57" s="97"/>
      <c r="C57" s="98"/>
      <c r="D57" s="98"/>
      <c r="E57" s="98"/>
      <c r="F57" s="98"/>
      <c r="G57" s="98"/>
      <c r="H57" s="99"/>
      <c r="I57" s="97"/>
      <c r="J57" s="98"/>
      <c r="K57" s="98"/>
      <c r="L57" s="98"/>
      <c r="M57" s="98"/>
      <c r="N57" s="99"/>
      <c r="O57" s="98">
        <f>O35*O25</f>
        <v>684983.3550913838</v>
      </c>
      <c r="P57" s="100"/>
    </row>
    <row r="58" spans="1:16" ht="13">
      <c r="A58" s="93" t="s">
        <v>57</v>
      </c>
      <c r="B58" s="97"/>
      <c r="C58" s="98"/>
      <c r="D58" s="98"/>
      <c r="E58" s="98"/>
      <c r="F58" s="98"/>
      <c r="G58" s="98"/>
      <c r="H58" s="99"/>
      <c r="I58" s="97"/>
      <c r="J58" s="98"/>
      <c r="K58" s="98"/>
      <c r="L58" s="98"/>
      <c r="M58" s="98"/>
      <c r="N58" s="99"/>
      <c r="O58" s="98">
        <f>O42*'Base data for vehicles'!I9/2</f>
        <v>11115000</v>
      </c>
      <c r="P58" s="100"/>
    </row>
    <row r="59" spans="1:16" ht="12.5">
      <c r="A59" s="92" t="s">
        <v>56</v>
      </c>
      <c r="B59" s="28">
        <f t="shared" ref="B59:M59" si="20">B42*B18</f>
        <v>1143539.5530329903</v>
      </c>
      <c r="C59" s="29">
        <f t="shared" si="20"/>
        <v>1143539.5530329903</v>
      </c>
      <c r="D59" s="29">
        <f t="shared" si="20"/>
        <v>1140975</v>
      </c>
      <c r="E59" s="29">
        <f t="shared" si="20"/>
        <v>2427083.9999999995</v>
      </c>
      <c r="F59" s="29">
        <f t="shared" si="20"/>
        <v>2427083.9999999995</v>
      </c>
      <c r="G59" s="29">
        <f t="shared" si="20"/>
        <v>5538455.9999999991</v>
      </c>
      <c r="H59" s="30">
        <f t="shared" si="20"/>
        <v>18978300.000000004</v>
      </c>
      <c r="I59" s="28">
        <f t="shared" si="20"/>
        <v>1021017.4580651699</v>
      </c>
      <c r="J59" s="29">
        <f t="shared" si="20"/>
        <v>1009712.389380531</v>
      </c>
      <c r="K59" s="29">
        <f t="shared" si="20"/>
        <v>2157408</v>
      </c>
      <c r="L59" s="29">
        <f t="shared" si="20"/>
        <v>2157408</v>
      </c>
      <c r="M59" s="29">
        <f t="shared" si="20"/>
        <v>4923072</v>
      </c>
      <c r="N59" s="30">
        <f>N42*N18</f>
        <v>16869600.000000004</v>
      </c>
      <c r="O59" s="29"/>
      <c r="P59" s="67"/>
    </row>
    <row r="60" spans="1:16" ht="12.5">
      <c r="A60" s="92" t="s">
        <v>218</v>
      </c>
      <c r="B60" s="28">
        <f t="shared" ref="B60:H60" si="21">B45*B23+B46*B24</f>
        <v>0</v>
      </c>
      <c r="C60" s="29">
        <f t="shared" si="21"/>
        <v>4400000</v>
      </c>
      <c r="D60" s="29">
        <f t="shared" si="21"/>
        <v>0</v>
      </c>
      <c r="E60" s="29">
        <f t="shared" si="21"/>
        <v>0</v>
      </c>
      <c r="F60" s="29">
        <f t="shared" si="21"/>
        <v>0</v>
      </c>
      <c r="G60" s="29">
        <f t="shared" si="21"/>
        <v>0</v>
      </c>
      <c r="H60" s="29">
        <f t="shared" si="21"/>
        <v>0</v>
      </c>
      <c r="I60" s="28"/>
      <c r="J60" s="29"/>
      <c r="K60" s="29"/>
      <c r="L60" s="29"/>
      <c r="M60" s="29"/>
      <c r="N60" s="30"/>
      <c r="O60" s="29"/>
      <c r="P60" s="67"/>
    </row>
    <row r="61" spans="1:16" ht="13">
      <c r="A61" s="6" t="s">
        <v>59</v>
      </c>
      <c r="B61" s="32">
        <f t="shared" ref="B61:H61" si="22">SUM(B49:B60)</f>
        <v>4993539.5530329905</v>
      </c>
      <c r="C61" s="33">
        <f t="shared" si="22"/>
        <v>9393539.5530329905</v>
      </c>
      <c r="D61" s="33">
        <f t="shared" si="22"/>
        <v>4990975</v>
      </c>
      <c r="E61" s="33">
        <f t="shared" si="22"/>
        <v>6497084</v>
      </c>
      <c r="F61" s="33">
        <f t="shared" si="22"/>
        <v>6497084</v>
      </c>
      <c r="G61" s="33">
        <f t="shared" si="22"/>
        <v>11038456</v>
      </c>
      <c r="H61" s="34">
        <f t="shared" si="22"/>
        <v>25578300.000000004</v>
      </c>
      <c r="I61" s="32">
        <f t="shared" ref="I61:N61" si="23">SUM(I49:I50,I59:I60)</f>
        <v>10806493.959370654</v>
      </c>
      <c r="J61" s="33">
        <f t="shared" si="23"/>
        <v>10795188.890686015</v>
      </c>
      <c r="K61" s="33">
        <f t="shared" si="23"/>
        <v>11942884.501305483</v>
      </c>
      <c r="L61" s="33">
        <f t="shared" si="23"/>
        <v>11942884.501305483</v>
      </c>
      <c r="M61" s="33">
        <f t="shared" si="23"/>
        <v>14708548.501305483</v>
      </c>
      <c r="N61" s="34">
        <f t="shared" si="23"/>
        <v>26655076.501305487</v>
      </c>
      <c r="O61" s="33">
        <f>SUM(O49:O50,O59:O60,O56)</f>
        <v>11799983.355091384</v>
      </c>
      <c r="P61" s="88"/>
    </row>
    <row r="62" spans="1:16" ht="13">
      <c r="A62" s="6"/>
      <c r="B62" s="47"/>
      <c r="C62" s="47"/>
      <c r="D62" s="47"/>
      <c r="E62" s="47"/>
      <c r="F62" s="47"/>
      <c r="G62" s="47"/>
      <c r="H62" s="47"/>
      <c r="I62" s="47"/>
      <c r="J62" s="47"/>
      <c r="K62" s="47"/>
      <c r="L62" s="47"/>
      <c r="M62" s="47"/>
      <c r="N62" s="47"/>
      <c r="O62" s="47"/>
    </row>
    <row r="63" spans="1:16" ht="14.5">
      <c r="A63" s="48" t="s">
        <v>86</v>
      </c>
      <c r="B63"/>
      <c r="C63"/>
      <c r="D63"/>
      <c r="E63"/>
      <c r="F63"/>
      <c r="G63"/>
      <c r="H63"/>
      <c r="I63"/>
      <c r="J63"/>
      <c r="K63"/>
      <c r="L63"/>
      <c r="M63"/>
      <c r="N63"/>
      <c r="O63"/>
    </row>
    <row r="64" spans="1:16" ht="14.5">
      <c r="A64" s="5" t="s">
        <v>88</v>
      </c>
      <c r="B64" s="74">
        <f>$D$64</f>
        <v>44918775</v>
      </c>
      <c r="C64" s="74">
        <f>$D$64</f>
        <v>44918775</v>
      </c>
      <c r="D64" s="74">
        <f>(D61/'Base data for vehicles'!$J$15)*(1-'Base data for vehicles'!$J$15)</f>
        <v>44918775</v>
      </c>
      <c r="E64" s="74">
        <f>$D$64</f>
        <v>44918775</v>
      </c>
      <c r="F64" s="74">
        <f>$D$64</f>
        <v>44918775</v>
      </c>
      <c r="G64" s="74">
        <f t="shared" ref="G64:O64" si="24">$D$64</f>
        <v>44918775</v>
      </c>
      <c r="H64" s="74">
        <f t="shared" si="24"/>
        <v>44918775</v>
      </c>
      <c r="I64" s="74">
        <f t="shared" si="24"/>
        <v>44918775</v>
      </c>
      <c r="J64" s="74">
        <f t="shared" si="24"/>
        <v>44918775</v>
      </c>
      <c r="K64" s="74">
        <f t="shared" si="24"/>
        <v>44918775</v>
      </c>
      <c r="L64" s="74">
        <f t="shared" si="24"/>
        <v>44918775</v>
      </c>
      <c r="M64" s="74">
        <f t="shared" si="24"/>
        <v>44918775</v>
      </c>
      <c r="N64" s="74">
        <f t="shared" si="24"/>
        <v>44918775</v>
      </c>
      <c r="O64" s="74">
        <f t="shared" si="24"/>
        <v>44918775</v>
      </c>
      <c r="P64" s="67"/>
    </row>
    <row r="65" spans="1:16" ht="14.5">
      <c r="A65" s="5" t="s">
        <v>196</v>
      </c>
      <c r="B65" s="79">
        <f>(B64+B61)</f>
        <v>49912314.553032994</v>
      </c>
      <c r="C65" s="77">
        <f t="shared" ref="C65:O65" si="25">C64+C61</f>
        <v>54312314.553032994</v>
      </c>
      <c r="D65" s="77">
        <f t="shared" si="25"/>
        <v>49909750</v>
      </c>
      <c r="E65" s="77">
        <f t="shared" si="25"/>
        <v>51415859</v>
      </c>
      <c r="F65" s="77">
        <f t="shared" si="25"/>
        <v>51415859</v>
      </c>
      <c r="G65" s="77">
        <f t="shared" si="25"/>
        <v>55957231</v>
      </c>
      <c r="H65" s="78">
        <f t="shared" si="25"/>
        <v>70497075</v>
      </c>
      <c r="I65" s="77">
        <f t="shared" si="25"/>
        <v>55725268.959370658</v>
      </c>
      <c r="J65" s="77">
        <f t="shared" si="25"/>
        <v>55713963.890686013</v>
      </c>
      <c r="K65" s="77">
        <f t="shared" si="25"/>
        <v>56861659.501305483</v>
      </c>
      <c r="L65" s="77">
        <f t="shared" si="25"/>
        <v>56861659.501305483</v>
      </c>
      <c r="M65" s="77">
        <f t="shared" si="25"/>
        <v>59627323.501305483</v>
      </c>
      <c r="N65" s="78">
        <f t="shared" si="25"/>
        <v>71573851.501305491</v>
      </c>
      <c r="O65" s="78">
        <f t="shared" si="25"/>
        <v>56718758.355091386</v>
      </c>
      <c r="P65" s="67"/>
    </row>
    <row r="66" spans="1:16" s="48" customFormat="1" ht="14.5">
      <c r="A66" s="48" t="s">
        <v>195</v>
      </c>
      <c r="B66" s="80">
        <f>B65-$D$65</f>
        <v>2564.5530329942703</v>
      </c>
      <c r="C66" s="81">
        <f t="shared" ref="C66:O66" si="26">C65-$D$65</f>
        <v>4402564.5530329943</v>
      </c>
      <c r="D66" s="81">
        <f t="shared" si="26"/>
        <v>0</v>
      </c>
      <c r="E66" s="81">
        <f t="shared" si="26"/>
        <v>1506109</v>
      </c>
      <c r="F66" s="81">
        <f t="shared" si="26"/>
        <v>1506109</v>
      </c>
      <c r="G66" s="81">
        <f t="shared" si="26"/>
        <v>6047481</v>
      </c>
      <c r="H66" s="82">
        <f t="shared" si="26"/>
        <v>20587325</v>
      </c>
      <c r="I66" s="81">
        <f t="shared" si="26"/>
        <v>5815518.9593706578</v>
      </c>
      <c r="J66" s="81">
        <f t="shared" si="26"/>
        <v>5804213.8906860128</v>
      </c>
      <c r="K66" s="81">
        <f t="shared" si="26"/>
        <v>6951909.5013054833</v>
      </c>
      <c r="L66" s="81">
        <f t="shared" si="26"/>
        <v>6951909.5013054833</v>
      </c>
      <c r="M66" s="81">
        <f t="shared" si="26"/>
        <v>9717573.5013054833</v>
      </c>
      <c r="N66" s="82">
        <f t="shared" si="26"/>
        <v>21664101.501305491</v>
      </c>
      <c r="O66" s="82">
        <f t="shared" si="26"/>
        <v>6809008.3550913855</v>
      </c>
      <c r="P66" s="67" t="s">
        <v>194</v>
      </c>
    </row>
    <row r="67" spans="1:16" s="348" customFormat="1" ht="13">
      <c r="A67" s="348" t="s">
        <v>743</v>
      </c>
      <c r="B67" s="373">
        <f>B66*10^5/10^9</f>
        <v>0.25645530329942701</v>
      </c>
      <c r="C67" s="373">
        <f t="shared" ref="C67:O67" si="27">C66*10^5/10^9</f>
        <v>440.25645530329945</v>
      </c>
      <c r="D67" s="373">
        <f t="shared" si="27"/>
        <v>0</v>
      </c>
      <c r="E67" s="373">
        <f t="shared" si="27"/>
        <v>150.61089999999999</v>
      </c>
      <c r="F67" s="373">
        <f t="shared" si="27"/>
        <v>150.61089999999999</v>
      </c>
      <c r="G67" s="373">
        <f t="shared" si="27"/>
        <v>604.74810000000002</v>
      </c>
      <c r="H67" s="373">
        <f t="shared" si="27"/>
        <v>2058.7325000000001</v>
      </c>
      <c r="I67" s="373">
        <f t="shared" si="27"/>
        <v>581.55189593706575</v>
      </c>
      <c r="J67" s="373">
        <f t="shared" si="27"/>
        <v>580.42138906860134</v>
      </c>
      <c r="K67" s="373">
        <f t="shared" si="27"/>
        <v>695.19095013054834</v>
      </c>
      <c r="L67" s="373">
        <f t="shared" si="27"/>
        <v>695.19095013054834</v>
      </c>
      <c r="M67" s="373">
        <f t="shared" si="27"/>
        <v>971.75735013054839</v>
      </c>
      <c r="N67" s="373">
        <f t="shared" si="27"/>
        <v>2166.410150130549</v>
      </c>
      <c r="O67" s="373">
        <f t="shared" si="27"/>
        <v>680.90083550913857</v>
      </c>
      <c r="P67" s="359"/>
    </row>
    <row r="68" spans="1:16" s="48" customFormat="1" ht="14.5">
      <c r="A68" s="48" t="s">
        <v>246</v>
      </c>
      <c r="B68" s="117">
        <f>B65/$B$65</f>
        <v>1</v>
      </c>
      <c r="C68" s="117">
        <f t="shared" ref="C68:O68" si="28">C65/$B$65</f>
        <v>1.0881545975056897</v>
      </c>
      <c r="D68" s="117">
        <f t="shared" si="28"/>
        <v>0.99994861883172603</v>
      </c>
      <c r="E68" s="117">
        <f t="shared" si="28"/>
        <v>1.0301237171714297</v>
      </c>
      <c r="F68" s="117">
        <f t="shared" si="28"/>
        <v>1.0301237171714297</v>
      </c>
      <c r="G68" s="117">
        <f t="shared" si="28"/>
        <v>1.1211107218949772</v>
      </c>
      <c r="H68" s="117">
        <f t="shared" si="28"/>
        <v>1.4124184708985037</v>
      </c>
      <c r="I68" s="117">
        <f t="shared" si="28"/>
        <v>1.1164633309112777</v>
      </c>
      <c r="J68" s="117">
        <f t="shared" si="28"/>
        <v>1.1162368323249894</v>
      </c>
      <c r="K68" s="117">
        <f t="shared" si="28"/>
        <v>1.1392310697370815</v>
      </c>
      <c r="L68" s="117">
        <f t="shared" si="28"/>
        <v>1.1392310697370815</v>
      </c>
      <c r="M68" s="117">
        <f t="shared" si="28"/>
        <v>1.1946415235452579</v>
      </c>
      <c r="N68" s="117">
        <f t="shared" si="28"/>
        <v>1.4339918343249061</v>
      </c>
      <c r="O68" s="117">
        <f t="shared" si="28"/>
        <v>1.1363680258671713</v>
      </c>
      <c r="P68" s="116"/>
    </row>
    <row r="70" spans="1:16">
      <c r="A70" s="48" t="s">
        <v>220</v>
      </c>
    </row>
    <row r="71" spans="1:16">
      <c r="A71" s="5" t="s">
        <v>223</v>
      </c>
      <c r="B71" s="101">
        <f>B65/1000</f>
        <v>49912.314553032993</v>
      </c>
      <c r="C71" s="101">
        <f t="shared" ref="C71:N72" si="29">C65/1000</f>
        <v>54312.314553032993</v>
      </c>
      <c r="D71" s="101">
        <f t="shared" si="29"/>
        <v>49909.75</v>
      </c>
      <c r="E71" s="101">
        <f t="shared" si="29"/>
        <v>51415.858999999997</v>
      </c>
      <c r="F71" s="101">
        <f t="shared" si="29"/>
        <v>51415.858999999997</v>
      </c>
      <c r="G71" s="101">
        <f t="shared" si="29"/>
        <v>55957.231</v>
      </c>
      <c r="H71" s="101">
        <f t="shared" si="29"/>
        <v>70497.074999999997</v>
      </c>
      <c r="I71" s="101">
        <f t="shared" si="29"/>
        <v>55725.26895937066</v>
      </c>
      <c r="J71" s="101">
        <f t="shared" si="29"/>
        <v>55713.963890686013</v>
      </c>
      <c r="K71" s="101">
        <f t="shared" si="29"/>
        <v>56861.659501305483</v>
      </c>
      <c r="L71" s="101">
        <f t="shared" si="29"/>
        <v>56861.659501305483</v>
      </c>
      <c r="M71" s="101">
        <f t="shared" si="29"/>
        <v>59627.32350130548</v>
      </c>
      <c r="N71" s="101">
        <f t="shared" si="29"/>
        <v>71573.851501305486</v>
      </c>
      <c r="O71" s="101"/>
      <c r="P71" s="5">
        <f>N65/11000</f>
        <v>6506.7137728459538</v>
      </c>
    </row>
    <row r="72" spans="1:16">
      <c r="A72" s="5" t="s">
        <v>222</v>
      </c>
      <c r="B72" s="101">
        <f>B66/1000</f>
        <v>2.5645530329942705</v>
      </c>
      <c r="C72" s="101">
        <f t="shared" si="29"/>
        <v>4402.5645530329939</v>
      </c>
      <c r="D72" s="101">
        <f t="shared" si="29"/>
        <v>0</v>
      </c>
      <c r="E72" s="101">
        <f t="shared" si="29"/>
        <v>1506.1089999999999</v>
      </c>
      <c r="F72" s="101">
        <f t="shared" si="29"/>
        <v>1506.1089999999999</v>
      </c>
      <c r="G72" s="101">
        <f t="shared" si="29"/>
        <v>6047.4809999999998</v>
      </c>
      <c r="H72" s="101">
        <f t="shared" si="29"/>
        <v>20587.325000000001</v>
      </c>
      <c r="I72" s="101">
        <f t="shared" si="29"/>
        <v>5815.5189593706582</v>
      </c>
      <c r="J72" s="101">
        <f t="shared" si="29"/>
        <v>5804.2138906860127</v>
      </c>
      <c r="K72" s="101">
        <f t="shared" si="29"/>
        <v>6951.909501305483</v>
      </c>
      <c r="L72" s="101">
        <f t="shared" si="29"/>
        <v>6951.909501305483</v>
      </c>
      <c r="M72" s="101">
        <f t="shared" si="29"/>
        <v>9717.5735013054837</v>
      </c>
      <c r="N72" s="101">
        <f t="shared" si="29"/>
        <v>21664.101501305489</v>
      </c>
      <c r="O72" s="101"/>
    </row>
    <row r="73" spans="1:16">
      <c r="A73" s="5" t="s">
        <v>224</v>
      </c>
      <c r="B73" s="5">
        <f t="shared" ref="B73:N73" si="30">SUM(B49:B50)/B23</f>
        <v>350</v>
      </c>
      <c r="C73" s="5">
        <f t="shared" si="30"/>
        <v>350</v>
      </c>
      <c r="D73" s="5">
        <f t="shared" si="30"/>
        <v>350</v>
      </c>
      <c r="E73" s="5">
        <f t="shared" si="30"/>
        <v>370</v>
      </c>
      <c r="F73" s="5">
        <f t="shared" si="30"/>
        <v>370</v>
      </c>
      <c r="G73" s="5">
        <f t="shared" si="30"/>
        <v>500</v>
      </c>
      <c r="H73" s="5">
        <f t="shared" si="30"/>
        <v>600</v>
      </c>
      <c r="I73" s="5">
        <f t="shared" si="30"/>
        <v>889.58877284595303</v>
      </c>
      <c r="J73" s="5">
        <f t="shared" si="30"/>
        <v>889.58877284595303</v>
      </c>
      <c r="K73" s="5">
        <f t="shared" si="30"/>
        <v>889.58877284595303</v>
      </c>
      <c r="L73" s="5">
        <f t="shared" si="30"/>
        <v>889.58877284595303</v>
      </c>
      <c r="M73" s="5">
        <f t="shared" si="30"/>
        <v>889.58877284595303</v>
      </c>
      <c r="N73" s="5">
        <f t="shared" si="30"/>
        <v>889.58877284595303</v>
      </c>
    </row>
    <row r="74" spans="1:16">
      <c r="A74" s="5" t="s">
        <v>225</v>
      </c>
      <c r="B74" s="101">
        <f>B59</f>
        <v>1143539.5530329903</v>
      </c>
      <c r="C74" s="101">
        <f t="shared" ref="C74:N74" si="31">C59</f>
        <v>1143539.5530329903</v>
      </c>
      <c r="D74" s="101">
        <f t="shared" si="31"/>
        <v>1140975</v>
      </c>
      <c r="E74" s="101">
        <f t="shared" si="31"/>
        <v>2427083.9999999995</v>
      </c>
      <c r="F74" s="101">
        <f t="shared" si="31"/>
        <v>2427083.9999999995</v>
      </c>
      <c r="G74" s="101">
        <f t="shared" si="31"/>
        <v>5538455.9999999991</v>
      </c>
      <c r="H74" s="101">
        <f t="shared" si="31"/>
        <v>18978300.000000004</v>
      </c>
      <c r="I74" s="101">
        <f t="shared" si="31"/>
        <v>1021017.4580651699</v>
      </c>
      <c r="J74" s="101">
        <f t="shared" si="31"/>
        <v>1009712.389380531</v>
      </c>
      <c r="K74" s="101">
        <f t="shared" si="31"/>
        <v>2157408</v>
      </c>
      <c r="L74" s="101">
        <f t="shared" si="31"/>
        <v>2157408</v>
      </c>
      <c r="M74" s="101">
        <f t="shared" si="31"/>
        <v>4923072</v>
      </c>
      <c r="N74" s="101">
        <f t="shared" si="31"/>
        <v>16869600.000000004</v>
      </c>
      <c r="O74" s="101"/>
    </row>
    <row r="75" spans="1:16">
      <c r="A75" s="5" t="s">
        <v>71</v>
      </c>
      <c r="B75" s="101">
        <f t="shared" ref="B75:N75" si="32">B59/B23</f>
        <v>103.95814118481731</v>
      </c>
      <c r="C75" s="101">
        <f t="shared" si="32"/>
        <v>103.95814118481731</v>
      </c>
      <c r="D75" s="101">
        <f t="shared" si="32"/>
        <v>103.72499999999999</v>
      </c>
      <c r="E75" s="101">
        <f t="shared" si="32"/>
        <v>220.64399999999995</v>
      </c>
      <c r="F75" s="101">
        <f t="shared" si="32"/>
        <v>220.64399999999995</v>
      </c>
      <c r="G75" s="101">
        <f t="shared" si="32"/>
        <v>503.49599999999992</v>
      </c>
      <c r="H75" s="101">
        <f t="shared" si="32"/>
        <v>1725.3000000000004</v>
      </c>
      <c r="I75" s="101">
        <f t="shared" si="32"/>
        <v>92.819768915015445</v>
      </c>
      <c r="J75" s="101">
        <f t="shared" si="32"/>
        <v>91.792035398230098</v>
      </c>
      <c r="K75" s="101">
        <f t="shared" si="32"/>
        <v>196.12799999999999</v>
      </c>
      <c r="L75" s="101">
        <f t="shared" si="32"/>
        <v>196.12799999999999</v>
      </c>
      <c r="M75" s="101">
        <f t="shared" si="32"/>
        <v>447.55200000000002</v>
      </c>
      <c r="N75" s="101">
        <f t="shared" si="32"/>
        <v>1533.6000000000004</v>
      </c>
    </row>
    <row r="76" spans="1:16">
      <c r="A76" s="5" t="s">
        <v>247</v>
      </c>
      <c r="O76" s="101"/>
    </row>
    <row r="77" spans="1:16" ht="14.5">
      <c r="C77" s="101">
        <f>C66/C23</f>
        <v>400.23314118481767</v>
      </c>
      <c r="D77" s="101">
        <f t="shared" ref="D77:M77" si="33">D66/D23</f>
        <v>0</v>
      </c>
      <c r="E77" s="101">
        <f t="shared" si="33"/>
        <v>136.91900000000001</v>
      </c>
      <c r="F77" s="101">
        <f t="shared" si="33"/>
        <v>136.91900000000001</v>
      </c>
      <c r="G77" s="101">
        <f t="shared" si="33"/>
        <v>549.77099999999996</v>
      </c>
      <c r="H77" s="101">
        <f t="shared" si="33"/>
        <v>1871.575</v>
      </c>
      <c r="I77" s="101">
        <f t="shared" si="33"/>
        <v>528.68354176096886</v>
      </c>
      <c r="J77" s="101">
        <f t="shared" si="33"/>
        <v>527.65580824418294</v>
      </c>
      <c r="K77" s="101">
        <f t="shared" si="33"/>
        <v>631.99177284595305</v>
      </c>
      <c r="L77" s="101">
        <f t="shared" si="33"/>
        <v>631.99177284595305</v>
      </c>
      <c r="M77" s="101">
        <f t="shared" si="33"/>
        <v>883.41577284595303</v>
      </c>
      <c r="N77" s="101">
        <f>N66/N23</f>
        <v>1969.4637728459536</v>
      </c>
      <c r="O77"/>
    </row>
    <row r="78" spans="1:16">
      <c r="O78" s="101"/>
    </row>
    <row r="79" spans="1:16">
      <c r="A79" s="5" t="s">
        <v>544</v>
      </c>
      <c r="C79" s="101">
        <f>ROUND(C65/'Base data for vehicles'!$G$5,-2)</f>
        <v>4900</v>
      </c>
      <c r="D79" s="101">
        <f>ROUND(D65/'Base data for vehicles'!$G$5,-2)</f>
        <v>4500</v>
      </c>
      <c r="E79" s="101">
        <f>ROUND(E65/'Base data for vehicles'!$G$5,-2)</f>
        <v>4700</v>
      </c>
      <c r="F79" s="101">
        <f>ROUND(F65/'Base data for vehicles'!$G$5,-2)</f>
        <v>4700</v>
      </c>
      <c r="G79" s="101">
        <f>ROUND(G65/'Base data for vehicles'!$G$5,-2)</f>
        <v>5100</v>
      </c>
      <c r="H79" s="101">
        <f>ROUND(H65/'Base data for vehicles'!$G$5,-2)</f>
        <v>6400</v>
      </c>
      <c r="I79" s="101">
        <f>ROUND(I65/'Base data for vehicles'!$G$5,-2)</f>
        <v>5100</v>
      </c>
      <c r="J79" s="101">
        <f>ROUND(J65/'Base data for vehicles'!$G$5,-2)</f>
        <v>5100</v>
      </c>
      <c r="K79" s="101">
        <f>ROUND(K65/'Base data for vehicles'!$G$5,-2)</f>
        <v>5200</v>
      </c>
      <c r="L79" s="101">
        <f>ROUND(L65/'Base data for vehicles'!$G$5,-2)</f>
        <v>5200</v>
      </c>
      <c r="M79" s="101">
        <f>ROUND(M65/'Base data for vehicles'!$G$5,-2)</f>
        <v>5400</v>
      </c>
      <c r="N79" s="101">
        <f>ROUND(N65/'Base data for vehicles'!$G$5,-2)</f>
        <v>6500</v>
      </c>
    </row>
    <row r="81" spans="1:16">
      <c r="A81" s="48" t="s">
        <v>287</v>
      </c>
    </row>
    <row r="82" spans="1:16" ht="12">
      <c r="A82" s="124" t="s">
        <v>288</v>
      </c>
      <c r="B82" s="125"/>
      <c r="C82" s="126"/>
      <c r="D82" s="126"/>
      <c r="E82" s="126"/>
      <c r="F82" s="126"/>
      <c r="G82" s="126"/>
      <c r="H82" s="127"/>
      <c r="I82" s="125"/>
      <c r="J82" s="126"/>
      <c r="K82" s="126"/>
      <c r="L82" s="126"/>
      <c r="M82" s="126"/>
      <c r="N82" s="127"/>
      <c r="O82" s="50"/>
      <c r="P82" s="67"/>
    </row>
    <row r="83" spans="1:16" ht="12.5">
      <c r="A83" s="10" t="s">
        <v>269</v>
      </c>
      <c r="B83" s="128">
        <f>B23/('Base data for vehicles'!$J$18/1000)</f>
        <v>122222.22222222223</v>
      </c>
      <c r="C83" s="129">
        <f>C23/('Base data for vehicles'!$J$18/1000)</f>
        <v>122222.22222222223</v>
      </c>
      <c r="D83" s="129">
        <f>D23/('Base data for vehicles'!$J$18/1000)</f>
        <v>122222.22222222223</v>
      </c>
      <c r="E83" s="129">
        <f>E23/('Base data for vehicles'!$J$18/1000)</f>
        <v>122222.22222222223</v>
      </c>
      <c r="F83" s="129">
        <f>F23/('Base data for vehicles'!$J$18/1000)</f>
        <v>122222.22222222223</v>
      </c>
      <c r="G83" s="129">
        <f>G23/('Base data for vehicles'!$J$18/1000)</f>
        <v>122222.22222222223</v>
      </c>
      <c r="H83" s="130">
        <f>H23/('Base data for vehicles'!$J$18/1000)</f>
        <v>122222.22222222223</v>
      </c>
      <c r="I83" s="128">
        <f>I23/('Base data for vehicles'!$J$61/1000)</f>
        <v>733333.33333333337</v>
      </c>
      <c r="J83" s="129">
        <f>J23/('Base data for vehicles'!$J$61/1000)</f>
        <v>733333.33333333337</v>
      </c>
      <c r="K83" s="129">
        <f>K23/('Base data for vehicles'!$J$61/1000)</f>
        <v>733333.33333333337</v>
      </c>
      <c r="L83" s="129">
        <f>L23/('Base data for vehicles'!$J$61/1000)</f>
        <v>733333.33333333337</v>
      </c>
      <c r="M83" s="129">
        <f>M23/('Base data for vehicles'!$J$61/1000)</f>
        <v>733333.33333333337</v>
      </c>
      <c r="N83" s="130">
        <f>N23/('Base data for vehicles'!$J$61/1000)</f>
        <v>733333.33333333337</v>
      </c>
      <c r="O83" s="129"/>
      <c r="P83" s="68">
        <f>I83/H83</f>
        <v>6</v>
      </c>
    </row>
    <row r="84" spans="1:16" ht="12.5">
      <c r="A84" s="10" t="s">
        <v>270</v>
      </c>
      <c r="B84" s="128">
        <f>B23/'Base data for vehicles'!$J$19</f>
        <v>137.5</v>
      </c>
      <c r="C84" s="129">
        <f>C23/'Base data for vehicles'!$J$19</f>
        <v>137.5</v>
      </c>
      <c r="D84" s="129">
        <f>D23/'Base data for vehicles'!$J$19</f>
        <v>137.5</v>
      </c>
      <c r="E84" s="129">
        <f>E23/'Base data for vehicles'!$J$19</f>
        <v>137.5</v>
      </c>
      <c r="F84" s="129">
        <f>F23/'Base data for vehicles'!$J$19</f>
        <v>137.5</v>
      </c>
      <c r="G84" s="129">
        <f>G23/'Base data for vehicles'!$J$19</f>
        <v>137.5</v>
      </c>
      <c r="H84" s="130">
        <f>H23/'Base data for vehicles'!$J$19</f>
        <v>137.5</v>
      </c>
      <c r="I84" s="128">
        <f>I23/'Base data for vehicles'!$J$62</f>
        <v>3666.6666666666665</v>
      </c>
      <c r="J84" s="129">
        <f>J23/'Base data for vehicles'!$J$62</f>
        <v>3666.6666666666665</v>
      </c>
      <c r="K84" s="129">
        <f>K23/'Base data for vehicles'!$J$62</f>
        <v>3666.6666666666665</v>
      </c>
      <c r="L84" s="129">
        <f>L23/'Base data for vehicles'!$J$62</f>
        <v>3666.6666666666665</v>
      </c>
      <c r="M84" s="129">
        <f>M23/'Base data for vehicles'!$J$62</f>
        <v>3666.6666666666665</v>
      </c>
      <c r="N84" s="130">
        <f>N23/'Base data for vehicles'!$J$62</f>
        <v>3666.6666666666665</v>
      </c>
      <c r="O84" s="129"/>
      <c r="P84" s="134">
        <f>I84/H84</f>
        <v>26.666666666666664</v>
      </c>
    </row>
    <row r="85" spans="1:16" ht="12">
      <c r="A85" s="124" t="s">
        <v>289</v>
      </c>
      <c r="B85" s="49"/>
      <c r="C85" s="50"/>
      <c r="D85" s="50"/>
      <c r="E85" s="50"/>
      <c r="F85" s="50"/>
      <c r="G85" s="50"/>
      <c r="H85" s="51"/>
      <c r="I85" s="49"/>
      <c r="J85" s="50"/>
      <c r="K85" s="50"/>
      <c r="L85" s="50"/>
      <c r="M85" s="50"/>
      <c r="N85" s="51"/>
      <c r="O85" s="50"/>
      <c r="P85" s="67"/>
    </row>
    <row r="86" spans="1:16" ht="12.5">
      <c r="A86" s="10" t="s">
        <v>269</v>
      </c>
      <c r="B86" s="128">
        <f>B17*'Unit conversion'!$B$6*1000</f>
        <v>1804434.1148578119</v>
      </c>
      <c r="C86" s="129">
        <f>C17*'Unit conversion'!$B$6*1000</f>
        <v>1804434.1148578119</v>
      </c>
      <c r="D86" s="129">
        <f>D17*'Unit conversion'!$C$6*1000</f>
        <v>1648391.1471321697</v>
      </c>
      <c r="E86" s="129">
        <f>E17*'Unit conversion'!$E$6*1000</f>
        <v>3557011.3743016757</v>
      </c>
      <c r="F86" s="129">
        <f>F17*'Unit conversion'!$F$6*1000</f>
        <v>3557011.3743016757</v>
      </c>
      <c r="G86" s="129">
        <f>G17*'Unit conversion'!$G$6*1000</f>
        <v>1427677.9040590401</v>
      </c>
      <c r="H86" s="130">
        <f>H17*'Unit conversion'!$H$6*1000</f>
        <v>594000</v>
      </c>
      <c r="I86" s="129">
        <f>I17*'Unit conversion'!$B$6*1000</f>
        <v>1611101.8882659033</v>
      </c>
      <c r="J86" s="129">
        <f>J17*'Unit conversion'!$C$6*1000</f>
        <v>1458753.2275505925</v>
      </c>
      <c r="K86" s="129">
        <f>K17*'Unit conversion'!$E$6*1000</f>
        <v>3161787.8882681569</v>
      </c>
      <c r="L86" s="129">
        <f>L17*'Unit conversion'!$F$6*1000</f>
        <v>3161787.8882681569</v>
      </c>
      <c r="M86" s="129">
        <f>M17*'Unit conversion'!$G$6*1000</f>
        <v>1269047.0258302584</v>
      </c>
      <c r="N86" s="130">
        <f>N17*'Unit conversion'!$H$6*1000</f>
        <v>528000.00000000012</v>
      </c>
      <c r="O86" s="129"/>
      <c r="P86" s="67"/>
    </row>
    <row r="87" spans="1:16" ht="12.5">
      <c r="A87" s="10" t="s">
        <v>270</v>
      </c>
      <c r="B87" s="128">
        <f t="shared" ref="B87:N87" si="34">B17</f>
        <v>1828.2007242733657</v>
      </c>
      <c r="C87" s="129">
        <f t="shared" si="34"/>
        <v>1828.2007242733657</v>
      </c>
      <c r="D87" s="129">
        <f t="shared" si="34"/>
        <v>1896.8827930174564</v>
      </c>
      <c r="E87" s="129">
        <f t="shared" si="34"/>
        <v>4519.7094972067034</v>
      </c>
      <c r="F87" s="129">
        <f t="shared" si="34"/>
        <v>4519.7094972067034</v>
      </c>
      <c r="G87" s="129">
        <f t="shared" si="34"/>
        <v>2919.5867158671581</v>
      </c>
      <c r="H87" s="130">
        <f t="shared" si="34"/>
        <v>8366.1971830985931</v>
      </c>
      <c r="I87" s="128">
        <f t="shared" si="34"/>
        <v>1632.3220752440764</v>
      </c>
      <c r="J87" s="129">
        <f t="shared" si="34"/>
        <v>1678.6573389535013</v>
      </c>
      <c r="K87" s="129">
        <f t="shared" si="34"/>
        <v>4017.5195530726264</v>
      </c>
      <c r="L87" s="129">
        <f t="shared" si="34"/>
        <v>4017.5195530726264</v>
      </c>
      <c r="M87" s="129">
        <f t="shared" si="34"/>
        <v>2595.188191881919</v>
      </c>
      <c r="N87" s="130">
        <f t="shared" si="34"/>
        <v>7436.6197183098611</v>
      </c>
      <c r="O87" s="129"/>
      <c r="P87" s="67"/>
    </row>
    <row r="88" spans="1:16" ht="12">
      <c r="A88" s="124" t="s">
        <v>292</v>
      </c>
      <c r="B88" s="49"/>
      <c r="C88" s="50"/>
      <c r="D88" s="50"/>
      <c r="E88" s="50"/>
      <c r="F88" s="50"/>
      <c r="G88" s="50"/>
      <c r="H88" s="51"/>
      <c r="I88" s="49"/>
      <c r="J88" s="50"/>
      <c r="K88" s="50"/>
      <c r="L88" s="50"/>
      <c r="M88" s="50"/>
      <c r="N88" s="51"/>
      <c r="O88" s="50"/>
      <c r="P88" s="67"/>
    </row>
    <row r="89" spans="1:16" ht="12.5">
      <c r="A89" s="10" t="s">
        <v>290</v>
      </c>
      <c r="B89" s="128">
        <f>B87*0.02*'Unit conversion'!$B$16</f>
        <v>292512.11588373856</v>
      </c>
      <c r="C89" s="129">
        <f>C87*0.02*'Unit conversion'!$B$16</f>
        <v>292512.11588373856</v>
      </c>
      <c r="D89" s="129">
        <f>D87*0.02*'Unit conversion'!$B$16</f>
        <v>303501.24688279303</v>
      </c>
      <c r="E89" s="129">
        <f>E87*0.02*'Unit conversion'!$B$16</f>
        <v>723153.51955307252</v>
      </c>
      <c r="F89" s="129">
        <f>F87*0.02*'Unit conversion'!$B$16</f>
        <v>723153.51955307252</v>
      </c>
      <c r="G89" s="129">
        <f>G87*0.02*2*'Unit conversion'!$B$16</f>
        <v>934267.74907749065</v>
      </c>
      <c r="H89" s="130">
        <f>H87*0.02*'Unit conversion'!$B$16*2</f>
        <v>2677183.0985915498</v>
      </c>
      <c r="I89" s="128">
        <f>I87*0.02*'Unit conversion'!$B$16</f>
        <v>261171.53203905222</v>
      </c>
      <c r="J89" s="129">
        <f>J87*0.02*'Unit conversion'!$B$16</f>
        <v>268585.17423256021</v>
      </c>
      <c r="K89" s="129">
        <f>K87*0.02*'Unit conversion'!$B$16</f>
        <v>642803.12849162018</v>
      </c>
      <c r="L89" s="129">
        <f>L87*0.02*'Unit conversion'!$B$16</f>
        <v>642803.12849162018</v>
      </c>
      <c r="M89" s="129">
        <f>M87*0.02*'Unit conversion'!$B$16*2</f>
        <v>830460.22140221403</v>
      </c>
      <c r="N89" s="130">
        <f>N87*0.02*'Unit conversion'!$B$16*2</f>
        <v>2379718.3098591552</v>
      </c>
      <c r="O89" s="129"/>
      <c r="P89" s="68" t="s">
        <v>298</v>
      </c>
    </row>
    <row r="90" spans="1:16" ht="12.5">
      <c r="A90" s="10" t="s">
        <v>291</v>
      </c>
      <c r="B90" s="131">
        <f>B87*0.02</f>
        <v>36.564014485467318</v>
      </c>
      <c r="C90" s="132">
        <f t="shared" ref="C90:L90" si="35">C87*0.02</f>
        <v>36.564014485467318</v>
      </c>
      <c r="D90" s="132">
        <f t="shared" si="35"/>
        <v>37.937655860349132</v>
      </c>
      <c r="E90" s="132">
        <f t="shared" si="35"/>
        <v>90.394189944134069</v>
      </c>
      <c r="F90" s="132">
        <f t="shared" si="35"/>
        <v>90.394189944134069</v>
      </c>
      <c r="G90" s="132">
        <f>G87*0.02*2</f>
        <v>116.78346863468633</v>
      </c>
      <c r="H90" s="133">
        <f>H87*0.02*2</f>
        <v>334.64788732394373</v>
      </c>
      <c r="I90" s="131">
        <f t="shared" si="35"/>
        <v>32.64644150488153</v>
      </c>
      <c r="J90" s="132">
        <f t="shared" si="35"/>
        <v>33.573146779070029</v>
      </c>
      <c r="K90" s="132">
        <f t="shared" si="35"/>
        <v>80.350391061452527</v>
      </c>
      <c r="L90" s="132">
        <f t="shared" si="35"/>
        <v>80.350391061452527</v>
      </c>
      <c r="M90" s="132">
        <f>M87*0.02*2</f>
        <v>103.80752767527676</v>
      </c>
      <c r="N90" s="133">
        <f>N87*0.02*2</f>
        <v>297.46478873239442</v>
      </c>
      <c r="O90" s="129"/>
      <c r="P90" s="68" t="s">
        <v>298</v>
      </c>
    </row>
    <row r="92" spans="1:16" ht="26">
      <c r="A92" s="5" t="s">
        <v>294</v>
      </c>
      <c r="B92" s="2" t="s">
        <v>0</v>
      </c>
      <c r="C92" s="3" t="s">
        <v>60</v>
      </c>
      <c r="D92" s="3" t="s">
        <v>61</v>
      </c>
      <c r="E92" s="3" t="s">
        <v>1</v>
      </c>
      <c r="F92" s="3" t="s">
        <v>2</v>
      </c>
      <c r="G92" s="3" t="s">
        <v>3</v>
      </c>
      <c r="H92" s="4" t="s">
        <v>4</v>
      </c>
      <c r="I92" s="2" t="s">
        <v>5</v>
      </c>
      <c r="J92" s="3" t="s">
        <v>62</v>
      </c>
      <c r="K92" s="3" t="s">
        <v>6</v>
      </c>
      <c r="L92" s="3" t="s">
        <v>188</v>
      </c>
      <c r="M92" s="3" t="s">
        <v>7</v>
      </c>
      <c r="N92" s="4" t="s">
        <v>8</v>
      </c>
      <c r="O92" s="103"/>
    </row>
    <row r="93" spans="1:16">
      <c r="A93" s="5" t="s">
        <v>295</v>
      </c>
      <c r="B93" s="101">
        <f>B83</f>
        <v>122222.22222222223</v>
      </c>
      <c r="C93" s="101">
        <f t="shared" ref="C93:N93" si="36">C83</f>
        <v>122222.22222222223</v>
      </c>
      <c r="D93" s="101">
        <f t="shared" si="36"/>
        <v>122222.22222222223</v>
      </c>
      <c r="E93" s="101">
        <f t="shared" si="36"/>
        <v>122222.22222222223</v>
      </c>
      <c r="F93" s="101">
        <f t="shared" si="36"/>
        <v>122222.22222222223</v>
      </c>
      <c r="G93" s="101">
        <f t="shared" si="36"/>
        <v>122222.22222222223</v>
      </c>
      <c r="H93" s="101">
        <f t="shared" si="36"/>
        <v>122222.22222222223</v>
      </c>
      <c r="I93" s="101">
        <f t="shared" si="36"/>
        <v>733333.33333333337</v>
      </c>
      <c r="J93" s="101">
        <f t="shared" si="36"/>
        <v>733333.33333333337</v>
      </c>
      <c r="K93" s="101">
        <f t="shared" si="36"/>
        <v>733333.33333333337</v>
      </c>
      <c r="L93" s="101">
        <f t="shared" si="36"/>
        <v>733333.33333333337</v>
      </c>
      <c r="M93" s="101">
        <f t="shared" si="36"/>
        <v>733333.33333333337</v>
      </c>
      <c r="N93" s="101">
        <f t="shared" si="36"/>
        <v>733333.33333333337</v>
      </c>
      <c r="O93" s="101"/>
    </row>
    <row r="94" spans="1:16">
      <c r="A94" s="5" t="s">
        <v>286</v>
      </c>
      <c r="B94" s="101">
        <f>B86</f>
        <v>1804434.1148578119</v>
      </c>
      <c r="C94" s="101">
        <f t="shared" ref="C94:L94" si="37">C86</f>
        <v>1804434.1148578119</v>
      </c>
      <c r="D94" s="101">
        <f t="shared" si="37"/>
        <v>1648391.1471321697</v>
      </c>
      <c r="E94" s="101">
        <f t="shared" si="37"/>
        <v>3557011.3743016757</v>
      </c>
      <c r="F94" s="101">
        <f t="shared" si="37"/>
        <v>3557011.3743016757</v>
      </c>
      <c r="G94" s="101">
        <f t="shared" si="37"/>
        <v>1427677.9040590401</v>
      </c>
      <c r="H94" s="101">
        <f t="shared" si="37"/>
        <v>594000</v>
      </c>
      <c r="I94" s="101">
        <f t="shared" si="37"/>
        <v>1611101.8882659033</v>
      </c>
      <c r="J94" s="101">
        <f t="shared" si="37"/>
        <v>1458753.2275505925</v>
      </c>
      <c r="K94" s="101">
        <f t="shared" si="37"/>
        <v>3161787.8882681569</v>
      </c>
      <c r="L94" s="101">
        <f t="shared" si="37"/>
        <v>3161787.8882681569</v>
      </c>
      <c r="M94" s="101">
        <f>M86</f>
        <v>1269047.0258302584</v>
      </c>
      <c r="N94" s="101">
        <f>N86</f>
        <v>528000.00000000012</v>
      </c>
      <c r="O94" s="101"/>
    </row>
    <row r="95" spans="1:16">
      <c r="A95" s="5" t="s">
        <v>296</v>
      </c>
      <c r="B95" s="101">
        <f>B89</f>
        <v>292512.11588373856</v>
      </c>
      <c r="C95" s="101">
        <f t="shared" ref="C95:N95" si="38">C89</f>
        <v>292512.11588373856</v>
      </c>
      <c r="D95" s="101">
        <f t="shared" si="38"/>
        <v>303501.24688279303</v>
      </c>
      <c r="E95" s="101">
        <f t="shared" si="38"/>
        <v>723153.51955307252</v>
      </c>
      <c r="F95" s="101">
        <f t="shared" si="38"/>
        <v>723153.51955307252</v>
      </c>
      <c r="G95" s="101">
        <f t="shared" si="38"/>
        <v>934267.74907749065</v>
      </c>
      <c r="H95" s="101">
        <f t="shared" si="38"/>
        <v>2677183.0985915498</v>
      </c>
      <c r="I95" s="101">
        <f t="shared" si="38"/>
        <v>261171.53203905222</v>
      </c>
      <c r="J95" s="101">
        <f t="shared" si="38"/>
        <v>268585.17423256021</v>
      </c>
      <c r="K95" s="101">
        <f t="shared" si="38"/>
        <v>642803.12849162018</v>
      </c>
      <c r="L95" s="101">
        <f t="shared" si="38"/>
        <v>642803.12849162018</v>
      </c>
      <c r="M95" s="101">
        <f t="shared" si="38"/>
        <v>830460.22140221403</v>
      </c>
      <c r="N95" s="101">
        <f t="shared" si="38"/>
        <v>2379718.3098591552</v>
      </c>
      <c r="O95" s="101"/>
    </row>
    <row r="96" spans="1:16">
      <c r="A96" s="5" t="s">
        <v>300</v>
      </c>
      <c r="B96" s="101">
        <f>SUM(B93:B95)</f>
        <v>2219168.4529637727</v>
      </c>
      <c r="C96" s="101">
        <f t="shared" ref="C96:N96" si="39">SUM(C93:C95)</f>
        <v>2219168.4529637727</v>
      </c>
      <c r="D96" s="101">
        <f t="shared" si="39"/>
        <v>2074114.616237185</v>
      </c>
      <c r="E96" s="101">
        <f t="shared" si="39"/>
        <v>4402387.1160769705</v>
      </c>
      <c r="F96" s="101">
        <f t="shared" si="39"/>
        <v>4402387.1160769705</v>
      </c>
      <c r="G96" s="101">
        <f t="shared" si="39"/>
        <v>2484167.8753587529</v>
      </c>
      <c r="H96" s="101">
        <f t="shared" si="39"/>
        <v>3393405.3208137723</v>
      </c>
      <c r="I96" s="101">
        <f t="shared" si="39"/>
        <v>2605606.7536382889</v>
      </c>
      <c r="J96" s="101">
        <f t="shared" si="39"/>
        <v>2460671.735116486</v>
      </c>
      <c r="K96" s="101">
        <f t="shared" si="39"/>
        <v>4537924.3500931105</v>
      </c>
      <c r="L96" s="101">
        <f t="shared" si="39"/>
        <v>4537924.3500931105</v>
      </c>
      <c r="M96" s="101">
        <f t="shared" si="39"/>
        <v>2832840.5805658055</v>
      </c>
      <c r="N96" s="101">
        <f t="shared" si="39"/>
        <v>3641051.6431924887</v>
      </c>
      <c r="O96" s="101"/>
    </row>
    <row r="97" spans="1:15">
      <c r="A97" s="5" t="s">
        <v>299</v>
      </c>
      <c r="B97" s="135">
        <f>(B96-$D$96)/$D$96</f>
        <v>6.9935304245500832E-2</v>
      </c>
      <c r="C97" s="135">
        <f t="shared" ref="C97:N97" si="40">(C96-$D$96)/$D$96</f>
        <v>6.9935304245500832E-2</v>
      </c>
      <c r="D97" s="135">
        <f t="shared" si="40"/>
        <v>0</v>
      </c>
      <c r="E97" s="135">
        <f t="shared" si="40"/>
        <v>1.1225380129009883</v>
      </c>
      <c r="F97" s="135">
        <f t="shared" si="40"/>
        <v>1.1225380129009883</v>
      </c>
      <c r="G97" s="135">
        <f t="shared" si="40"/>
        <v>0.19770038546157007</v>
      </c>
      <c r="H97" s="135">
        <f t="shared" si="40"/>
        <v>0.63607415629229624</v>
      </c>
      <c r="I97" s="135">
        <f t="shared" si="40"/>
        <v>0.25625012872496206</v>
      </c>
      <c r="J97" s="135">
        <f t="shared" si="40"/>
        <v>0.18637211070841631</v>
      </c>
      <c r="K97" s="135">
        <f t="shared" si="40"/>
        <v>1.1878850448128644</v>
      </c>
      <c r="L97" s="135">
        <f t="shared" si="40"/>
        <v>1.1878850448128644</v>
      </c>
      <c r="M97" s="135">
        <f t="shared" si="40"/>
        <v>0.36580715375560358</v>
      </c>
      <c r="N97" s="135">
        <f t="shared" si="40"/>
        <v>0.75547272782735986</v>
      </c>
      <c r="O97" s="135"/>
    </row>
    <row r="98" spans="1:15" ht="26">
      <c r="A98" s="5" t="s">
        <v>297</v>
      </c>
      <c r="B98" s="2" t="s">
        <v>0</v>
      </c>
      <c r="C98" s="3" t="s">
        <v>60</v>
      </c>
      <c r="D98" s="3" t="s">
        <v>61</v>
      </c>
      <c r="E98" s="3" t="s">
        <v>1</v>
      </c>
      <c r="F98" s="3" t="s">
        <v>2</v>
      </c>
      <c r="G98" s="3" t="s">
        <v>3</v>
      </c>
      <c r="H98" s="4" t="s">
        <v>4</v>
      </c>
      <c r="I98" s="2" t="s">
        <v>5</v>
      </c>
      <c r="J98" s="3" t="s">
        <v>62</v>
      </c>
      <c r="K98" s="3" t="s">
        <v>6</v>
      </c>
      <c r="L98" s="3" t="s">
        <v>188</v>
      </c>
      <c r="M98" s="3" t="s">
        <v>7</v>
      </c>
      <c r="N98" s="4" t="s">
        <v>8</v>
      </c>
      <c r="O98" s="103"/>
    </row>
    <row r="99" spans="1:15">
      <c r="A99" s="5" t="s">
        <v>295</v>
      </c>
      <c r="B99" s="101">
        <f>B84</f>
        <v>137.5</v>
      </c>
      <c r="C99" s="101">
        <f t="shared" ref="C99:N99" si="41">C84</f>
        <v>137.5</v>
      </c>
      <c r="D99" s="101">
        <f t="shared" si="41"/>
        <v>137.5</v>
      </c>
      <c r="E99" s="101">
        <f t="shared" si="41"/>
        <v>137.5</v>
      </c>
      <c r="F99" s="101">
        <f t="shared" si="41"/>
        <v>137.5</v>
      </c>
      <c r="G99" s="101">
        <f t="shared" si="41"/>
        <v>137.5</v>
      </c>
      <c r="H99" s="101">
        <f t="shared" si="41"/>
        <v>137.5</v>
      </c>
      <c r="I99" s="101">
        <f t="shared" si="41"/>
        <v>3666.6666666666665</v>
      </c>
      <c r="J99" s="101">
        <f t="shared" si="41"/>
        <v>3666.6666666666665</v>
      </c>
      <c r="K99" s="101">
        <f t="shared" si="41"/>
        <v>3666.6666666666665</v>
      </c>
      <c r="L99" s="101">
        <f t="shared" si="41"/>
        <v>3666.6666666666665</v>
      </c>
      <c r="M99" s="101">
        <f t="shared" si="41"/>
        <v>3666.6666666666665</v>
      </c>
      <c r="N99" s="101">
        <f t="shared" si="41"/>
        <v>3666.6666666666665</v>
      </c>
      <c r="O99" s="101"/>
    </row>
    <row r="100" spans="1:15">
      <c r="A100" s="5" t="s">
        <v>286</v>
      </c>
      <c r="B100" s="101">
        <f>B87</f>
        <v>1828.2007242733657</v>
      </c>
      <c r="C100" s="101">
        <f t="shared" ref="C100:N100" si="42">C87</f>
        <v>1828.2007242733657</v>
      </c>
      <c r="D100" s="101">
        <f t="shared" si="42"/>
        <v>1896.8827930174564</v>
      </c>
      <c r="E100" s="101">
        <f t="shared" si="42"/>
        <v>4519.7094972067034</v>
      </c>
      <c r="F100" s="101">
        <f t="shared" si="42"/>
        <v>4519.7094972067034</v>
      </c>
      <c r="G100" s="101">
        <f t="shared" si="42"/>
        <v>2919.5867158671581</v>
      </c>
      <c r="H100" s="101">
        <f t="shared" si="42"/>
        <v>8366.1971830985931</v>
      </c>
      <c r="I100" s="101">
        <f t="shared" si="42"/>
        <v>1632.3220752440764</v>
      </c>
      <c r="J100" s="101">
        <f t="shared" si="42"/>
        <v>1678.6573389535013</v>
      </c>
      <c r="K100" s="101">
        <f t="shared" si="42"/>
        <v>4017.5195530726264</v>
      </c>
      <c r="L100" s="101">
        <f t="shared" si="42"/>
        <v>4017.5195530726264</v>
      </c>
      <c r="M100" s="101">
        <f t="shared" si="42"/>
        <v>2595.188191881919</v>
      </c>
      <c r="N100" s="101">
        <f t="shared" si="42"/>
        <v>7436.6197183098611</v>
      </c>
      <c r="O100" s="101"/>
    </row>
    <row r="101" spans="1:15">
      <c r="A101" s="5" t="s">
        <v>296</v>
      </c>
      <c r="B101" s="101">
        <f>B90</f>
        <v>36.564014485467318</v>
      </c>
      <c r="C101" s="101">
        <f t="shared" ref="C101:N101" si="43">C90</f>
        <v>36.564014485467318</v>
      </c>
      <c r="D101" s="101">
        <f t="shared" si="43"/>
        <v>37.937655860349132</v>
      </c>
      <c r="E101" s="101">
        <f t="shared" si="43"/>
        <v>90.394189944134069</v>
      </c>
      <c r="F101" s="101">
        <f t="shared" si="43"/>
        <v>90.394189944134069</v>
      </c>
      <c r="G101" s="101">
        <f t="shared" si="43"/>
        <v>116.78346863468633</v>
      </c>
      <c r="H101" s="101">
        <f t="shared" si="43"/>
        <v>334.64788732394373</v>
      </c>
      <c r="I101" s="101">
        <f t="shared" si="43"/>
        <v>32.64644150488153</v>
      </c>
      <c r="J101" s="101">
        <f t="shared" si="43"/>
        <v>33.573146779070029</v>
      </c>
      <c r="K101" s="101">
        <f t="shared" si="43"/>
        <v>80.350391061452527</v>
      </c>
      <c r="L101" s="101">
        <f t="shared" si="43"/>
        <v>80.350391061452527</v>
      </c>
      <c r="M101" s="101">
        <f t="shared" si="43"/>
        <v>103.80752767527676</v>
      </c>
      <c r="N101" s="101">
        <f t="shared" si="43"/>
        <v>297.46478873239442</v>
      </c>
      <c r="O101" s="101"/>
    </row>
    <row r="102" spans="1:15">
      <c r="A102" s="5" t="s">
        <v>300</v>
      </c>
      <c r="B102" s="101">
        <f>SUM(B99:B101)</f>
        <v>2002.2647387588331</v>
      </c>
      <c r="C102" s="101">
        <f t="shared" ref="C102:N102" si="44">SUM(C99:C101)</f>
        <v>2002.2647387588331</v>
      </c>
      <c r="D102" s="101">
        <f t="shared" si="44"/>
        <v>2072.3204488778056</v>
      </c>
      <c r="E102" s="101">
        <f t="shared" si="44"/>
        <v>4747.6036871508377</v>
      </c>
      <c r="F102" s="101">
        <f t="shared" si="44"/>
        <v>4747.6036871508377</v>
      </c>
      <c r="G102" s="101">
        <f t="shared" si="44"/>
        <v>3173.8701845018445</v>
      </c>
      <c r="H102" s="101">
        <f t="shared" si="44"/>
        <v>8838.3450704225361</v>
      </c>
      <c r="I102" s="101">
        <f t="shared" si="44"/>
        <v>5331.6351834156239</v>
      </c>
      <c r="J102" s="101">
        <f t="shared" si="44"/>
        <v>5378.8971523992377</v>
      </c>
      <c r="K102" s="101">
        <f t="shared" si="44"/>
        <v>7764.5366108007456</v>
      </c>
      <c r="L102" s="101">
        <f t="shared" si="44"/>
        <v>7764.5366108007456</v>
      </c>
      <c r="M102" s="101">
        <f t="shared" si="44"/>
        <v>6365.662386223863</v>
      </c>
      <c r="N102" s="101">
        <f t="shared" si="44"/>
        <v>11400.751173708921</v>
      </c>
      <c r="O102" s="101"/>
    </row>
    <row r="103" spans="1:15">
      <c r="A103" s="5" t="s">
        <v>299</v>
      </c>
      <c r="B103" s="135">
        <f>(B102-$D$102)/$D$102</f>
        <v>-3.3805442665447195E-2</v>
      </c>
      <c r="C103" s="135">
        <f t="shared" ref="C103:N103" si="45">(C102-$D$102)/$D$102</f>
        <v>-3.3805442665447195E-2</v>
      </c>
      <c r="D103" s="135">
        <f t="shared" si="45"/>
        <v>0</v>
      </c>
      <c r="E103" s="135">
        <f t="shared" si="45"/>
        <v>1.2909602082639973</v>
      </c>
      <c r="F103" s="135">
        <f t="shared" si="45"/>
        <v>1.2909602082639973</v>
      </c>
      <c r="G103" s="135">
        <f t="shared" si="45"/>
        <v>0.53155376439032176</v>
      </c>
      <c r="H103" s="135">
        <f t="shared" si="45"/>
        <v>3.2649509515811803</v>
      </c>
      <c r="I103" s="135">
        <f t="shared" si="45"/>
        <v>1.5727851048822055</v>
      </c>
      <c r="J103" s="135">
        <f t="shared" si="45"/>
        <v>1.5955914083229723</v>
      </c>
      <c r="K103" s="135">
        <f t="shared" si="45"/>
        <v>2.7467837635850989</v>
      </c>
      <c r="L103" s="135">
        <f t="shared" si="45"/>
        <v>2.7467837635850989</v>
      </c>
      <c r="M103" s="135">
        <f t="shared" si="45"/>
        <v>2.071755813475165</v>
      </c>
      <c r="N103" s="135">
        <f t="shared" si="45"/>
        <v>4.5014422020892617</v>
      </c>
      <c r="O103" s="135"/>
    </row>
  </sheetData>
  <pageMargins left="0.7" right="0.7" top="0.75" bottom="0.75" header="0.3" footer="0.3"/>
  <pageSetup paperSize="9" orientation="portrait" horizontalDpi="4294967292" verticalDpi="4294967292"/>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103"/>
  <sheetViews>
    <sheetView zoomScale="90" zoomScaleNormal="90" workbookViewId="0">
      <pane ySplit="1" topLeftCell="A47" activePane="bottomLeft" state="frozen"/>
      <selection pane="bottomLeft" activeCell="B67" sqref="B67:O67"/>
    </sheetView>
  </sheetViews>
  <sheetFormatPr defaultColWidth="10.1796875" defaultRowHeight="11.5"/>
  <cols>
    <col min="1" max="1" width="51.54296875" style="5" customWidth="1"/>
    <col min="2" max="2" width="13.1796875" style="5" bestFit="1" customWidth="1"/>
    <col min="3" max="4" width="10" style="5" bestFit="1" customWidth="1"/>
    <col min="5" max="5" width="12.453125" style="5" customWidth="1"/>
    <col min="6" max="13" width="10" style="5" bestFit="1" customWidth="1"/>
    <col min="14" max="14" width="15.1796875" style="5" customWidth="1"/>
    <col min="15" max="15" width="11.54296875" style="5" bestFit="1" customWidth="1"/>
    <col min="16" max="16" width="88.453125" style="5" bestFit="1" customWidth="1"/>
    <col min="17" max="20" width="10.1796875" style="5"/>
    <col min="21" max="21" width="54.81640625" style="5" bestFit="1" customWidth="1"/>
    <col min="22" max="16384" width="10.1796875" style="5"/>
  </cols>
  <sheetData>
    <row r="1" spans="1:20" ht="26">
      <c r="A1" s="1" t="s">
        <v>227</v>
      </c>
      <c r="B1" s="2" t="s">
        <v>0</v>
      </c>
      <c r="C1" s="3" t="s">
        <v>60</v>
      </c>
      <c r="D1" s="3" t="s">
        <v>61</v>
      </c>
      <c r="E1" s="3" t="s">
        <v>1</v>
      </c>
      <c r="F1" s="3" t="s">
        <v>2</v>
      </c>
      <c r="G1" s="3" t="s">
        <v>3</v>
      </c>
      <c r="H1" s="4" t="s">
        <v>4</v>
      </c>
      <c r="I1" s="2" t="s">
        <v>5</v>
      </c>
      <c r="J1" s="3" t="s">
        <v>62</v>
      </c>
      <c r="K1" s="3" t="s">
        <v>6</v>
      </c>
      <c r="L1" s="3" t="s">
        <v>188</v>
      </c>
      <c r="M1" s="3" t="s">
        <v>7</v>
      </c>
      <c r="N1" s="4" t="s">
        <v>8</v>
      </c>
      <c r="O1" s="103" t="s">
        <v>332</v>
      </c>
      <c r="P1" s="1" t="s">
        <v>75</v>
      </c>
    </row>
    <row r="2" spans="1:20" ht="13">
      <c r="A2" s="6" t="s">
        <v>190</v>
      </c>
      <c r="B2" s="41"/>
      <c r="C2" s="42"/>
      <c r="D2" s="42"/>
      <c r="E2" s="42"/>
      <c r="F2" s="42"/>
      <c r="G2" s="42"/>
      <c r="H2" s="43"/>
      <c r="I2" s="41"/>
      <c r="J2" s="42"/>
      <c r="K2" s="42"/>
      <c r="L2" s="42"/>
      <c r="M2" s="42"/>
      <c r="N2" s="43"/>
      <c r="O2" s="8"/>
      <c r="P2" s="67"/>
    </row>
    <row r="3" spans="1:20" ht="13">
      <c r="A3" s="73" t="s">
        <v>9</v>
      </c>
      <c r="B3" s="7"/>
      <c r="C3" s="8"/>
      <c r="D3" s="8"/>
      <c r="E3" s="8"/>
      <c r="F3" s="8"/>
      <c r="G3" s="8"/>
      <c r="H3" s="9"/>
      <c r="I3" s="7"/>
      <c r="J3" s="8"/>
      <c r="K3" s="8"/>
      <c r="L3" s="8"/>
      <c r="M3" s="8"/>
      <c r="N3" s="9"/>
      <c r="O3" s="8"/>
      <c r="P3" s="67"/>
    </row>
    <row r="4" spans="1:20" ht="12.5">
      <c r="A4" s="10" t="s">
        <v>11</v>
      </c>
      <c r="B4" s="11"/>
      <c r="C4" s="37"/>
      <c r="D4" s="37"/>
      <c r="E4" s="37"/>
      <c r="F4" s="37"/>
      <c r="G4" s="37"/>
      <c r="H4" s="44"/>
      <c r="J4" s="36"/>
      <c r="K4" s="8"/>
      <c r="L4" s="8"/>
      <c r="M4" s="8"/>
      <c r="N4" s="9"/>
      <c r="O4" s="8"/>
      <c r="P4" s="67"/>
    </row>
    <row r="5" spans="1:20" ht="12.5">
      <c r="A5" s="10" t="s">
        <v>13</v>
      </c>
      <c r="B5" s="11"/>
      <c r="C5" s="37"/>
      <c r="D5" s="37"/>
      <c r="E5" s="37"/>
      <c r="F5" s="37"/>
      <c r="G5" s="37"/>
      <c r="H5" s="44"/>
      <c r="I5" s="13">
        <v>0.85</v>
      </c>
      <c r="J5" s="14">
        <v>0.85</v>
      </c>
      <c r="K5" s="14">
        <v>0.85</v>
      </c>
      <c r="L5" s="14">
        <v>0.85</v>
      </c>
      <c r="M5" s="14">
        <v>0.85</v>
      </c>
      <c r="N5" s="15"/>
      <c r="O5" s="159"/>
      <c r="P5" s="67" t="s">
        <v>12</v>
      </c>
    </row>
    <row r="6" spans="1:20" ht="12.5">
      <c r="A6" s="10" t="s">
        <v>15</v>
      </c>
      <c r="B6" s="11"/>
      <c r="C6" s="37"/>
      <c r="D6" s="37"/>
      <c r="E6" s="37"/>
      <c r="F6" s="37"/>
      <c r="G6" s="37"/>
      <c r="H6" s="44"/>
      <c r="I6" s="13"/>
      <c r="J6" s="14"/>
      <c r="K6" s="14"/>
      <c r="L6" s="14"/>
      <c r="M6" s="14"/>
      <c r="N6" s="16"/>
      <c r="O6" s="14"/>
      <c r="P6" s="67" t="s">
        <v>16</v>
      </c>
    </row>
    <row r="7" spans="1:20" ht="12.5">
      <c r="A7" s="10" t="s">
        <v>18</v>
      </c>
      <c r="B7" s="11"/>
      <c r="C7" s="37"/>
      <c r="D7" s="37"/>
      <c r="E7" s="37" t="s">
        <v>71</v>
      </c>
      <c r="F7" s="37"/>
      <c r="G7" s="37"/>
      <c r="H7" s="44"/>
      <c r="I7" s="17">
        <v>0.98</v>
      </c>
      <c r="J7" s="45">
        <v>0.98</v>
      </c>
      <c r="K7" s="45">
        <v>0.98</v>
      </c>
      <c r="L7" s="45">
        <v>0.98</v>
      </c>
      <c r="M7" s="45">
        <v>0.98</v>
      </c>
      <c r="N7" s="46">
        <v>0.98</v>
      </c>
      <c r="O7" s="45">
        <v>0.8</v>
      </c>
      <c r="P7" s="67" t="s">
        <v>19</v>
      </c>
    </row>
    <row r="8" spans="1:20" ht="12.5">
      <c r="A8" s="10" t="s">
        <v>321</v>
      </c>
      <c r="B8" s="155">
        <f>'Base data for vehicles'!$H$50</f>
        <v>0.4</v>
      </c>
      <c r="C8" s="156">
        <f>'Base data for vehicles'!$H$50</f>
        <v>0.4</v>
      </c>
      <c r="D8" s="156">
        <f>'Base data for vehicles'!$H$50</f>
        <v>0.4</v>
      </c>
      <c r="E8" s="156">
        <f>'Base data for vehicles'!$H$50</f>
        <v>0.4</v>
      </c>
      <c r="F8" s="156">
        <f>'Base data for vehicles'!$H$50</f>
        <v>0.4</v>
      </c>
      <c r="G8" s="156">
        <f>'Base data for vehicles'!$H$50</f>
        <v>0.4</v>
      </c>
      <c r="H8" s="157">
        <f>'Base data for vehicles'!$H$50</f>
        <v>0.4</v>
      </c>
      <c r="I8" s="155">
        <f>'Base data for vehicles'!$H$80</f>
        <v>0.45</v>
      </c>
      <c r="J8" s="156">
        <f>'Base data for vehicles'!$H$80</f>
        <v>0.45</v>
      </c>
      <c r="K8" s="156">
        <f>'Base data for vehicles'!$H$80</f>
        <v>0.45</v>
      </c>
      <c r="L8" s="156">
        <f>'Base data for vehicles'!$H$80</f>
        <v>0.45</v>
      </c>
      <c r="M8" s="156">
        <f>'Base data for vehicles'!$H$80</f>
        <v>0.45</v>
      </c>
      <c r="N8" s="157">
        <f>'Base data for vehicles'!$H$80</f>
        <v>0.45</v>
      </c>
      <c r="O8" s="45"/>
      <c r="P8" s="67"/>
    </row>
    <row r="9" spans="1:20" ht="12.5">
      <c r="A9" s="10" t="s">
        <v>320</v>
      </c>
      <c r="B9" s="155">
        <f>B8*'Unit conversion'!$B$5</f>
        <v>0.37399668325041463</v>
      </c>
      <c r="C9" s="156">
        <f>C8*'Unit conversion'!$B$5</f>
        <v>0.37399668325041463</v>
      </c>
      <c r="D9" s="156">
        <f>D8*'Unit conversion'!$C$5</f>
        <v>0.37483731019522781</v>
      </c>
      <c r="E9" s="156">
        <f>E8*'Unit conversion'!$E$5</f>
        <v>0.35242290748898686</v>
      </c>
      <c r="F9" s="156">
        <f>F8*'Unit conversion'!$F$5</f>
        <v>0.35242290748898686</v>
      </c>
      <c r="G9" s="156">
        <f>G8*'Unit conversion'!$G$5</f>
        <v>0.3603603603603604</v>
      </c>
      <c r="H9" s="157">
        <f>H8*'Unit conversion'!$H$5</f>
        <v>0.3380281690140845</v>
      </c>
      <c r="I9" s="155">
        <f>I8*'Unit conversion'!$B$5</f>
        <v>0.42074626865671644</v>
      </c>
      <c r="J9" s="156">
        <f>J8*'Unit conversion'!$C$5</f>
        <v>0.42169197396963126</v>
      </c>
      <c r="K9" s="156">
        <f>K8*'Unit conversion'!$E$5</f>
        <v>0.39647577092511016</v>
      </c>
      <c r="L9" s="156">
        <f>L8*'Unit conversion'!$F$5</f>
        <v>0.39647577092511016</v>
      </c>
      <c r="M9" s="156">
        <f>M8*'Unit conversion'!$G$5</f>
        <v>0.40540540540540543</v>
      </c>
      <c r="N9" s="157">
        <f>N8*'Unit conversion'!$H$5</f>
        <v>0.38028169014084506</v>
      </c>
      <c r="O9" s="156">
        <f>O7</f>
        <v>0.8</v>
      </c>
      <c r="P9" s="88" t="s">
        <v>21</v>
      </c>
    </row>
    <row r="10" spans="1:20" ht="12.5">
      <c r="A10" s="10" t="s">
        <v>22</v>
      </c>
      <c r="B10" s="148">
        <f>ROUND(B9/$D$9,2)</f>
        <v>1</v>
      </c>
      <c r="C10" s="147">
        <f t="shared" ref="C10:N10" si="0">ROUND(C9/$D$9,2)</f>
        <v>1</v>
      </c>
      <c r="D10" s="147">
        <f t="shared" si="0"/>
        <v>1</v>
      </c>
      <c r="E10" s="147">
        <f t="shared" si="0"/>
        <v>0.94</v>
      </c>
      <c r="F10" s="147">
        <f t="shared" si="0"/>
        <v>0.94</v>
      </c>
      <c r="G10" s="147">
        <f t="shared" si="0"/>
        <v>0.96</v>
      </c>
      <c r="H10" s="147">
        <f t="shared" si="0"/>
        <v>0.9</v>
      </c>
      <c r="I10" s="148">
        <f t="shared" si="0"/>
        <v>1.1200000000000001</v>
      </c>
      <c r="J10" s="147">
        <f t="shared" si="0"/>
        <v>1.1299999999999999</v>
      </c>
      <c r="K10" s="147">
        <f t="shared" si="0"/>
        <v>1.06</v>
      </c>
      <c r="L10" s="147">
        <f t="shared" si="0"/>
        <v>1.06</v>
      </c>
      <c r="M10" s="147">
        <f>ROUND(M9/$D$9,2)</f>
        <v>1.08</v>
      </c>
      <c r="N10" s="149">
        <f t="shared" si="0"/>
        <v>1.01</v>
      </c>
      <c r="O10" s="149">
        <f>ROUND(O9/$D$9,2)</f>
        <v>2.13</v>
      </c>
      <c r="P10" s="68"/>
      <c r="Q10" s="12"/>
      <c r="R10" s="12"/>
      <c r="S10" s="12"/>
      <c r="T10" s="12"/>
    </row>
    <row r="11" spans="1:20" ht="13">
      <c r="A11" s="21" t="s">
        <v>186</v>
      </c>
      <c r="B11" s="22">
        <f>B12*B9</f>
        <v>85.287846481876329</v>
      </c>
      <c r="C11" s="23">
        <f t="shared" ref="C11:N11" si="1">C12*C9</f>
        <v>85.287846481876329</v>
      </c>
      <c r="D11" s="23">
        <f t="shared" si="1"/>
        <v>78.091106290672457</v>
      </c>
      <c r="E11" s="23">
        <f t="shared" si="1"/>
        <v>158.59030837004406</v>
      </c>
      <c r="F11" s="23">
        <f t="shared" si="1"/>
        <v>158.59030837004406</v>
      </c>
      <c r="G11" s="23">
        <f t="shared" si="1"/>
        <v>64.864864864864856</v>
      </c>
      <c r="H11" s="23">
        <f t="shared" si="1"/>
        <v>25.352112676056336</v>
      </c>
      <c r="I11" s="22">
        <f>I12*I9</f>
        <v>85.668595796527555</v>
      </c>
      <c r="J11" s="23">
        <f>J12*J9</f>
        <v>77.74557042212966</v>
      </c>
      <c r="K11" s="23">
        <f t="shared" si="1"/>
        <v>168.3151857700939</v>
      </c>
      <c r="L11" s="23">
        <f t="shared" si="1"/>
        <v>168.3151857700939</v>
      </c>
      <c r="M11" s="23">
        <f t="shared" si="1"/>
        <v>67.567567567567551</v>
      </c>
      <c r="N11" s="24">
        <f t="shared" si="1"/>
        <v>28.238739366894436</v>
      </c>
      <c r="O11" s="23"/>
      <c r="P11" s="69" t="s">
        <v>187</v>
      </c>
      <c r="Q11" s="12"/>
      <c r="R11" s="12"/>
      <c r="S11" s="12"/>
      <c r="T11" s="12"/>
    </row>
    <row r="12" spans="1:20" ht="14.5">
      <c r="A12" s="27" t="s">
        <v>23</v>
      </c>
      <c r="B12" s="66">
        <f>3600/(B$9*'Unit conversion'!$B$3)</f>
        <v>228.04439264176756</v>
      </c>
      <c r="C12" s="66">
        <f>3600/(C$9*'Unit conversion'!$B$3)</f>
        <v>228.04439264176756</v>
      </c>
      <c r="D12" s="66">
        <f>3600/(D$9*'Unit conversion'!$C$3)</f>
        <v>208.33333333333331</v>
      </c>
      <c r="E12" s="66">
        <f>3600/(E$9*'Unit conversion'!$E$3)</f>
        <v>449.99999999999989</v>
      </c>
      <c r="F12" s="66">
        <f>3600/(F$9*'Unit conversion'!$F$3)</f>
        <v>449.99999999999989</v>
      </c>
      <c r="G12" s="66">
        <f>3600/(G$9*'Unit conversion'!$G$3)</f>
        <v>179.99999999999997</v>
      </c>
      <c r="H12" s="66">
        <f>3600/(H$9*'Unit conversion'!$H$3)</f>
        <v>75</v>
      </c>
      <c r="I12" s="28">
        <f>$B12/I10</f>
        <v>203.61106485872102</v>
      </c>
      <c r="J12" s="29">
        <f>$D12/J10</f>
        <v>184.36578171091446</v>
      </c>
      <c r="K12" s="29">
        <f>$E12/K10</f>
        <v>424.52830188679235</v>
      </c>
      <c r="L12" s="29">
        <f>$F12/L10</f>
        <v>424.52830188679235</v>
      </c>
      <c r="M12" s="29">
        <f>$G12/M10</f>
        <v>166.66666666666663</v>
      </c>
      <c r="N12" s="30">
        <f>$H12/N10</f>
        <v>74.257425742574256</v>
      </c>
      <c r="O12" s="29"/>
      <c r="P12" s="65" t="s">
        <v>212</v>
      </c>
      <c r="Q12"/>
      <c r="R12"/>
      <c r="S12"/>
      <c r="T12"/>
    </row>
    <row r="13" spans="1:20" ht="14.5">
      <c r="A13" s="10" t="s">
        <v>24</v>
      </c>
      <c r="B13" s="18"/>
      <c r="C13" s="19"/>
      <c r="D13" s="19"/>
      <c r="E13" s="19"/>
      <c r="F13" s="19"/>
      <c r="G13" s="19"/>
      <c r="H13" s="20"/>
      <c r="I13" s="28">
        <f t="shared" ref="I13:N13" si="2">I11/I7</f>
        <v>87.416934486252615</v>
      </c>
      <c r="J13" s="29">
        <f t="shared" si="2"/>
        <v>79.332214716458836</v>
      </c>
      <c r="K13" s="29">
        <f t="shared" si="2"/>
        <v>171.75018956132033</v>
      </c>
      <c r="L13" s="29">
        <f t="shared" si="2"/>
        <v>171.75018956132033</v>
      </c>
      <c r="M13" s="29">
        <f t="shared" si="2"/>
        <v>68.946497517926076</v>
      </c>
      <c r="N13" s="30">
        <f t="shared" si="2"/>
        <v>28.815040170300446</v>
      </c>
      <c r="O13" s="29"/>
      <c r="P13" s="72" t="s">
        <v>189</v>
      </c>
      <c r="Q13"/>
      <c r="R13"/>
      <c r="S13"/>
      <c r="T13"/>
    </row>
    <row r="14" spans="1:20" ht="14.5">
      <c r="A14" s="73" t="s">
        <v>102</v>
      </c>
      <c r="B14" s="18"/>
      <c r="C14" s="19"/>
      <c r="D14" s="19"/>
      <c r="E14" s="19"/>
      <c r="F14" s="19"/>
      <c r="G14" s="19"/>
      <c r="H14" s="20"/>
      <c r="I14" s="71"/>
      <c r="J14"/>
      <c r="K14"/>
      <c r="L14"/>
      <c r="M14"/>
      <c r="N14" s="30"/>
      <c r="O14" s="29"/>
      <c r="P14" s="65"/>
      <c r="Q14"/>
      <c r="R14"/>
      <c r="S14"/>
      <c r="T14"/>
    </row>
    <row r="15" spans="1:20" ht="14.5">
      <c r="A15" s="10" t="s">
        <v>25</v>
      </c>
      <c r="B15" s="28">
        <f>'Base data for vehicles'!$H$7</f>
        <v>360</v>
      </c>
      <c r="C15" s="29">
        <f>'Base data for vehicles'!$H$7</f>
        <v>360</v>
      </c>
      <c r="D15" s="29">
        <f>'Base data for vehicles'!$H$7</f>
        <v>360</v>
      </c>
      <c r="E15" s="29">
        <f>'Base data for vehicles'!$H$7</f>
        <v>360</v>
      </c>
      <c r="F15" s="29">
        <f>'Base data for vehicles'!$H$7</f>
        <v>360</v>
      </c>
      <c r="G15" s="29">
        <f>'Base data for vehicles'!$H$7</f>
        <v>360</v>
      </c>
      <c r="H15" s="30">
        <f>'Base data for vehicles'!$H$7</f>
        <v>360</v>
      </c>
      <c r="I15" s="29">
        <f>'Base data for vehicles'!$H$7</f>
        <v>360</v>
      </c>
      <c r="J15" s="29">
        <f>'Base data for vehicles'!$H$7</f>
        <v>360</v>
      </c>
      <c r="K15" s="29">
        <f>'Base data for vehicles'!$H$7</f>
        <v>360</v>
      </c>
      <c r="L15" s="29">
        <f>'Base data for vehicles'!$H$7</f>
        <v>360</v>
      </c>
      <c r="M15" s="29">
        <f>'Base data for vehicles'!$H$7</f>
        <v>360</v>
      </c>
      <c r="N15" s="30">
        <f>'Base data for vehicles'!$H$7</f>
        <v>360</v>
      </c>
      <c r="P15" s="65"/>
    </row>
    <row r="16" spans="1:20" ht="12.5">
      <c r="A16" s="10" t="s">
        <v>26</v>
      </c>
      <c r="B16" s="28"/>
      <c r="C16" s="29"/>
      <c r="D16" s="29"/>
      <c r="E16" s="29"/>
      <c r="F16" s="29"/>
      <c r="G16" s="29"/>
      <c r="H16" s="30"/>
      <c r="I16" s="89">
        <v>2</v>
      </c>
      <c r="J16" s="90">
        <v>3</v>
      </c>
      <c r="K16" s="90">
        <v>2</v>
      </c>
      <c r="L16" s="90">
        <v>2</v>
      </c>
      <c r="M16" s="90">
        <v>2</v>
      </c>
      <c r="N16" s="91">
        <v>2</v>
      </c>
      <c r="O16" s="30">
        <f>'Base data for vehicles'!$F$7</f>
        <v>162</v>
      </c>
      <c r="P16" s="67" t="s">
        <v>215</v>
      </c>
    </row>
    <row r="17" spans="1:16" ht="12.5">
      <c r="A17" s="10" t="s">
        <v>27</v>
      </c>
      <c r="B17" s="28">
        <f>B18/'Unit conversion'!$B$7</f>
        <v>1911.3007571948822</v>
      </c>
      <c r="C17" s="29">
        <f>C18/'Unit conversion'!$B$7</f>
        <v>1911.3007571948822</v>
      </c>
      <c r="D17" s="29">
        <f>D18/'Unit conversion'!$C$7</f>
        <v>1983.1047381546134</v>
      </c>
      <c r="E17" s="29">
        <f>E18/'Unit conversion'!E7</f>
        <v>4725.1508379888264</v>
      </c>
      <c r="F17" s="29">
        <f>F18/'Unit conversion'!F7</f>
        <v>4725.1508379888264</v>
      </c>
      <c r="G17" s="29">
        <f>G18/'Unit conversion'!$G$7</f>
        <v>3052.2952029520293</v>
      </c>
      <c r="H17" s="30">
        <f>H18/'Unit conversion'!$H$7</f>
        <v>8746.4788732394391</v>
      </c>
      <c r="I17" s="29">
        <f>I18/'Unit conversion'!$B$7</f>
        <v>1706.5185332097165</v>
      </c>
      <c r="J17" s="29">
        <f>J18/'Unit conversion'!$C$7</f>
        <v>1754.9599452695695</v>
      </c>
      <c r="K17" s="29">
        <f>K18/'Unit conversion'!E7</f>
        <v>4457.6894698007791</v>
      </c>
      <c r="L17" s="29">
        <f>L18/'Unit conversion'!F7</f>
        <v>4457.6894698007791</v>
      </c>
      <c r="M17" s="29">
        <f>M18/'Unit conversion'!G7</f>
        <v>2826.1992619926191</v>
      </c>
      <c r="N17" s="29">
        <f>N18/'Unit conversion'!H7</f>
        <v>8659.8800725142937</v>
      </c>
      <c r="O17" s="29"/>
      <c r="P17" s="67"/>
    </row>
    <row r="18" spans="1:16" ht="12.5">
      <c r="A18" s="10" t="s">
        <v>28</v>
      </c>
      <c r="B18" s="28">
        <f>(B12*(B15/10^6))*B23*'Unit conversion'!$B$3</f>
        <v>79701.241575026594</v>
      </c>
      <c r="C18" s="29">
        <f>(C12*(C15/10^6))*C23*'Unit conversion'!$B$3</f>
        <v>79701.241575026594</v>
      </c>
      <c r="D18" s="29">
        <f>(D12*(D15/10^6))*D23*'Unit conversion'!$C$3</f>
        <v>79522.5</v>
      </c>
      <c r="E18" s="29">
        <f>(E12*(E15/10^6))*E23*'Unit conversion'!$E$3</f>
        <v>84580.199999999983</v>
      </c>
      <c r="F18" s="29">
        <f>(F12*(F15/10^6))*F23*'Unit conversion'!$F$3</f>
        <v>84580.199999999983</v>
      </c>
      <c r="G18" s="29">
        <f>(G12*(G15/10^6))*G23*'Unit conversion'!$G$3</f>
        <v>82717.2</v>
      </c>
      <c r="H18" s="29">
        <f>(H12*(H15/10^6))*H23*'Unit conversion'!$H$3</f>
        <v>88182.000000000015</v>
      </c>
      <c r="I18" s="28">
        <f>(I12*(I15/10^6))*I23*'Unit conversion'!$B$3</f>
        <v>71161.822834845181</v>
      </c>
      <c r="J18" s="29">
        <f>(J12*(J15/10^6))*J23*'Unit conversion'!$C$3</f>
        <v>70373.893805309737</v>
      </c>
      <c r="K18" s="29">
        <f>(K12*(K15/10^6))*K23*'Unit conversion'!$E$3</f>
        <v>79792.641509433946</v>
      </c>
      <c r="L18" s="29">
        <f>(L12*(L15/10^6))*L23*'Unit conversion'!$F$3</f>
        <v>79792.641509433946</v>
      </c>
      <c r="M18" s="29">
        <f>(M12*(M15/10^6))*M23*'Unit conversion'!$G$3</f>
        <v>76589.999999999985</v>
      </c>
      <c r="N18" s="30">
        <f>(N12*(N15/10^6))*N23*'Unit conversion'!$H$3</f>
        <v>87308.910891089108</v>
      </c>
      <c r="O18" s="29"/>
      <c r="P18" s="102"/>
    </row>
    <row r="19" spans="1:16" ht="12.5">
      <c r="A19" s="10" t="s">
        <v>29</v>
      </c>
      <c r="B19" s="28"/>
      <c r="C19" s="29"/>
      <c r="D19" s="29"/>
      <c r="E19" s="29"/>
      <c r="F19" s="29"/>
      <c r="G19" s="29"/>
      <c r="H19" s="30"/>
      <c r="I19" s="89">
        <v>5</v>
      </c>
      <c r="J19" s="90">
        <v>6</v>
      </c>
      <c r="K19" s="90">
        <v>5</v>
      </c>
      <c r="L19" s="90">
        <v>5</v>
      </c>
      <c r="M19" s="90">
        <v>5</v>
      </c>
      <c r="N19" s="91">
        <v>5</v>
      </c>
      <c r="O19" s="90"/>
      <c r="P19" s="68"/>
    </row>
    <row r="20" spans="1:16" ht="12.5">
      <c r="A20" s="10" t="s">
        <v>30</v>
      </c>
      <c r="B20" s="28"/>
      <c r="C20" s="29"/>
      <c r="D20" s="29"/>
      <c r="E20" s="29"/>
      <c r="F20" s="29"/>
      <c r="G20" s="29"/>
      <c r="H20" s="30"/>
      <c r="I20" s="89">
        <f t="shared" ref="I20:N20" si="3">I19*I13*I16/10^6*I23*44.8</f>
        <v>900.74409294634688</v>
      </c>
      <c r="J20" s="90">
        <f t="shared" si="3"/>
        <v>1471.390452789105</v>
      </c>
      <c r="K20" s="90">
        <f t="shared" si="3"/>
        <v>1769.7139532398446</v>
      </c>
      <c r="L20" s="90">
        <f t="shared" si="3"/>
        <v>1769.7139532398446</v>
      </c>
      <c r="M20" s="90">
        <f t="shared" si="3"/>
        <v>710.42471042471027</v>
      </c>
      <c r="N20" s="91">
        <f t="shared" si="3"/>
        <v>296.91017391477578</v>
      </c>
      <c r="O20" s="90"/>
      <c r="P20" s="68"/>
    </row>
    <row r="21" spans="1:16" ht="12.5">
      <c r="A21" s="10" t="s">
        <v>31</v>
      </c>
      <c r="B21" s="28"/>
      <c r="C21" s="29"/>
      <c r="D21" s="29"/>
      <c r="E21" s="29"/>
      <c r="F21" s="29"/>
      <c r="G21" s="29" t="s">
        <v>71</v>
      </c>
      <c r="H21" s="30"/>
      <c r="I21" s="89">
        <f t="shared" ref="I21:N21" si="4">I20*1000000000/3600/1000</f>
        <v>250206.69248509637</v>
      </c>
      <c r="J21" s="90">
        <f t="shared" si="4"/>
        <v>408719.57021919586</v>
      </c>
      <c r="K21" s="90">
        <f t="shared" si="4"/>
        <v>491587.20923329017</v>
      </c>
      <c r="L21" s="90">
        <f t="shared" si="4"/>
        <v>491587.20923329017</v>
      </c>
      <c r="M21" s="90">
        <f t="shared" si="4"/>
        <v>197340.19734019734</v>
      </c>
      <c r="N21" s="91">
        <f t="shared" si="4"/>
        <v>82475.048309659935</v>
      </c>
      <c r="O21" s="90"/>
      <c r="P21" s="68"/>
    </row>
    <row r="22" spans="1:16" ht="13">
      <c r="A22" s="73" t="s">
        <v>192</v>
      </c>
      <c r="B22" s="18"/>
      <c r="C22" s="19"/>
      <c r="D22" s="19"/>
      <c r="E22" s="19"/>
      <c r="F22" s="19"/>
      <c r="G22" s="19"/>
      <c r="H22" s="20"/>
      <c r="I22" s="18"/>
      <c r="J22" s="19"/>
      <c r="K22" s="19"/>
      <c r="L22" s="19"/>
      <c r="M22" s="19"/>
      <c r="N22" s="20"/>
      <c r="O22" s="19"/>
      <c r="P22" s="68"/>
    </row>
    <row r="23" spans="1:16" ht="12.5">
      <c r="A23" s="10" t="s">
        <v>191</v>
      </c>
      <c r="B23" s="28">
        <f>'Base data for vehicles'!$H$5</f>
        <v>23000</v>
      </c>
      <c r="C23" s="29">
        <f t="shared" ref="C23:H23" si="5">B23</f>
        <v>23000</v>
      </c>
      <c r="D23" s="29">
        <f t="shared" si="5"/>
        <v>23000</v>
      </c>
      <c r="E23" s="29">
        <f t="shared" si="5"/>
        <v>23000</v>
      </c>
      <c r="F23" s="29">
        <f t="shared" si="5"/>
        <v>23000</v>
      </c>
      <c r="G23" s="29">
        <f t="shared" si="5"/>
        <v>23000</v>
      </c>
      <c r="H23" s="29">
        <f t="shared" si="5"/>
        <v>23000</v>
      </c>
      <c r="I23" s="28">
        <f t="shared" ref="I23:N23" si="6">$B23</f>
        <v>23000</v>
      </c>
      <c r="J23" s="8">
        <f t="shared" si="6"/>
        <v>23000</v>
      </c>
      <c r="K23" s="8">
        <f t="shared" si="6"/>
        <v>23000</v>
      </c>
      <c r="L23" s="8">
        <f t="shared" si="6"/>
        <v>23000</v>
      </c>
      <c r="M23" s="8">
        <f t="shared" si="6"/>
        <v>23000</v>
      </c>
      <c r="N23" s="9">
        <f t="shared" si="6"/>
        <v>23000</v>
      </c>
      <c r="O23" s="8">
        <f>N23</f>
        <v>23000</v>
      </c>
      <c r="P23" s="68"/>
    </row>
    <row r="24" spans="1:16" ht="12.5">
      <c r="A24" s="10" t="s">
        <v>32</v>
      </c>
      <c r="B24" s="28">
        <f t="shared" ref="B24:H24" si="7">B23</f>
        <v>23000</v>
      </c>
      <c r="C24" s="29">
        <f t="shared" si="7"/>
        <v>23000</v>
      </c>
      <c r="D24" s="29">
        <f t="shared" si="7"/>
        <v>23000</v>
      </c>
      <c r="E24" s="29">
        <f t="shared" si="7"/>
        <v>23000</v>
      </c>
      <c r="F24" s="29">
        <f t="shared" si="7"/>
        <v>23000</v>
      </c>
      <c r="G24" s="29">
        <f t="shared" si="7"/>
        <v>23000</v>
      </c>
      <c r="H24" s="30">
        <f t="shared" si="7"/>
        <v>23000</v>
      </c>
      <c r="I24" s="25"/>
      <c r="J24" s="26"/>
      <c r="K24" s="26"/>
      <c r="L24" s="26"/>
      <c r="M24" s="26"/>
      <c r="N24" s="27"/>
      <c r="O24" s="26"/>
      <c r="P24" s="68"/>
    </row>
    <row r="25" spans="1:16" ht="12.5">
      <c r="A25" s="10" t="s">
        <v>33</v>
      </c>
      <c r="B25" s="7"/>
      <c r="C25" s="8"/>
      <c r="D25" s="8"/>
      <c r="E25" s="8"/>
      <c r="F25" s="8"/>
      <c r="G25" s="8"/>
      <c r="H25" s="9"/>
      <c r="I25" s="28">
        <f t="shared" ref="I25:N25" si="8">I23</f>
        <v>23000</v>
      </c>
      <c r="J25" s="29">
        <f t="shared" si="8"/>
        <v>23000</v>
      </c>
      <c r="K25" s="29">
        <f t="shared" si="8"/>
        <v>23000</v>
      </c>
      <c r="L25" s="29">
        <f t="shared" si="8"/>
        <v>23000</v>
      </c>
      <c r="M25" s="29">
        <f t="shared" si="8"/>
        <v>23000</v>
      </c>
      <c r="N25" s="30">
        <f t="shared" si="8"/>
        <v>23000</v>
      </c>
      <c r="O25" s="29">
        <f>N25</f>
        <v>23000</v>
      </c>
      <c r="P25" s="68"/>
    </row>
    <row r="26" spans="1:16" ht="12.5">
      <c r="A26" s="10" t="s">
        <v>34</v>
      </c>
      <c r="B26" s="7">
        <f t="shared" ref="B26:N26" si="9">B24+B25</f>
        <v>23000</v>
      </c>
      <c r="C26" s="8">
        <f>C24+C25</f>
        <v>23000</v>
      </c>
      <c r="D26" s="8">
        <f>D24+D25</f>
        <v>23000</v>
      </c>
      <c r="E26" s="8">
        <f t="shared" si="9"/>
        <v>23000</v>
      </c>
      <c r="F26" s="8">
        <f t="shared" si="9"/>
        <v>23000</v>
      </c>
      <c r="G26" s="8">
        <f t="shared" si="9"/>
        <v>23000</v>
      </c>
      <c r="H26" s="9">
        <f t="shared" si="9"/>
        <v>23000</v>
      </c>
      <c r="I26" s="7">
        <f t="shared" si="9"/>
        <v>23000</v>
      </c>
      <c r="J26" s="8">
        <f t="shared" si="9"/>
        <v>23000</v>
      </c>
      <c r="K26" s="8">
        <f t="shared" si="9"/>
        <v>23000</v>
      </c>
      <c r="L26" s="8">
        <f t="shared" si="9"/>
        <v>23000</v>
      </c>
      <c r="M26" s="8">
        <f t="shared" si="9"/>
        <v>23000</v>
      </c>
      <c r="N26" s="9">
        <f t="shared" si="9"/>
        <v>23000</v>
      </c>
      <c r="O26" s="8">
        <f>N26</f>
        <v>23000</v>
      </c>
      <c r="P26" s="68"/>
    </row>
    <row r="27" spans="1:16" ht="12.5">
      <c r="A27" s="10" t="s">
        <v>35</v>
      </c>
      <c r="B27" s="7"/>
      <c r="C27" s="8"/>
      <c r="D27" s="8"/>
      <c r="E27" s="8"/>
      <c r="F27" s="8"/>
      <c r="G27" s="8"/>
      <c r="H27" s="9"/>
      <c r="I27" s="7"/>
      <c r="J27" s="8"/>
      <c r="K27" s="8"/>
      <c r="L27" s="8"/>
      <c r="M27" s="8"/>
      <c r="N27" s="9"/>
      <c r="O27" s="8"/>
      <c r="P27" s="68"/>
    </row>
    <row r="28" spans="1:16" ht="12.5">
      <c r="B28" s="7"/>
      <c r="C28" s="8"/>
      <c r="D28" s="8"/>
      <c r="E28" s="8"/>
      <c r="F28" s="8"/>
      <c r="G28" s="8"/>
      <c r="H28" s="9"/>
      <c r="I28" s="7"/>
      <c r="J28" s="8"/>
      <c r="K28" s="8"/>
      <c r="L28" s="8"/>
      <c r="M28" s="8"/>
      <c r="N28" s="9"/>
      <c r="O28" s="29"/>
      <c r="P28" s="68"/>
    </row>
    <row r="29" spans="1:16" ht="12.5">
      <c r="A29" s="10" t="s">
        <v>36</v>
      </c>
      <c r="B29" s="7"/>
      <c r="C29" s="8"/>
      <c r="D29" s="8"/>
      <c r="E29" s="8"/>
      <c r="F29" s="8"/>
      <c r="G29" s="8"/>
      <c r="H29" s="9"/>
      <c r="I29" s="28"/>
      <c r="J29" s="29"/>
      <c r="K29" s="29" t="s">
        <v>71</v>
      </c>
      <c r="L29" s="29"/>
      <c r="M29" s="29"/>
      <c r="N29" s="30"/>
      <c r="O29" s="29"/>
      <c r="P29" s="68"/>
    </row>
    <row r="30" spans="1:16" ht="12.5">
      <c r="A30" s="10" t="s">
        <v>37</v>
      </c>
      <c r="B30" s="7"/>
      <c r="C30" s="8"/>
      <c r="D30" s="8"/>
      <c r="E30" s="8"/>
      <c r="F30" s="8"/>
      <c r="G30" s="8"/>
      <c r="H30" s="9"/>
      <c r="I30" s="28"/>
      <c r="J30" s="29"/>
      <c r="K30" s="29"/>
      <c r="L30" s="29"/>
      <c r="M30" s="29"/>
      <c r="N30" s="30"/>
      <c r="O30" s="29"/>
      <c r="P30" s="68"/>
    </row>
    <row r="31" spans="1:16" ht="12.5">
      <c r="A31" s="10" t="s">
        <v>38</v>
      </c>
      <c r="B31" s="7"/>
      <c r="C31" s="8"/>
      <c r="D31" s="8"/>
      <c r="E31" s="8"/>
      <c r="F31" s="8"/>
      <c r="G31" s="8"/>
      <c r="H31" s="9"/>
      <c r="I31" s="7">
        <f t="shared" ref="I31:N31" si="10">50/80*I23</f>
        <v>14375</v>
      </c>
      <c r="J31" s="8">
        <f t="shared" si="10"/>
        <v>14375</v>
      </c>
      <c r="K31" s="8">
        <f t="shared" si="10"/>
        <v>14375</v>
      </c>
      <c r="L31" s="8">
        <f t="shared" si="10"/>
        <v>14375</v>
      </c>
      <c r="M31" s="8">
        <f t="shared" si="10"/>
        <v>14375</v>
      </c>
      <c r="N31" s="9">
        <f t="shared" si="10"/>
        <v>14375</v>
      </c>
      <c r="O31" s="8"/>
      <c r="P31" s="67" t="s">
        <v>216</v>
      </c>
    </row>
    <row r="32" spans="1:16" ht="12.5">
      <c r="A32" s="10" t="s">
        <v>39</v>
      </c>
      <c r="B32" s="18"/>
      <c r="C32" s="19"/>
      <c r="D32" s="19"/>
      <c r="E32" s="19"/>
      <c r="F32" s="19"/>
      <c r="G32" s="19"/>
      <c r="H32" s="20"/>
      <c r="I32" s="28">
        <f t="shared" ref="I32:N32" si="11">44/80*I23</f>
        <v>12650.000000000002</v>
      </c>
      <c r="J32" s="29">
        <f t="shared" si="11"/>
        <v>12650.000000000002</v>
      </c>
      <c r="K32" s="29">
        <f t="shared" si="11"/>
        <v>12650.000000000002</v>
      </c>
      <c r="L32" s="29">
        <f t="shared" si="11"/>
        <v>12650.000000000002</v>
      </c>
      <c r="M32" s="29">
        <f t="shared" si="11"/>
        <v>12650.000000000002</v>
      </c>
      <c r="N32" s="30">
        <f t="shared" si="11"/>
        <v>12650.000000000002</v>
      </c>
      <c r="O32" s="29"/>
      <c r="P32" s="67" t="s">
        <v>216</v>
      </c>
    </row>
    <row r="33" spans="1:20" ht="12.5">
      <c r="A33" s="10"/>
      <c r="B33" s="7"/>
      <c r="C33" s="8"/>
      <c r="D33" s="8"/>
      <c r="E33" s="8"/>
      <c r="F33" s="8"/>
      <c r="G33" s="8"/>
      <c r="H33" s="9"/>
      <c r="I33" s="7"/>
      <c r="J33" s="8"/>
      <c r="K33" s="8"/>
      <c r="L33" s="8"/>
      <c r="M33" s="8"/>
      <c r="N33" s="9"/>
      <c r="O33" s="8"/>
      <c r="P33" s="67"/>
    </row>
    <row r="34" spans="1:20" ht="13">
      <c r="A34" s="6" t="s">
        <v>40</v>
      </c>
      <c r="B34" s="7"/>
      <c r="C34" s="8"/>
      <c r="D34" s="8"/>
      <c r="E34" s="8"/>
      <c r="F34" s="8"/>
      <c r="G34" s="8"/>
      <c r="H34" s="9"/>
      <c r="I34" s="7"/>
      <c r="J34" s="8"/>
      <c r="K34" s="8"/>
      <c r="L34" s="8"/>
      <c r="M34" s="8"/>
      <c r="N34" s="9"/>
      <c r="O34" s="8"/>
      <c r="P34" s="67"/>
    </row>
    <row r="35" spans="1:20" ht="12.5">
      <c r="A35" s="10" t="s">
        <v>41</v>
      </c>
      <c r="B35" s="28">
        <f>'Base data for vehicles'!H20</f>
        <v>350</v>
      </c>
      <c r="C35" s="29">
        <f xml:space="preserve"> B35</f>
        <v>350</v>
      </c>
      <c r="D35" s="29">
        <f>B35</f>
        <v>350</v>
      </c>
      <c r="E35" s="29">
        <f>'Base data for vehicles'!H31</f>
        <v>370</v>
      </c>
      <c r="F35" s="29">
        <f>E35</f>
        <v>370</v>
      </c>
      <c r="G35" s="29">
        <f>'Base data for vehicles'!H34</f>
        <v>500</v>
      </c>
      <c r="H35" s="30">
        <f>'Base data for vehicles'!H43</f>
        <v>600</v>
      </c>
      <c r="I35" s="25"/>
      <c r="J35" s="26"/>
      <c r="K35" s="26"/>
      <c r="L35" s="26"/>
      <c r="M35" s="26"/>
      <c r="N35" s="27"/>
      <c r="O35" s="160">
        <f>'Base data for vehicles'!F88</f>
        <v>62.271214099216706</v>
      </c>
      <c r="P35" s="67" t="s">
        <v>42</v>
      </c>
    </row>
    <row r="36" spans="1:20" ht="12.5">
      <c r="A36" s="10" t="s">
        <v>217</v>
      </c>
      <c r="B36" s="28"/>
      <c r="C36" s="29"/>
      <c r="D36" s="29"/>
      <c r="E36" s="29"/>
      <c r="F36" s="29"/>
      <c r="G36" s="29"/>
      <c r="H36" s="30"/>
      <c r="I36" s="29">
        <f>'Base data for vehicles'!$H$63</f>
        <v>889.58877284595303</v>
      </c>
      <c r="J36" s="29">
        <f>'Base data for vehicles'!$H$63</f>
        <v>889.58877284595303</v>
      </c>
      <c r="K36" s="29">
        <f>'Base data for vehicles'!$H$63</f>
        <v>889.58877284595303</v>
      </c>
      <c r="L36" s="29">
        <f>'Base data for vehicles'!$H$63</f>
        <v>889.58877284595303</v>
      </c>
      <c r="M36" s="29">
        <f>'Base data for vehicles'!$H$63</f>
        <v>889.58877284595303</v>
      </c>
      <c r="N36" s="30">
        <f>'Base data for vehicles'!$H$63</f>
        <v>889.58877284595303</v>
      </c>
      <c r="O36" s="29"/>
      <c r="P36" s="88"/>
    </row>
    <row r="37" spans="1:20" ht="13">
      <c r="A37" s="93" t="s">
        <v>219</v>
      </c>
      <c r="B37" s="94"/>
      <c r="C37" s="95"/>
      <c r="D37" s="95"/>
      <c r="E37" s="95"/>
      <c r="F37" s="95"/>
      <c r="G37" s="95"/>
      <c r="H37" s="96"/>
      <c r="I37" s="94">
        <v>26</v>
      </c>
      <c r="J37" s="95">
        <v>26</v>
      </c>
      <c r="K37" s="95">
        <v>26</v>
      </c>
      <c r="L37" s="95">
        <v>26</v>
      </c>
      <c r="M37" s="95">
        <v>26</v>
      </c>
      <c r="N37" s="96">
        <v>26</v>
      </c>
      <c r="O37" s="95"/>
      <c r="P37" s="67" t="s">
        <v>43</v>
      </c>
    </row>
    <row r="38" spans="1:20" ht="13">
      <c r="A38" s="93" t="s">
        <v>44</v>
      </c>
      <c r="B38" s="94"/>
      <c r="C38" s="95"/>
      <c r="D38" s="95"/>
      <c r="E38" s="95"/>
      <c r="F38" s="95"/>
      <c r="G38" s="95"/>
      <c r="H38" s="96"/>
      <c r="I38" s="94">
        <v>85</v>
      </c>
      <c r="J38" s="95">
        <v>85</v>
      </c>
      <c r="K38" s="95">
        <v>85</v>
      </c>
      <c r="L38" s="95">
        <v>85</v>
      </c>
      <c r="M38" s="95">
        <v>85</v>
      </c>
      <c r="N38" s="96">
        <v>85</v>
      </c>
      <c r="O38" s="95"/>
      <c r="P38" s="67"/>
    </row>
    <row r="39" spans="1:20" ht="13">
      <c r="A39" s="93" t="s">
        <v>45</v>
      </c>
      <c r="B39" s="94"/>
      <c r="C39" s="95"/>
      <c r="D39" s="95"/>
      <c r="E39" s="95"/>
      <c r="F39" s="95"/>
      <c r="G39" s="95"/>
      <c r="H39" s="96"/>
      <c r="I39" s="94">
        <v>25</v>
      </c>
      <c r="J39" s="95">
        <v>25</v>
      </c>
      <c r="K39" s="95">
        <v>25</v>
      </c>
      <c r="L39" s="95">
        <v>25</v>
      </c>
      <c r="M39" s="95">
        <v>25</v>
      </c>
      <c r="N39" s="96"/>
      <c r="O39" s="95"/>
      <c r="P39" s="67"/>
    </row>
    <row r="40" spans="1:20" ht="13">
      <c r="A40" s="93" t="s">
        <v>48</v>
      </c>
      <c r="B40" s="94"/>
      <c r="C40" s="95"/>
      <c r="D40" s="95"/>
      <c r="E40" s="95"/>
      <c r="F40" s="95"/>
      <c r="G40" s="95"/>
      <c r="H40" s="96"/>
      <c r="I40" s="97">
        <f t="shared" ref="I40:N40" si="12">$Y76*1000/3.6</f>
        <v>0</v>
      </c>
      <c r="J40" s="98">
        <f t="shared" si="12"/>
        <v>0</v>
      </c>
      <c r="K40" s="98">
        <f t="shared" si="12"/>
        <v>0</v>
      </c>
      <c r="L40" s="98">
        <f t="shared" si="12"/>
        <v>0</v>
      </c>
      <c r="M40" s="98">
        <f t="shared" si="12"/>
        <v>0</v>
      </c>
      <c r="N40" s="99">
        <f t="shared" si="12"/>
        <v>0</v>
      </c>
      <c r="O40" s="29"/>
      <c r="P40" s="67" t="s">
        <v>49</v>
      </c>
      <c r="T40" s="31"/>
    </row>
    <row r="41" spans="1:20" ht="13">
      <c r="A41" s="93" t="s">
        <v>50</v>
      </c>
      <c r="B41" s="94"/>
      <c r="C41" s="95"/>
      <c r="D41" s="95"/>
      <c r="E41" s="95"/>
      <c r="F41" s="95"/>
      <c r="G41" s="95"/>
      <c r="H41" s="96"/>
      <c r="I41" s="94">
        <v>20</v>
      </c>
      <c r="J41" s="95">
        <v>21</v>
      </c>
      <c r="K41" s="95">
        <v>20</v>
      </c>
      <c r="L41" s="95">
        <v>20</v>
      </c>
      <c r="M41" s="95">
        <v>20</v>
      </c>
      <c r="N41" s="96">
        <v>20</v>
      </c>
      <c r="P41" s="67"/>
    </row>
    <row r="42" spans="1:20" ht="12.5">
      <c r="A42" s="92" t="s">
        <v>46</v>
      </c>
      <c r="B42" s="28">
        <f>'Base data for vehicles'!$H$113</f>
        <v>15</v>
      </c>
      <c r="C42" s="29">
        <f>'Base data for vehicles'!$H$113</f>
        <v>15</v>
      </c>
      <c r="D42" s="29">
        <f>'Base data for vehicles'!$H$113</f>
        <v>15</v>
      </c>
      <c r="E42" s="29">
        <f>'Base data for vehicles'!$H$116</f>
        <v>30</v>
      </c>
      <c r="F42" s="29">
        <f>'Base data for vehicles'!$H$116</f>
        <v>30</v>
      </c>
      <c r="G42" s="29">
        <f>'Base data for vehicles'!$H$121</f>
        <v>70</v>
      </c>
      <c r="H42" s="30">
        <f>'Base data for vehicles'!H135</f>
        <v>225</v>
      </c>
      <c r="I42" s="28">
        <f>$B42</f>
        <v>15</v>
      </c>
      <c r="J42" s="8">
        <f>$B42</f>
        <v>15</v>
      </c>
      <c r="K42" s="8">
        <f>$E42</f>
        <v>30</v>
      </c>
      <c r="L42" s="8">
        <f>$E42</f>
        <v>30</v>
      </c>
      <c r="M42" s="8">
        <f>G42</f>
        <v>70</v>
      </c>
      <c r="N42" s="30">
        <f>'Base data for vehicles'!H135</f>
        <v>225</v>
      </c>
      <c r="O42" s="29">
        <f>O44</f>
        <v>24700</v>
      </c>
      <c r="P42" s="67" t="s">
        <v>47</v>
      </c>
    </row>
    <row r="43" spans="1:20" ht="13">
      <c r="A43" s="93" t="s">
        <v>337</v>
      </c>
      <c r="B43" s="28"/>
      <c r="C43" s="29"/>
      <c r="D43" s="29"/>
      <c r="E43" s="29"/>
      <c r="F43" s="29"/>
      <c r="G43" s="29"/>
      <c r="H43" s="30"/>
      <c r="I43" s="7"/>
      <c r="J43" s="8"/>
      <c r="K43" s="8"/>
      <c r="L43" s="8"/>
      <c r="M43" s="8"/>
      <c r="N43" s="30"/>
      <c r="O43" s="29"/>
      <c r="P43" s="67"/>
    </row>
    <row r="44" spans="1:20" ht="13">
      <c r="A44" s="93" t="s">
        <v>48</v>
      </c>
      <c r="B44" s="28"/>
      <c r="C44" s="29"/>
      <c r="D44" s="29"/>
      <c r="E44" s="29"/>
      <c r="F44" s="29"/>
      <c r="G44" s="29"/>
      <c r="H44" s="30"/>
      <c r="I44" s="7"/>
      <c r="J44" s="8"/>
      <c r="K44" s="8"/>
      <c r="L44" s="8"/>
      <c r="M44" s="8"/>
      <c r="N44" s="30"/>
      <c r="O44" s="29">
        <f>'Base data for vehicles'!F102</f>
        <v>24700</v>
      </c>
      <c r="P44" s="67"/>
    </row>
    <row r="45" spans="1:20" ht="12.5">
      <c r="A45" s="10" t="s">
        <v>214</v>
      </c>
      <c r="B45" s="7">
        <v>0</v>
      </c>
      <c r="C45" s="29">
        <f>'Base data for vehicles'!H147</f>
        <v>400</v>
      </c>
      <c r="D45" s="8">
        <v>0</v>
      </c>
      <c r="E45" s="8">
        <v>0</v>
      </c>
      <c r="F45" s="8">
        <v>0</v>
      </c>
      <c r="G45" s="8">
        <v>0</v>
      </c>
      <c r="H45" s="9">
        <v>0</v>
      </c>
      <c r="I45" s="7"/>
      <c r="J45" s="8"/>
      <c r="K45" s="8"/>
      <c r="L45" s="8"/>
      <c r="M45" s="8"/>
      <c r="N45" s="9"/>
      <c r="O45" s="8"/>
      <c r="P45" s="67"/>
    </row>
    <row r="46" spans="1:20" ht="12.5">
      <c r="A46" s="10" t="s">
        <v>213</v>
      </c>
      <c r="B46" s="49"/>
      <c r="C46" s="50"/>
      <c r="D46" s="50"/>
      <c r="E46" s="50"/>
      <c r="F46" s="50"/>
      <c r="G46" s="50"/>
      <c r="H46" s="51"/>
      <c r="I46" s="7"/>
      <c r="J46" s="8"/>
      <c r="K46" s="8"/>
      <c r="L46" s="8"/>
      <c r="M46" s="8"/>
      <c r="N46" s="9"/>
      <c r="O46" s="8"/>
      <c r="P46" s="67"/>
    </row>
    <row r="47" spans="1:20" ht="12.5">
      <c r="A47" s="10"/>
      <c r="B47" s="49"/>
      <c r="C47" s="50"/>
      <c r="D47" s="50"/>
      <c r="E47" s="50"/>
      <c r="F47" s="50"/>
      <c r="G47" s="50"/>
      <c r="H47" s="51"/>
      <c r="I47" s="7"/>
      <c r="J47" s="8"/>
      <c r="K47" s="8"/>
      <c r="L47" s="8"/>
      <c r="M47" s="8"/>
      <c r="N47" s="9"/>
      <c r="O47" s="8"/>
      <c r="P47" s="67"/>
    </row>
    <row r="48" spans="1:20" ht="13">
      <c r="A48" s="6" t="s">
        <v>51</v>
      </c>
      <c r="B48" s="28"/>
      <c r="C48" s="29"/>
      <c r="D48" s="29"/>
      <c r="E48" s="29"/>
      <c r="F48" s="29"/>
      <c r="G48" s="29"/>
      <c r="H48" s="30"/>
      <c r="I48" s="7"/>
      <c r="J48" s="8"/>
      <c r="K48" s="8"/>
      <c r="L48" s="8"/>
      <c r="M48" s="8"/>
      <c r="N48" s="9"/>
      <c r="O48" s="8"/>
      <c r="P48" s="67"/>
    </row>
    <row r="49" spans="1:16" ht="12.5">
      <c r="A49" s="10" t="s">
        <v>52</v>
      </c>
      <c r="B49" s="7">
        <f t="shared" ref="B49:H49" si="13">B35*B24</f>
        <v>8050000</v>
      </c>
      <c r="C49" s="8">
        <f t="shared" si="13"/>
        <v>8050000</v>
      </c>
      <c r="D49" s="8">
        <f t="shared" si="13"/>
        <v>8050000</v>
      </c>
      <c r="E49" s="8">
        <f t="shared" si="13"/>
        <v>8510000</v>
      </c>
      <c r="F49" s="8">
        <f t="shared" si="13"/>
        <v>8510000</v>
      </c>
      <c r="G49" s="8">
        <f t="shared" si="13"/>
        <v>11500000</v>
      </c>
      <c r="H49" s="9">
        <f t="shared" si="13"/>
        <v>13800000</v>
      </c>
      <c r="I49" s="7"/>
      <c r="J49" s="8"/>
      <c r="K49" s="8"/>
      <c r="L49" s="8"/>
      <c r="M49" s="8"/>
      <c r="N49" s="9"/>
      <c r="O49" s="8"/>
      <c r="P49" s="67"/>
    </row>
    <row r="50" spans="1:16" ht="12.5">
      <c r="A50" s="10" t="s">
        <v>217</v>
      </c>
      <c r="B50" s="7"/>
      <c r="C50" s="8"/>
      <c r="D50" s="8"/>
      <c r="E50" s="8"/>
      <c r="F50" s="8"/>
      <c r="G50" s="8"/>
      <c r="H50" s="9"/>
      <c r="I50" s="7">
        <f t="shared" ref="I50:N50" si="14">I36*I23</f>
        <v>20460541.77545692</v>
      </c>
      <c r="J50" s="8">
        <f t="shared" si="14"/>
        <v>20460541.77545692</v>
      </c>
      <c r="K50" s="8">
        <f t="shared" si="14"/>
        <v>20460541.77545692</v>
      </c>
      <c r="L50" s="8">
        <f t="shared" si="14"/>
        <v>20460541.77545692</v>
      </c>
      <c r="M50" s="8">
        <f t="shared" si="14"/>
        <v>20460541.77545692</v>
      </c>
      <c r="N50" s="9">
        <f t="shared" si="14"/>
        <v>20460541.77545692</v>
      </c>
      <c r="O50" s="8"/>
      <c r="P50" s="88"/>
    </row>
    <row r="51" spans="1:16" ht="13">
      <c r="A51" s="93" t="s">
        <v>53</v>
      </c>
      <c r="B51" s="94"/>
      <c r="C51" s="95"/>
      <c r="D51" s="95"/>
      <c r="E51" s="95"/>
      <c r="F51" s="95"/>
      <c r="G51" s="95"/>
      <c r="H51" s="96"/>
      <c r="I51" s="97">
        <f t="shared" ref="I51:N51" si="15">I25*I37</f>
        <v>598000</v>
      </c>
      <c r="J51" s="98">
        <f t="shared" si="15"/>
        <v>598000</v>
      </c>
      <c r="K51" s="98">
        <f t="shared" si="15"/>
        <v>598000</v>
      </c>
      <c r="L51" s="98">
        <f t="shared" si="15"/>
        <v>598000</v>
      </c>
      <c r="M51" s="98">
        <f t="shared" si="15"/>
        <v>598000</v>
      </c>
      <c r="N51" s="99">
        <f t="shared" si="15"/>
        <v>598000</v>
      </c>
      <c r="O51" s="98"/>
      <c r="P51" s="67"/>
    </row>
    <row r="52" spans="1:16" ht="13">
      <c r="A52" s="93" t="s">
        <v>54</v>
      </c>
      <c r="B52" s="97"/>
      <c r="C52" s="98"/>
      <c r="D52" s="98"/>
      <c r="E52" s="98"/>
      <c r="F52" s="98"/>
      <c r="G52" s="98"/>
      <c r="H52" s="99"/>
      <c r="I52" s="97">
        <f t="shared" ref="I52:N52" si="16">I38*I31</f>
        <v>1221875</v>
      </c>
      <c r="J52" s="98">
        <f t="shared" si="16"/>
        <v>1221875</v>
      </c>
      <c r="K52" s="98">
        <f t="shared" si="16"/>
        <v>1221875</v>
      </c>
      <c r="L52" s="98">
        <f t="shared" si="16"/>
        <v>1221875</v>
      </c>
      <c r="M52" s="98">
        <f t="shared" si="16"/>
        <v>1221875</v>
      </c>
      <c r="N52" s="99">
        <f t="shared" si="16"/>
        <v>1221875</v>
      </c>
      <c r="O52" s="98"/>
      <c r="P52" s="67"/>
    </row>
    <row r="53" spans="1:16" ht="13">
      <c r="A53" s="93" t="s">
        <v>55</v>
      </c>
      <c r="B53" s="97"/>
      <c r="C53" s="98"/>
      <c r="D53" s="98"/>
      <c r="E53" s="98"/>
      <c r="F53" s="98"/>
      <c r="G53" s="98"/>
      <c r="H53" s="99"/>
      <c r="I53" s="97">
        <f>I31*I39</f>
        <v>359375</v>
      </c>
      <c r="J53" s="98">
        <f>J31*J39</f>
        <v>359375</v>
      </c>
      <c r="K53" s="98">
        <f>K39*K31</f>
        <v>359375</v>
      </c>
      <c r="L53" s="98">
        <f>L39*L31</f>
        <v>359375</v>
      </c>
      <c r="M53" s="98">
        <f>M39*M31</f>
        <v>359375</v>
      </c>
      <c r="N53" s="99"/>
      <c r="O53" s="98"/>
      <c r="P53" s="67"/>
    </row>
    <row r="54" spans="1:16" ht="13">
      <c r="A54" s="93" t="s">
        <v>57</v>
      </c>
      <c r="B54" s="97"/>
      <c r="C54" s="98"/>
      <c r="D54" s="98"/>
      <c r="E54" s="98"/>
      <c r="F54" s="98"/>
      <c r="G54" s="98"/>
      <c r="H54" s="99"/>
      <c r="I54" s="97">
        <f t="shared" ref="I54:N54" si="17">I40*I20</f>
        <v>0</v>
      </c>
      <c r="J54" s="98">
        <f t="shared" si="17"/>
        <v>0</v>
      </c>
      <c r="K54" s="98">
        <f t="shared" si="17"/>
        <v>0</v>
      </c>
      <c r="L54" s="98">
        <f t="shared" si="17"/>
        <v>0</v>
      </c>
      <c r="M54" s="98">
        <f t="shared" si="17"/>
        <v>0</v>
      </c>
      <c r="N54" s="99">
        <f t="shared" si="17"/>
        <v>0</v>
      </c>
      <c r="O54" s="98"/>
      <c r="P54" s="67"/>
    </row>
    <row r="55" spans="1:16" ht="13">
      <c r="A55" s="93" t="s">
        <v>58</v>
      </c>
      <c r="B55" s="97"/>
      <c r="C55" s="98"/>
      <c r="D55" s="98"/>
      <c r="E55" s="98"/>
      <c r="F55" s="98"/>
      <c r="G55" s="98"/>
      <c r="H55" s="99"/>
      <c r="I55" s="97">
        <f t="shared" ref="I55:N55" si="18">I32*I41</f>
        <v>253000.00000000003</v>
      </c>
      <c r="J55" s="98">
        <f t="shared" si="18"/>
        <v>265650.00000000006</v>
      </c>
      <c r="K55" s="98">
        <f t="shared" si="18"/>
        <v>253000.00000000003</v>
      </c>
      <c r="L55" s="98">
        <f t="shared" si="18"/>
        <v>253000.00000000003</v>
      </c>
      <c r="M55" s="98">
        <f t="shared" si="18"/>
        <v>253000.00000000003</v>
      </c>
      <c r="N55" s="99">
        <f t="shared" si="18"/>
        <v>253000.00000000003</v>
      </c>
      <c r="O55" s="98"/>
      <c r="P55" s="100"/>
    </row>
    <row r="56" spans="1:16" ht="13">
      <c r="A56" s="10" t="s">
        <v>335</v>
      </c>
      <c r="B56" s="97"/>
      <c r="C56" s="98"/>
      <c r="D56" s="98"/>
      <c r="E56" s="98"/>
      <c r="F56" s="98"/>
      <c r="G56" s="98"/>
      <c r="H56" s="99"/>
      <c r="I56" s="97"/>
      <c r="J56" s="98"/>
      <c r="K56" s="98"/>
      <c r="L56" s="98"/>
      <c r="M56" s="98"/>
      <c r="N56" s="99"/>
      <c r="O56" s="9">
        <f>SUM(O57:O58)</f>
        <v>370697237.92428195</v>
      </c>
      <c r="P56" s="100"/>
    </row>
    <row r="57" spans="1:16" ht="13">
      <c r="A57" s="93" t="s">
        <v>53</v>
      </c>
      <c r="B57" s="97"/>
      <c r="C57" s="98"/>
      <c r="D57" s="98"/>
      <c r="E57" s="98"/>
      <c r="F57" s="98"/>
      <c r="G57" s="98"/>
      <c r="H57" s="99"/>
      <c r="I57" s="97"/>
      <c r="J57" s="98"/>
      <c r="K57" s="98"/>
      <c r="L57" s="98"/>
      <c r="M57" s="98"/>
      <c r="N57" s="99"/>
      <c r="O57" s="98">
        <f>O35*O25</f>
        <v>1432237.9242819843</v>
      </c>
      <c r="P57" s="100"/>
    </row>
    <row r="58" spans="1:16" ht="13">
      <c r="A58" s="93" t="s">
        <v>57</v>
      </c>
      <c r="B58" s="97"/>
      <c r="C58" s="98"/>
      <c r="D58" s="98"/>
      <c r="E58" s="98"/>
      <c r="F58" s="98"/>
      <c r="G58" s="98"/>
      <c r="H58" s="99"/>
      <c r="I58" s="97"/>
      <c r="J58" s="98"/>
      <c r="K58" s="98"/>
      <c r="L58" s="98"/>
      <c r="M58" s="98"/>
      <c r="N58" s="99"/>
      <c r="O58" s="98">
        <f>O42*'Base data for vehicles'!H9/2</f>
        <v>369265000</v>
      </c>
      <c r="P58" s="100"/>
    </row>
    <row r="59" spans="1:16" ht="12.5">
      <c r="A59" s="92" t="s">
        <v>56</v>
      </c>
      <c r="B59" s="28">
        <f t="shared" ref="B59:N59" si="19">B42*B18</f>
        <v>1195518.6236253988</v>
      </c>
      <c r="C59" s="29">
        <f t="shared" si="19"/>
        <v>1195518.6236253988</v>
      </c>
      <c r="D59" s="29">
        <f t="shared" si="19"/>
        <v>1192837.5</v>
      </c>
      <c r="E59" s="29">
        <f t="shared" si="19"/>
        <v>2537405.9999999995</v>
      </c>
      <c r="F59" s="29">
        <f t="shared" si="19"/>
        <v>2537405.9999999995</v>
      </c>
      <c r="G59" s="29">
        <f t="shared" si="19"/>
        <v>5790204</v>
      </c>
      <c r="H59" s="30">
        <f t="shared" si="19"/>
        <v>19840950.000000004</v>
      </c>
      <c r="I59" s="28">
        <f t="shared" si="19"/>
        <v>1067427.3425226777</v>
      </c>
      <c r="J59" s="29">
        <f t="shared" si="19"/>
        <v>1055608.4070796461</v>
      </c>
      <c r="K59" s="29">
        <f t="shared" si="19"/>
        <v>2393779.2452830183</v>
      </c>
      <c r="L59" s="29">
        <f t="shared" si="19"/>
        <v>2393779.2452830183</v>
      </c>
      <c r="M59" s="29">
        <f t="shared" si="19"/>
        <v>5361299.9999999991</v>
      </c>
      <c r="N59" s="30">
        <f t="shared" si="19"/>
        <v>19644504.950495049</v>
      </c>
      <c r="O59" s="29"/>
      <c r="P59" s="67"/>
    </row>
    <row r="60" spans="1:16" ht="12.5">
      <c r="A60" s="92" t="s">
        <v>218</v>
      </c>
      <c r="B60" s="28">
        <f t="shared" ref="B60:H60" si="20">B45*B23+B46*B24</f>
        <v>0</v>
      </c>
      <c r="C60" s="29">
        <f t="shared" si="20"/>
        <v>9200000</v>
      </c>
      <c r="D60" s="29">
        <f t="shared" si="20"/>
        <v>0</v>
      </c>
      <c r="E60" s="29">
        <f t="shared" si="20"/>
        <v>0</v>
      </c>
      <c r="F60" s="29">
        <f t="shared" si="20"/>
        <v>0</v>
      </c>
      <c r="G60" s="29">
        <f t="shared" si="20"/>
        <v>0</v>
      </c>
      <c r="H60" s="29">
        <f t="shared" si="20"/>
        <v>0</v>
      </c>
      <c r="I60" s="28"/>
      <c r="J60" s="29"/>
      <c r="K60" s="29"/>
      <c r="L60" s="29"/>
      <c r="M60" s="29"/>
      <c r="N60" s="30"/>
      <c r="O60" s="29"/>
      <c r="P60" s="67"/>
    </row>
    <row r="61" spans="1:16" ht="13">
      <c r="A61" s="6" t="s">
        <v>59</v>
      </c>
      <c r="B61" s="32">
        <f t="shared" ref="B61:H61" si="21">SUM(B49:B60)</f>
        <v>9245518.6236253995</v>
      </c>
      <c r="C61" s="33">
        <f t="shared" si="21"/>
        <v>18445518.623625398</v>
      </c>
      <c r="D61" s="33">
        <f t="shared" si="21"/>
        <v>9242837.5</v>
      </c>
      <c r="E61" s="33">
        <f t="shared" si="21"/>
        <v>11047406</v>
      </c>
      <c r="F61" s="33">
        <f t="shared" si="21"/>
        <v>11047406</v>
      </c>
      <c r="G61" s="33">
        <f t="shared" si="21"/>
        <v>17290204</v>
      </c>
      <c r="H61" s="34">
        <f t="shared" si="21"/>
        <v>33640950</v>
      </c>
      <c r="I61" s="32">
        <f t="shared" ref="I61:N61" si="22">SUM(I49:I50,I59:I60)</f>
        <v>21527969.117979597</v>
      </c>
      <c r="J61" s="33">
        <f t="shared" si="22"/>
        <v>21516150.182536565</v>
      </c>
      <c r="K61" s="33">
        <f t="shared" si="22"/>
        <v>22854321.020739939</v>
      </c>
      <c r="L61" s="33">
        <f t="shared" si="22"/>
        <v>22854321.020739939</v>
      </c>
      <c r="M61" s="33">
        <f t="shared" si="22"/>
        <v>25821841.77545692</v>
      </c>
      <c r="N61" s="34">
        <f t="shared" si="22"/>
        <v>40105046.72595197</v>
      </c>
      <c r="O61" s="33">
        <f>SUM(O49:O50,O59:O60,O56)</f>
        <v>370697237.92428195</v>
      </c>
      <c r="P61" s="88"/>
    </row>
    <row r="62" spans="1:16" ht="13">
      <c r="A62" s="6"/>
      <c r="B62" s="47"/>
      <c r="C62" s="47"/>
      <c r="D62" s="47"/>
      <c r="E62" s="47"/>
      <c r="F62" s="47"/>
      <c r="G62" s="47"/>
      <c r="H62" s="47"/>
      <c r="I62" s="47"/>
      <c r="J62" s="47"/>
      <c r="K62" s="47"/>
      <c r="L62" s="47"/>
      <c r="M62" s="47"/>
      <c r="N62" s="47"/>
      <c r="O62" s="47"/>
    </row>
    <row r="63" spans="1:16" ht="14.5">
      <c r="A63" s="48" t="s">
        <v>86</v>
      </c>
      <c r="B63"/>
      <c r="C63"/>
      <c r="D63"/>
      <c r="E63"/>
      <c r="F63"/>
      <c r="G63"/>
      <c r="H63"/>
      <c r="I63"/>
      <c r="J63"/>
      <c r="K63"/>
      <c r="L63"/>
      <c r="M63"/>
      <c r="N63"/>
      <c r="O63"/>
    </row>
    <row r="64" spans="1:16" ht="14.5">
      <c r="A64" s="5" t="s">
        <v>88</v>
      </c>
      <c r="B64" s="74">
        <f>(B61/'Base data for vehicles'!$J$15)*(1-'Base data for vehicles'!$J$15)</f>
        <v>83209667.612628594</v>
      </c>
      <c r="C64" s="75">
        <f t="shared" ref="C64:H64" si="23">B64</f>
        <v>83209667.612628594</v>
      </c>
      <c r="D64" s="75">
        <f t="shared" si="23"/>
        <v>83209667.612628594</v>
      </c>
      <c r="E64" s="75">
        <f t="shared" si="23"/>
        <v>83209667.612628594</v>
      </c>
      <c r="F64" s="75">
        <f t="shared" si="23"/>
        <v>83209667.612628594</v>
      </c>
      <c r="G64" s="75">
        <f t="shared" si="23"/>
        <v>83209667.612628594</v>
      </c>
      <c r="H64" s="76">
        <f t="shared" si="23"/>
        <v>83209667.612628594</v>
      </c>
      <c r="I64" s="75">
        <f t="shared" ref="I64:O64" si="24">B64</f>
        <v>83209667.612628594</v>
      </c>
      <c r="J64" s="75">
        <f t="shared" si="24"/>
        <v>83209667.612628594</v>
      </c>
      <c r="K64" s="75">
        <f t="shared" si="24"/>
        <v>83209667.612628594</v>
      </c>
      <c r="L64" s="75">
        <f t="shared" si="24"/>
        <v>83209667.612628594</v>
      </c>
      <c r="M64" s="75">
        <f t="shared" si="24"/>
        <v>83209667.612628594</v>
      </c>
      <c r="N64" s="75">
        <f t="shared" si="24"/>
        <v>83209667.612628594</v>
      </c>
      <c r="O64" s="76">
        <f t="shared" si="24"/>
        <v>83209667.612628594</v>
      </c>
      <c r="P64" s="67"/>
    </row>
    <row r="65" spans="1:16" ht="14.5">
      <c r="A65" s="5" t="s">
        <v>196</v>
      </c>
      <c r="B65" s="79">
        <f>(B64+B61)</f>
        <v>92455186.236253992</v>
      </c>
      <c r="C65" s="77">
        <f t="shared" ref="C65:O65" si="25">C64+C61</f>
        <v>101655186.23625399</v>
      </c>
      <c r="D65" s="77">
        <f t="shared" si="25"/>
        <v>92452505.112628594</v>
      </c>
      <c r="E65" s="77">
        <f t="shared" si="25"/>
        <v>94257073.612628594</v>
      </c>
      <c r="F65" s="77">
        <f t="shared" si="25"/>
        <v>94257073.612628594</v>
      </c>
      <c r="G65" s="77">
        <f t="shared" si="25"/>
        <v>100499871.61262859</v>
      </c>
      <c r="H65" s="78">
        <f t="shared" si="25"/>
        <v>116850617.61262859</v>
      </c>
      <c r="I65" s="77">
        <f t="shared" si="25"/>
        <v>104737636.7306082</v>
      </c>
      <c r="J65" s="77">
        <f t="shared" si="25"/>
        <v>104725817.79516515</v>
      </c>
      <c r="K65" s="77">
        <f t="shared" si="25"/>
        <v>106063988.63336854</v>
      </c>
      <c r="L65" s="77">
        <f t="shared" si="25"/>
        <v>106063988.63336854</v>
      </c>
      <c r="M65" s="77">
        <f t="shared" si="25"/>
        <v>109031509.38808551</v>
      </c>
      <c r="N65" s="78">
        <f t="shared" si="25"/>
        <v>123314714.33858056</v>
      </c>
      <c r="O65" s="78">
        <f t="shared" si="25"/>
        <v>453906905.53691053</v>
      </c>
      <c r="P65" s="67"/>
    </row>
    <row r="66" spans="1:16" s="48" customFormat="1" ht="14.5">
      <c r="A66" s="48" t="s">
        <v>195</v>
      </c>
      <c r="B66" s="80">
        <f>B65-$D$65</f>
        <v>2681.1236253976822</v>
      </c>
      <c r="C66" s="81">
        <f t="shared" ref="C66:O66" si="26">C65-$D$65</f>
        <v>9202681.1236253977</v>
      </c>
      <c r="D66" s="81">
        <f t="shared" si="26"/>
        <v>0</v>
      </c>
      <c r="E66" s="81">
        <f>E65-$D$65</f>
        <v>1804568.5</v>
      </c>
      <c r="F66" s="81">
        <f t="shared" si="26"/>
        <v>1804568.5</v>
      </c>
      <c r="G66" s="81">
        <f t="shared" si="26"/>
        <v>8047366.5</v>
      </c>
      <c r="H66" s="82">
        <f t="shared" si="26"/>
        <v>24398112.5</v>
      </c>
      <c r="I66" s="81">
        <f t="shared" si="26"/>
        <v>12285131.617979601</v>
      </c>
      <c r="J66" s="81">
        <f t="shared" si="26"/>
        <v>12273312.682536557</v>
      </c>
      <c r="K66" s="81">
        <f t="shared" si="26"/>
        <v>13611483.520739943</v>
      </c>
      <c r="L66" s="81">
        <f t="shared" si="26"/>
        <v>13611483.520739943</v>
      </c>
      <c r="M66" s="81">
        <f t="shared" si="26"/>
        <v>16579004.27545692</v>
      </c>
      <c r="N66" s="82">
        <f t="shared" si="26"/>
        <v>30862209.22595197</v>
      </c>
      <c r="O66" s="82">
        <f t="shared" si="26"/>
        <v>361454400.42428195</v>
      </c>
      <c r="P66" s="67"/>
    </row>
    <row r="67" spans="1:16" s="348" customFormat="1" ht="13">
      <c r="A67" s="348" t="s">
        <v>743</v>
      </c>
      <c r="B67" s="373">
        <f>B66*10^5/10^9</f>
        <v>0.26811236253976822</v>
      </c>
      <c r="C67" s="373">
        <f t="shared" ref="C67:O67" si="27">C66*10^5/10^9</f>
        <v>920.2681123625398</v>
      </c>
      <c r="D67" s="373">
        <f t="shared" si="27"/>
        <v>0</v>
      </c>
      <c r="E67" s="373">
        <f t="shared" si="27"/>
        <v>180.45685</v>
      </c>
      <c r="F67" s="373">
        <f t="shared" si="27"/>
        <v>180.45685</v>
      </c>
      <c r="G67" s="373">
        <f t="shared" si="27"/>
        <v>804.73665000000005</v>
      </c>
      <c r="H67" s="373">
        <f t="shared" si="27"/>
        <v>2439.8112500000002</v>
      </c>
      <c r="I67" s="373">
        <f t="shared" si="27"/>
        <v>1228.5131617979603</v>
      </c>
      <c r="J67" s="373">
        <f t="shared" si="27"/>
        <v>1227.3312682536557</v>
      </c>
      <c r="K67" s="373">
        <f t="shared" si="27"/>
        <v>1361.1483520739944</v>
      </c>
      <c r="L67" s="373">
        <f t="shared" si="27"/>
        <v>1361.1483520739944</v>
      </c>
      <c r="M67" s="373">
        <f t="shared" si="27"/>
        <v>1657.9004275456921</v>
      </c>
      <c r="N67" s="373">
        <f t="shared" si="27"/>
        <v>3086.220922595197</v>
      </c>
      <c r="O67" s="373">
        <f t="shared" si="27"/>
        <v>36145.440042428192</v>
      </c>
      <c r="P67" s="359"/>
    </row>
    <row r="68" spans="1:16" s="48" customFormat="1" ht="14.5">
      <c r="A68" s="48" t="s">
        <v>246</v>
      </c>
      <c r="B68" s="117">
        <f>B65/$B$65</f>
        <v>1</v>
      </c>
      <c r="C68" s="117">
        <f t="shared" ref="C68:O68" si="28">C65/$B$65</f>
        <v>1.0995076682501177</v>
      </c>
      <c r="D68" s="117">
        <f t="shared" si="28"/>
        <v>0.99997100083040724</v>
      </c>
      <c r="E68" s="117">
        <f t="shared" si="28"/>
        <v>1.0194893055730825</v>
      </c>
      <c r="F68" s="117">
        <f t="shared" si="28"/>
        <v>1.0194893055730825</v>
      </c>
      <c r="G68" s="117">
        <f t="shared" si="28"/>
        <v>1.0870117264792236</v>
      </c>
      <c r="H68" s="117">
        <f t="shared" si="28"/>
        <v>1.2638622274150861</v>
      </c>
      <c r="I68" s="117">
        <f t="shared" si="28"/>
        <v>1.1328476096837707</v>
      </c>
      <c r="J68" s="117">
        <f t="shared" si="28"/>
        <v>1.1327197754764733</v>
      </c>
      <c r="K68" s="117">
        <f t="shared" si="28"/>
        <v>1.1471934993710304</v>
      </c>
      <c r="L68" s="117">
        <f t="shared" si="28"/>
        <v>1.1471934993710304</v>
      </c>
      <c r="M68" s="117">
        <f t="shared" si="28"/>
        <v>1.1792903548912168</v>
      </c>
      <c r="N68" s="117">
        <f t="shared" si="28"/>
        <v>1.3337782266045102</v>
      </c>
      <c r="O68" s="117">
        <f t="shared" si="28"/>
        <v>4.9094801926743861</v>
      </c>
      <c r="P68" s="5"/>
    </row>
    <row r="70" spans="1:16">
      <c r="A70" s="48" t="s">
        <v>220</v>
      </c>
    </row>
    <row r="71" spans="1:16">
      <c r="A71" s="5" t="s">
        <v>223</v>
      </c>
      <c r="B71" s="101">
        <f>B65/1000</f>
        <v>92455.186236253998</v>
      </c>
      <c r="C71" s="101">
        <f t="shared" ref="C71:O72" si="29">C65/1000</f>
        <v>101655.186236254</v>
      </c>
      <c r="D71" s="101">
        <f t="shared" si="29"/>
        <v>92452.505112628598</v>
      </c>
      <c r="E71" s="101">
        <f t="shared" si="29"/>
        <v>94257.073612628592</v>
      </c>
      <c r="F71" s="101">
        <f t="shared" si="29"/>
        <v>94257.073612628592</v>
      </c>
      <c r="G71" s="101">
        <f t="shared" si="29"/>
        <v>100499.87161262859</v>
      </c>
      <c r="H71" s="101">
        <f t="shared" si="29"/>
        <v>116850.6176126286</v>
      </c>
      <c r="I71" s="101">
        <f t="shared" si="29"/>
        <v>104737.6367306082</v>
      </c>
      <c r="J71" s="101">
        <f t="shared" si="29"/>
        <v>104725.81779516515</v>
      </c>
      <c r="K71" s="101">
        <f t="shared" si="29"/>
        <v>106063.98863336854</v>
      </c>
      <c r="L71" s="101">
        <f t="shared" si="29"/>
        <v>106063.98863336854</v>
      </c>
      <c r="M71" s="101">
        <f t="shared" si="29"/>
        <v>109031.50938808551</v>
      </c>
      <c r="N71" s="101">
        <f t="shared" si="29"/>
        <v>123314.71433858057</v>
      </c>
      <c r="O71" s="101">
        <f t="shared" si="29"/>
        <v>453906.90553691052</v>
      </c>
    </row>
    <row r="72" spans="1:16">
      <c r="A72" s="5" t="s">
        <v>222</v>
      </c>
      <c r="B72" s="101">
        <f>B66/1000</f>
        <v>2.681123625397682</v>
      </c>
      <c r="C72" s="101">
        <f t="shared" si="29"/>
        <v>9202.681123625398</v>
      </c>
      <c r="D72" s="101">
        <f t="shared" si="29"/>
        <v>0</v>
      </c>
      <c r="E72" s="101">
        <f t="shared" si="29"/>
        <v>1804.5685000000001</v>
      </c>
      <c r="F72" s="101">
        <f t="shared" si="29"/>
        <v>1804.5685000000001</v>
      </c>
      <c r="G72" s="101">
        <f t="shared" si="29"/>
        <v>8047.3665000000001</v>
      </c>
      <c r="H72" s="101">
        <f t="shared" si="29"/>
        <v>24398.112499999999</v>
      </c>
      <c r="I72" s="101">
        <f t="shared" si="29"/>
        <v>12285.131617979601</v>
      </c>
      <c r="J72" s="101">
        <f t="shared" si="29"/>
        <v>12273.312682536558</v>
      </c>
      <c r="K72" s="101">
        <f t="shared" si="29"/>
        <v>13611.483520739943</v>
      </c>
      <c r="L72" s="101">
        <f t="shared" si="29"/>
        <v>13611.483520739943</v>
      </c>
      <c r="M72" s="101">
        <f t="shared" si="29"/>
        <v>16579.004275456919</v>
      </c>
      <c r="N72" s="101">
        <f t="shared" si="29"/>
        <v>30862.20922595197</v>
      </c>
      <c r="O72" s="101">
        <f t="shared" si="29"/>
        <v>361454.40042428195</v>
      </c>
    </row>
    <row r="73" spans="1:16">
      <c r="A73" s="5" t="s">
        <v>224</v>
      </c>
      <c r="B73" s="5">
        <f t="shared" ref="B73:O73" si="30">SUM(B49:B50)/B23</f>
        <v>350</v>
      </c>
      <c r="C73" s="5">
        <f t="shared" si="30"/>
        <v>350</v>
      </c>
      <c r="D73" s="5">
        <f t="shared" si="30"/>
        <v>350</v>
      </c>
      <c r="E73" s="5">
        <f t="shared" si="30"/>
        <v>370</v>
      </c>
      <c r="F73" s="5">
        <f t="shared" si="30"/>
        <v>370</v>
      </c>
      <c r="G73" s="5">
        <f t="shared" si="30"/>
        <v>500</v>
      </c>
      <c r="H73" s="5">
        <f t="shared" si="30"/>
        <v>600</v>
      </c>
      <c r="I73" s="5">
        <f t="shared" si="30"/>
        <v>889.58877284595303</v>
      </c>
      <c r="J73" s="5">
        <f t="shared" si="30"/>
        <v>889.58877284595303</v>
      </c>
      <c r="K73" s="5">
        <f t="shared" si="30"/>
        <v>889.58877284595303</v>
      </c>
      <c r="L73" s="5">
        <f t="shared" si="30"/>
        <v>889.58877284595303</v>
      </c>
      <c r="M73" s="5">
        <f t="shared" si="30"/>
        <v>889.58877284595303</v>
      </c>
      <c r="N73" s="5">
        <f t="shared" si="30"/>
        <v>889.58877284595303</v>
      </c>
      <c r="O73" s="5">
        <f t="shared" si="30"/>
        <v>0</v>
      </c>
    </row>
    <row r="74" spans="1:16">
      <c r="A74" s="5" t="s">
        <v>225</v>
      </c>
      <c r="B74" s="101">
        <f>B59</f>
        <v>1195518.6236253988</v>
      </c>
      <c r="C74" s="101">
        <f t="shared" ref="C74:O74" si="31">C59</f>
        <v>1195518.6236253988</v>
      </c>
      <c r="D74" s="101">
        <f t="shared" si="31"/>
        <v>1192837.5</v>
      </c>
      <c r="E74" s="101">
        <f t="shared" si="31"/>
        <v>2537405.9999999995</v>
      </c>
      <c r="F74" s="101">
        <f t="shared" si="31"/>
        <v>2537405.9999999995</v>
      </c>
      <c r="G74" s="101">
        <f t="shared" si="31"/>
        <v>5790204</v>
      </c>
      <c r="H74" s="101">
        <f t="shared" si="31"/>
        <v>19840950.000000004</v>
      </c>
      <c r="I74" s="101">
        <f t="shared" si="31"/>
        <v>1067427.3425226777</v>
      </c>
      <c r="J74" s="101">
        <f t="shared" si="31"/>
        <v>1055608.4070796461</v>
      </c>
      <c r="K74" s="101">
        <f t="shared" si="31"/>
        <v>2393779.2452830183</v>
      </c>
      <c r="L74" s="101">
        <f t="shared" si="31"/>
        <v>2393779.2452830183</v>
      </c>
      <c r="M74" s="101">
        <f t="shared" si="31"/>
        <v>5361299.9999999991</v>
      </c>
      <c r="N74" s="101">
        <f t="shared" si="31"/>
        <v>19644504.950495049</v>
      </c>
      <c r="O74" s="101">
        <f t="shared" si="31"/>
        <v>0</v>
      </c>
    </row>
    <row r="76" spans="1:16">
      <c r="B76" s="101">
        <f t="shared" ref="B76:N76" si="32">B59/B23</f>
        <v>51.979070592408647</v>
      </c>
      <c r="C76" s="101">
        <f t="shared" si="32"/>
        <v>51.979070592408647</v>
      </c>
      <c r="D76" s="101">
        <f t="shared" si="32"/>
        <v>51.862499999999997</v>
      </c>
      <c r="E76" s="101">
        <f t="shared" si="32"/>
        <v>110.32199999999997</v>
      </c>
      <c r="F76" s="101">
        <f t="shared" si="32"/>
        <v>110.32199999999997</v>
      </c>
      <c r="G76" s="101">
        <f t="shared" si="32"/>
        <v>251.74799999999999</v>
      </c>
      <c r="H76" s="101">
        <f t="shared" si="32"/>
        <v>862.6500000000002</v>
      </c>
      <c r="I76" s="101">
        <f t="shared" si="32"/>
        <v>46.409884457507729</v>
      </c>
      <c r="J76" s="101">
        <f t="shared" si="32"/>
        <v>45.896017699115049</v>
      </c>
      <c r="K76" s="101">
        <f t="shared" si="32"/>
        <v>104.07735849056601</v>
      </c>
      <c r="L76" s="101">
        <f t="shared" si="32"/>
        <v>104.07735849056601</v>
      </c>
      <c r="M76" s="101">
        <f t="shared" si="32"/>
        <v>233.09999999999997</v>
      </c>
      <c r="N76" s="101">
        <f t="shared" si="32"/>
        <v>854.10891089108907</v>
      </c>
      <c r="O76" s="101"/>
    </row>
    <row r="77" spans="1:16" ht="14.5">
      <c r="O77"/>
    </row>
    <row r="78" spans="1:16">
      <c r="A78" s="5" t="s">
        <v>248</v>
      </c>
      <c r="C78" s="101">
        <f t="shared" ref="C78:N78" si="33">C66/C23</f>
        <v>400.11657059240861</v>
      </c>
      <c r="D78" s="101">
        <f t="shared" si="33"/>
        <v>0</v>
      </c>
      <c r="E78" s="101">
        <f t="shared" si="33"/>
        <v>78.459500000000006</v>
      </c>
      <c r="F78" s="101">
        <f t="shared" si="33"/>
        <v>78.459500000000006</v>
      </c>
      <c r="G78" s="101">
        <f t="shared" si="33"/>
        <v>349.88549999999998</v>
      </c>
      <c r="H78" s="101">
        <f t="shared" si="33"/>
        <v>1060.7874999999999</v>
      </c>
      <c r="I78" s="101">
        <f t="shared" si="33"/>
        <v>534.13615730346089</v>
      </c>
      <c r="J78" s="101">
        <f t="shared" si="33"/>
        <v>533.6222905450677</v>
      </c>
      <c r="K78" s="101">
        <f t="shared" si="33"/>
        <v>591.80363133651929</v>
      </c>
      <c r="L78" s="101">
        <f t="shared" si="33"/>
        <v>591.80363133651929</v>
      </c>
      <c r="M78" s="101">
        <f t="shared" si="33"/>
        <v>720.8262728459531</v>
      </c>
      <c r="N78" s="101">
        <f t="shared" si="33"/>
        <v>1341.8351837370421</v>
      </c>
      <c r="O78" s="101"/>
    </row>
    <row r="80" spans="1:16">
      <c r="A80" s="5" t="s">
        <v>71</v>
      </c>
    </row>
    <row r="81" spans="1:16">
      <c r="A81" s="48" t="s">
        <v>287</v>
      </c>
    </row>
    <row r="82" spans="1:16" ht="12">
      <c r="A82" s="124" t="s">
        <v>288</v>
      </c>
      <c r="B82" s="125"/>
      <c r="C82" s="126"/>
      <c r="D82" s="126"/>
      <c r="E82" s="126"/>
      <c r="F82" s="126"/>
      <c r="G82" s="126"/>
      <c r="H82" s="127"/>
      <c r="I82" s="125"/>
      <c r="J82" s="126"/>
      <c r="K82" s="126"/>
      <c r="L82" s="126"/>
      <c r="M82" s="126"/>
      <c r="N82" s="127"/>
      <c r="O82" s="50"/>
      <c r="P82" s="67"/>
    </row>
    <row r="83" spans="1:16" ht="12.5">
      <c r="A83" s="10" t="s">
        <v>269</v>
      </c>
      <c r="B83" s="128">
        <f>B23/('Base data for vehicles'!$J$18/1000)</f>
        <v>255555.55555555556</v>
      </c>
      <c r="C83" s="129">
        <f>C23/('Base data for vehicles'!$J$18/1000)</f>
        <v>255555.55555555556</v>
      </c>
      <c r="D83" s="129">
        <f>D23/('Base data for vehicles'!$J$18/1000)</f>
        <v>255555.55555555556</v>
      </c>
      <c r="E83" s="129">
        <f>E23/('Base data for vehicles'!$J$18/1000)</f>
        <v>255555.55555555556</v>
      </c>
      <c r="F83" s="129">
        <f>F23/('Base data for vehicles'!$J$18/1000)</f>
        <v>255555.55555555556</v>
      </c>
      <c r="G83" s="129">
        <f>G23/('Base data for vehicles'!$J$18/1000)</f>
        <v>255555.55555555556</v>
      </c>
      <c r="H83" s="130">
        <f>H23/('Base data for vehicles'!$J$18/1000)</f>
        <v>255555.55555555556</v>
      </c>
      <c r="I83" s="128">
        <f>I23/('Base data for vehicles'!$J$61/1000)</f>
        <v>1533333.3333333335</v>
      </c>
      <c r="J83" s="129">
        <f>J23/('Base data for vehicles'!$J$61/1000)</f>
        <v>1533333.3333333335</v>
      </c>
      <c r="K83" s="129">
        <f>K23/('Base data for vehicles'!$J$61/1000)</f>
        <v>1533333.3333333335</v>
      </c>
      <c r="L83" s="129">
        <f>L23/('Base data for vehicles'!$J$61/1000)</f>
        <v>1533333.3333333335</v>
      </c>
      <c r="M83" s="129">
        <f>M23/('Base data for vehicles'!$J$61/1000)</f>
        <v>1533333.3333333335</v>
      </c>
      <c r="N83" s="130">
        <f>N23/('Base data for vehicles'!$J$61/1000)</f>
        <v>1533333.3333333335</v>
      </c>
      <c r="O83" s="129"/>
      <c r="P83" s="68">
        <f>I83/H83</f>
        <v>6.0000000000000009</v>
      </c>
    </row>
    <row r="84" spans="1:16" ht="12.5">
      <c r="A84" s="10" t="s">
        <v>270</v>
      </c>
      <c r="B84" s="128">
        <f>B23/'Base data for vehicles'!$J$19</f>
        <v>287.5</v>
      </c>
      <c r="C84" s="129">
        <f>C23/'Base data for vehicles'!$J$19</f>
        <v>287.5</v>
      </c>
      <c r="D84" s="129">
        <f>D23/'Base data for vehicles'!$J$19</f>
        <v>287.5</v>
      </c>
      <c r="E84" s="129">
        <f>E23/'Base data for vehicles'!$J$19</f>
        <v>287.5</v>
      </c>
      <c r="F84" s="129">
        <f>F23/'Base data for vehicles'!$J$19</f>
        <v>287.5</v>
      </c>
      <c r="G84" s="129">
        <f>G23/'Base data for vehicles'!$J$19</f>
        <v>287.5</v>
      </c>
      <c r="H84" s="130">
        <f>H23/'Base data for vehicles'!$J$19</f>
        <v>287.5</v>
      </c>
      <c r="I84" s="128">
        <f>I23/'Base data for vehicles'!$J$62</f>
        <v>7666.666666666667</v>
      </c>
      <c r="J84" s="129">
        <f>J23/'Base data for vehicles'!$J$62</f>
        <v>7666.666666666667</v>
      </c>
      <c r="K84" s="129">
        <f>K23/'Base data for vehicles'!$J$62</f>
        <v>7666.666666666667</v>
      </c>
      <c r="L84" s="129">
        <f>L23/'Base data for vehicles'!$J$62</f>
        <v>7666.666666666667</v>
      </c>
      <c r="M84" s="129">
        <f>M23/'Base data for vehicles'!$J$62</f>
        <v>7666.666666666667</v>
      </c>
      <c r="N84" s="130">
        <f>N23/'Base data for vehicles'!$J$62</f>
        <v>7666.666666666667</v>
      </c>
      <c r="O84" s="129"/>
      <c r="P84" s="134">
        <f>I84/H84</f>
        <v>26.666666666666668</v>
      </c>
    </row>
    <row r="85" spans="1:16" ht="12">
      <c r="A85" s="124" t="s">
        <v>289</v>
      </c>
      <c r="B85" s="49"/>
      <c r="C85" s="50"/>
      <c r="D85" s="50"/>
      <c r="E85" s="50"/>
      <c r="F85" s="50"/>
      <c r="G85" s="50"/>
      <c r="H85" s="51"/>
      <c r="I85" s="49"/>
      <c r="J85" s="50"/>
      <c r="K85" s="50"/>
      <c r="L85" s="50"/>
      <c r="M85" s="50"/>
      <c r="N85" s="51"/>
      <c r="O85" s="50"/>
      <c r="P85" s="67"/>
    </row>
    <row r="86" spans="1:16" ht="12.5">
      <c r="A86" s="10" t="s">
        <v>269</v>
      </c>
      <c r="B86" s="128">
        <f>B17*'Unit conversion'!$B$6*1000</f>
        <v>1886453.8473513487</v>
      </c>
      <c r="C86" s="129">
        <f>C17*'Unit conversion'!$B$6*1000</f>
        <v>1886453.8473513487</v>
      </c>
      <c r="D86" s="129">
        <f>D17*'Unit conversion'!$C$6*1000</f>
        <v>1723318.017456359</v>
      </c>
      <c r="E86" s="129">
        <f>E17*'Unit conversion'!$E$6*1000</f>
        <v>3718693.7094972064</v>
      </c>
      <c r="F86" s="129">
        <f>F17*'Unit conversion'!$F$6*1000</f>
        <v>3718693.7094972064</v>
      </c>
      <c r="G86" s="129">
        <f>G17*'Unit conversion'!$G$6*1000</f>
        <v>1492572.3542435423</v>
      </c>
      <c r="H86" s="130">
        <f>H17*'Unit conversion'!$H$6*1000</f>
        <v>621000.00000000012</v>
      </c>
      <c r="I86" s="128">
        <f>I17*'Unit conversion'!$B$6*1000</f>
        <v>1684333.7922779901</v>
      </c>
      <c r="J86" s="129">
        <f>J17*'Unit conversion'!$C$6*1000</f>
        <v>1525060.1924392558</v>
      </c>
      <c r="K86" s="129">
        <f>K17*'Unit conversion'!E6*1000</f>
        <v>3508201.6127332132</v>
      </c>
      <c r="L86" s="129">
        <f>L17*'Unit conversion'!F6*1000</f>
        <v>3508201.6127332132</v>
      </c>
      <c r="M86" s="129">
        <f>M17*'Unit conversion'!G6*1000</f>
        <v>1382011.4391143906</v>
      </c>
      <c r="N86" s="129">
        <f>N17*'Unit conversion'!H6*1000</f>
        <v>614851.48514851485</v>
      </c>
      <c r="O86" s="129"/>
      <c r="P86" s="67"/>
    </row>
    <row r="87" spans="1:16" ht="12.5">
      <c r="A87" s="10" t="s">
        <v>270</v>
      </c>
      <c r="B87" s="128">
        <f t="shared" ref="B87:N87" si="34">B17</f>
        <v>1911.3007571948822</v>
      </c>
      <c r="C87" s="129">
        <f t="shared" si="34"/>
        <v>1911.3007571948822</v>
      </c>
      <c r="D87" s="129">
        <f t="shared" si="34"/>
        <v>1983.1047381546134</v>
      </c>
      <c r="E87" s="129">
        <f t="shared" si="34"/>
        <v>4725.1508379888264</v>
      </c>
      <c r="F87" s="129">
        <f t="shared" si="34"/>
        <v>4725.1508379888264</v>
      </c>
      <c r="G87" s="129">
        <f t="shared" si="34"/>
        <v>3052.2952029520293</v>
      </c>
      <c r="H87" s="130">
        <f t="shared" si="34"/>
        <v>8746.4788732394391</v>
      </c>
      <c r="I87" s="128">
        <f t="shared" si="34"/>
        <v>1706.5185332097165</v>
      </c>
      <c r="J87" s="129">
        <f t="shared" si="34"/>
        <v>1754.9599452695695</v>
      </c>
      <c r="K87" s="129">
        <f t="shared" si="34"/>
        <v>4457.6894698007791</v>
      </c>
      <c r="L87" s="129">
        <f t="shared" si="34"/>
        <v>4457.6894698007791</v>
      </c>
      <c r="M87" s="129">
        <f t="shared" si="34"/>
        <v>2826.1992619926191</v>
      </c>
      <c r="N87" s="130">
        <f t="shared" si="34"/>
        <v>8659.8800725142937</v>
      </c>
      <c r="O87" s="129"/>
      <c r="P87" s="67"/>
    </row>
    <row r="88" spans="1:16" ht="12">
      <c r="A88" s="124" t="s">
        <v>292</v>
      </c>
      <c r="B88" s="49"/>
      <c r="C88" s="50"/>
      <c r="D88" s="50"/>
      <c r="E88" s="50"/>
      <c r="F88" s="50"/>
      <c r="G88" s="50"/>
      <c r="H88" s="51"/>
      <c r="I88" s="49"/>
      <c r="J88" s="50"/>
      <c r="K88" s="50"/>
      <c r="L88" s="50"/>
      <c r="M88" s="50"/>
      <c r="N88" s="51"/>
      <c r="O88" s="50"/>
      <c r="P88" s="67"/>
    </row>
    <row r="89" spans="1:16" ht="12.5">
      <c r="A89" s="10" t="s">
        <v>290</v>
      </c>
      <c r="B89" s="128">
        <f>B87*0.02*'Unit conversion'!$B$16</f>
        <v>305808.12115118117</v>
      </c>
      <c r="C89" s="129">
        <f>C87*0.02*'Unit conversion'!$B$16</f>
        <v>305808.12115118117</v>
      </c>
      <c r="D89" s="129">
        <f>D87*0.02*'Unit conversion'!$B$16</f>
        <v>317296.75810473814</v>
      </c>
      <c r="E89" s="129">
        <f>E87*0.02*'Unit conversion'!$B$16</f>
        <v>756024.1340782122</v>
      </c>
      <c r="F89" s="129">
        <f>F87*0.02*'Unit conversion'!$B$16</f>
        <v>756024.1340782122</v>
      </c>
      <c r="G89" s="129">
        <f>G87*0.02*2*'Unit conversion'!$B$16</f>
        <v>976734.46494464937</v>
      </c>
      <c r="H89" s="130">
        <f>H87*0.02*'Unit conversion'!$B$16*2</f>
        <v>2798873.2394366208</v>
      </c>
      <c r="I89" s="128">
        <f>I87*0.02*'Unit conversion'!$B$16</f>
        <v>273042.96531355463</v>
      </c>
      <c r="J89" s="129">
        <f>J87*0.02*'Unit conversion'!$B$16</f>
        <v>280793.59124313114</v>
      </c>
      <c r="K89" s="129">
        <f>K87*0.02*'Unit conversion'!$B$16</f>
        <v>713230.31516812462</v>
      </c>
      <c r="L89" s="129">
        <f>L87*0.02*'Unit conversion'!$B$16</f>
        <v>713230.31516812462</v>
      </c>
      <c r="M89" s="129">
        <f>M87*0.02*'Unit conversion'!$B$16*2</f>
        <v>904383.76383763808</v>
      </c>
      <c r="N89" s="130">
        <f>N87*0.02*'Unit conversion'!$B$16*2</f>
        <v>2771161.623204574</v>
      </c>
      <c r="O89" s="129"/>
      <c r="P89" s="68" t="s">
        <v>298</v>
      </c>
    </row>
    <row r="90" spans="1:16" ht="12.5">
      <c r="A90" s="10" t="s">
        <v>291</v>
      </c>
      <c r="B90" s="131">
        <f>B87*0.02</f>
        <v>38.226015143897648</v>
      </c>
      <c r="C90" s="132">
        <f t="shared" ref="C90:L90" si="35">C87*0.02</f>
        <v>38.226015143897648</v>
      </c>
      <c r="D90" s="132">
        <f t="shared" si="35"/>
        <v>39.66209476309227</v>
      </c>
      <c r="E90" s="132">
        <f t="shared" si="35"/>
        <v>94.503016759776528</v>
      </c>
      <c r="F90" s="132">
        <f t="shared" si="35"/>
        <v>94.503016759776528</v>
      </c>
      <c r="G90" s="132">
        <f>G87*0.02*2</f>
        <v>122.09180811808118</v>
      </c>
      <c r="H90" s="133">
        <f>H87*0.02*2</f>
        <v>349.85915492957758</v>
      </c>
      <c r="I90" s="131">
        <f t="shared" si="35"/>
        <v>34.130370664194331</v>
      </c>
      <c r="J90" s="132">
        <f t="shared" si="35"/>
        <v>35.09919890539139</v>
      </c>
      <c r="K90" s="132">
        <f t="shared" si="35"/>
        <v>89.153789396015583</v>
      </c>
      <c r="L90" s="132">
        <f t="shared" si="35"/>
        <v>89.153789396015583</v>
      </c>
      <c r="M90" s="132">
        <f>M87*0.02*2</f>
        <v>113.04797047970476</v>
      </c>
      <c r="N90" s="133">
        <f>N87*0.02*2</f>
        <v>346.39520290057175</v>
      </c>
      <c r="O90" s="129"/>
      <c r="P90" s="68" t="s">
        <v>298</v>
      </c>
    </row>
    <row r="92" spans="1:16" ht="26">
      <c r="A92" s="5" t="s">
        <v>294</v>
      </c>
      <c r="B92" s="2" t="s">
        <v>0</v>
      </c>
      <c r="C92" s="3" t="s">
        <v>60</v>
      </c>
      <c r="D92" s="3" t="s">
        <v>61</v>
      </c>
      <c r="E92" s="3" t="s">
        <v>1</v>
      </c>
      <c r="F92" s="3" t="s">
        <v>2</v>
      </c>
      <c r="G92" s="3" t="s">
        <v>3</v>
      </c>
      <c r="H92" s="4" t="s">
        <v>4</v>
      </c>
      <c r="I92" s="2" t="s">
        <v>5</v>
      </c>
      <c r="J92" s="3" t="s">
        <v>62</v>
      </c>
      <c r="K92" s="3" t="s">
        <v>6</v>
      </c>
      <c r="L92" s="3" t="s">
        <v>188</v>
      </c>
      <c r="M92" s="3" t="s">
        <v>7</v>
      </c>
      <c r="N92" s="4" t="s">
        <v>8</v>
      </c>
      <c r="O92" s="103"/>
    </row>
    <row r="93" spans="1:16">
      <c r="A93" s="5" t="s">
        <v>295</v>
      </c>
      <c r="B93" s="101">
        <f>B83</f>
        <v>255555.55555555556</v>
      </c>
      <c r="C93" s="101">
        <f t="shared" ref="C93:N93" si="36">C83</f>
        <v>255555.55555555556</v>
      </c>
      <c r="D93" s="101">
        <f t="shared" si="36"/>
        <v>255555.55555555556</v>
      </c>
      <c r="E93" s="101">
        <f t="shared" si="36"/>
        <v>255555.55555555556</v>
      </c>
      <c r="F93" s="101">
        <f t="shared" si="36"/>
        <v>255555.55555555556</v>
      </c>
      <c r="G93" s="101">
        <f t="shared" si="36"/>
        <v>255555.55555555556</v>
      </c>
      <c r="H93" s="101">
        <f t="shared" si="36"/>
        <v>255555.55555555556</v>
      </c>
      <c r="I93" s="101">
        <f t="shared" si="36"/>
        <v>1533333.3333333335</v>
      </c>
      <c r="J93" s="101">
        <f t="shared" si="36"/>
        <v>1533333.3333333335</v>
      </c>
      <c r="K93" s="101">
        <f t="shared" si="36"/>
        <v>1533333.3333333335</v>
      </c>
      <c r="L93" s="101">
        <f t="shared" si="36"/>
        <v>1533333.3333333335</v>
      </c>
      <c r="M93" s="101">
        <f t="shared" si="36"/>
        <v>1533333.3333333335</v>
      </c>
      <c r="N93" s="101">
        <f t="shared" si="36"/>
        <v>1533333.3333333335</v>
      </c>
      <c r="O93" s="101"/>
    </row>
    <row r="94" spans="1:16">
      <c r="A94" s="5" t="s">
        <v>286</v>
      </c>
      <c r="B94" s="101">
        <f>B86</f>
        <v>1886453.8473513487</v>
      </c>
      <c r="C94" s="101">
        <f t="shared" ref="C94:N94" si="37">C86</f>
        <v>1886453.8473513487</v>
      </c>
      <c r="D94" s="101">
        <f t="shared" si="37"/>
        <v>1723318.017456359</v>
      </c>
      <c r="E94" s="101">
        <f t="shared" si="37"/>
        <v>3718693.7094972064</v>
      </c>
      <c r="F94" s="101">
        <f t="shared" si="37"/>
        <v>3718693.7094972064</v>
      </c>
      <c r="G94" s="101">
        <f t="shared" si="37"/>
        <v>1492572.3542435423</v>
      </c>
      <c r="H94" s="101">
        <f t="shared" si="37"/>
        <v>621000.00000000012</v>
      </c>
      <c r="I94" s="101">
        <f t="shared" si="37"/>
        <v>1684333.7922779901</v>
      </c>
      <c r="J94" s="101">
        <f t="shared" si="37"/>
        <v>1525060.1924392558</v>
      </c>
      <c r="K94" s="101">
        <f t="shared" si="37"/>
        <v>3508201.6127332132</v>
      </c>
      <c r="L94" s="101">
        <f t="shared" si="37"/>
        <v>3508201.6127332132</v>
      </c>
      <c r="M94" s="101">
        <f t="shared" si="37"/>
        <v>1382011.4391143906</v>
      </c>
      <c r="N94" s="101">
        <f t="shared" si="37"/>
        <v>614851.48514851485</v>
      </c>
      <c r="O94" s="101"/>
    </row>
    <row r="95" spans="1:16">
      <c r="A95" s="5" t="s">
        <v>296</v>
      </c>
      <c r="B95" s="101">
        <f>B89</f>
        <v>305808.12115118117</v>
      </c>
      <c r="C95" s="101">
        <f t="shared" ref="C95:N95" si="38">C89</f>
        <v>305808.12115118117</v>
      </c>
      <c r="D95" s="101">
        <f t="shared" si="38"/>
        <v>317296.75810473814</v>
      </c>
      <c r="E95" s="101">
        <f t="shared" si="38"/>
        <v>756024.1340782122</v>
      </c>
      <c r="F95" s="101">
        <f t="shared" si="38"/>
        <v>756024.1340782122</v>
      </c>
      <c r="G95" s="101">
        <f t="shared" si="38"/>
        <v>976734.46494464937</v>
      </c>
      <c r="H95" s="101">
        <f t="shared" si="38"/>
        <v>2798873.2394366208</v>
      </c>
      <c r="I95" s="101">
        <f t="shared" si="38"/>
        <v>273042.96531355463</v>
      </c>
      <c r="J95" s="101">
        <f t="shared" si="38"/>
        <v>280793.59124313114</v>
      </c>
      <c r="K95" s="101">
        <f t="shared" si="38"/>
        <v>713230.31516812462</v>
      </c>
      <c r="L95" s="101">
        <f t="shared" si="38"/>
        <v>713230.31516812462</v>
      </c>
      <c r="M95" s="101">
        <f t="shared" si="38"/>
        <v>904383.76383763808</v>
      </c>
      <c r="N95" s="101">
        <f t="shared" si="38"/>
        <v>2771161.623204574</v>
      </c>
      <c r="O95" s="101"/>
    </row>
    <row r="96" spans="1:16">
      <c r="A96" s="5" t="s">
        <v>300</v>
      </c>
      <c r="B96" s="101">
        <f>SUM(B93:B95)</f>
        <v>2447817.5240580859</v>
      </c>
      <c r="C96" s="101">
        <f t="shared" ref="C96:N96" si="39">SUM(C93:C95)</f>
        <v>2447817.5240580859</v>
      </c>
      <c r="D96" s="101">
        <f t="shared" si="39"/>
        <v>2296170.3311166526</v>
      </c>
      <c r="E96" s="101">
        <f t="shared" si="39"/>
        <v>4730273.399130974</v>
      </c>
      <c r="F96" s="101">
        <f t="shared" si="39"/>
        <v>4730273.399130974</v>
      </c>
      <c r="G96" s="101">
        <f t="shared" si="39"/>
        <v>2724862.3747437471</v>
      </c>
      <c r="H96" s="101">
        <f t="shared" si="39"/>
        <v>3675428.7949921768</v>
      </c>
      <c r="I96" s="101">
        <f t="shared" si="39"/>
        <v>3490710.0909248786</v>
      </c>
      <c r="J96" s="101">
        <f t="shared" si="39"/>
        <v>3339187.1170157203</v>
      </c>
      <c r="K96" s="101">
        <f t="shared" si="39"/>
        <v>5754765.2612346718</v>
      </c>
      <c r="L96" s="101">
        <f t="shared" si="39"/>
        <v>5754765.2612346718</v>
      </c>
      <c r="M96" s="101">
        <f t="shared" si="39"/>
        <v>3819728.5362853622</v>
      </c>
      <c r="N96" s="101">
        <f t="shared" si="39"/>
        <v>4919346.4416864226</v>
      </c>
      <c r="O96" s="101"/>
    </row>
    <row r="97" spans="1:15">
      <c r="A97" s="5" t="s">
        <v>299</v>
      </c>
      <c r="B97" s="135">
        <f>(B96-$D$96)/$D$96</f>
        <v>6.6043529474438256E-2</v>
      </c>
      <c r="C97" s="135">
        <f t="shared" ref="C97:N97" si="40">(C96-$D$96)/$D$96</f>
        <v>6.6043529474438256E-2</v>
      </c>
      <c r="D97" s="135">
        <f t="shared" si="40"/>
        <v>0</v>
      </c>
      <c r="E97" s="135">
        <f t="shared" si="40"/>
        <v>1.060070777428167</v>
      </c>
      <c r="F97" s="135">
        <f t="shared" si="40"/>
        <v>1.060070777428167</v>
      </c>
      <c r="G97" s="135">
        <f t="shared" si="40"/>
        <v>0.18669871211976546</v>
      </c>
      <c r="H97" s="135">
        <f t="shared" si="40"/>
        <v>0.60067776557533337</v>
      </c>
      <c r="I97" s="135">
        <f t="shared" si="40"/>
        <v>0.52023133633440355</v>
      </c>
      <c r="J97" s="135">
        <f t="shared" si="40"/>
        <v>0.45424190521259689</v>
      </c>
      <c r="K97" s="135">
        <f t="shared" si="40"/>
        <v>1.5062449345541657</v>
      </c>
      <c r="L97" s="135">
        <f t="shared" si="40"/>
        <v>1.5062449345541657</v>
      </c>
      <c r="M97" s="135">
        <f t="shared" si="40"/>
        <v>0.66352142283268101</v>
      </c>
      <c r="N97" s="135">
        <f t="shared" si="40"/>
        <v>1.142413554875126</v>
      </c>
      <c r="O97" s="135"/>
    </row>
    <row r="98" spans="1:15" ht="26">
      <c r="A98" s="5" t="s">
        <v>297</v>
      </c>
      <c r="B98" s="2" t="s">
        <v>0</v>
      </c>
      <c r="C98" s="3" t="s">
        <v>60</v>
      </c>
      <c r="D98" s="3" t="s">
        <v>61</v>
      </c>
      <c r="E98" s="3" t="s">
        <v>1</v>
      </c>
      <c r="F98" s="3" t="s">
        <v>2</v>
      </c>
      <c r="G98" s="3" t="s">
        <v>3</v>
      </c>
      <c r="H98" s="4" t="s">
        <v>4</v>
      </c>
      <c r="I98" s="2" t="s">
        <v>5</v>
      </c>
      <c r="J98" s="3" t="s">
        <v>62</v>
      </c>
      <c r="K98" s="3" t="s">
        <v>6</v>
      </c>
      <c r="L98" s="3" t="s">
        <v>188</v>
      </c>
      <c r="M98" s="3" t="s">
        <v>7</v>
      </c>
      <c r="N98" s="4" t="s">
        <v>8</v>
      </c>
      <c r="O98" s="103"/>
    </row>
    <row r="99" spans="1:15">
      <c r="A99" s="5" t="s">
        <v>295</v>
      </c>
      <c r="B99" s="101">
        <f>B84</f>
        <v>287.5</v>
      </c>
      <c r="C99" s="101">
        <f t="shared" ref="C99:N99" si="41">C84</f>
        <v>287.5</v>
      </c>
      <c r="D99" s="101">
        <f t="shared" si="41"/>
        <v>287.5</v>
      </c>
      <c r="E99" s="101">
        <f t="shared" si="41"/>
        <v>287.5</v>
      </c>
      <c r="F99" s="101">
        <f t="shared" si="41"/>
        <v>287.5</v>
      </c>
      <c r="G99" s="101">
        <f t="shared" si="41"/>
        <v>287.5</v>
      </c>
      <c r="H99" s="101">
        <f t="shared" si="41"/>
        <v>287.5</v>
      </c>
      <c r="I99" s="101">
        <f t="shared" si="41"/>
        <v>7666.666666666667</v>
      </c>
      <c r="J99" s="101">
        <f t="shared" si="41"/>
        <v>7666.666666666667</v>
      </c>
      <c r="K99" s="101">
        <f t="shared" si="41"/>
        <v>7666.666666666667</v>
      </c>
      <c r="L99" s="101">
        <f t="shared" si="41"/>
        <v>7666.666666666667</v>
      </c>
      <c r="M99" s="101">
        <f t="shared" si="41"/>
        <v>7666.666666666667</v>
      </c>
      <c r="N99" s="101">
        <f t="shared" si="41"/>
        <v>7666.666666666667</v>
      </c>
      <c r="O99" s="101"/>
    </row>
    <row r="100" spans="1:15">
      <c r="A100" s="5" t="s">
        <v>286</v>
      </c>
      <c r="B100" s="101">
        <f>B87</f>
        <v>1911.3007571948822</v>
      </c>
      <c r="C100" s="101">
        <f t="shared" ref="C100:N100" si="42">C87</f>
        <v>1911.3007571948822</v>
      </c>
      <c r="D100" s="101">
        <f t="shared" si="42"/>
        <v>1983.1047381546134</v>
      </c>
      <c r="E100" s="101">
        <f t="shared" si="42"/>
        <v>4725.1508379888264</v>
      </c>
      <c r="F100" s="101">
        <f t="shared" si="42"/>
        <v>4725.1508379888264</v>
      </c>
      <c r="G100" s="101">
        <f t="shared" si="42"/>
        <v>3052.2952029520293</v>
      </c>
      <c r="H100" s="101">
        <f t="shared" si="42"/>
        <v>8746.4788732394391</v>
      </c>
      <c r="I100" s="101">
        <f t="shared" si="42"/>
        <v>1706.5185332097165</v>
      </c>
      <c r="J100" s="101">
        <f t="shared" si="42"/>
        <v>1754.9599452695695</v>
      </c>
      <c r="K100" s="101">
        <f t="shared" si="42"/>
        <v>4457.6894698007791</v>
      </c>
      <c r="L100" s="101">
        <f t="shared" si="42"/>
        <v>4457.6894698007791</v>
      </c>
      <c r="M100" s="101">
        <f t="shared" si="42"/>
        <v>2826.1992619926191</v>
      </c>
      <c r="N100" s="101">
        <f t="shared" si="42"/>
        <v>8659.8800725142937</v>
      </c>
      <c r="O100" s="101"/>
    </row>
    <row r="101" spans="1:15">
      <c r="A101" s="5" t="s">
        <v>296</v>
      </c>
      <c r="B101" s="101">
        <f>B90</f>
        <v>38.226015143897648</v>
      </c>
      <c r="C101" s="101">
        <f t="shared" ref="C101:N101" si="43">C90</f>
        <v>38.226015143897648</v>
      </c>
      <c r="D101" s="101">
        <f t="shared" si="43"/>
        <v>39.66209476309227</v>
      </c>
      <c r="E101" s="101">
        <f t="shared" si="43"/>
        <v>94.503016759776528</v>
      </c>
      <c r="F101" s="101">
        <f t="shared" si="43"/>
        <v>94.503016759776528</v>
      </c>
      <c r="G101" s="101">
        <f t="shared" si="43"/>
        <v>122.09180811808118</v>
      </c>
      <c r="H101" s="101">
        <f t="shared" si="43"/>
        <v>349.85915492957758</v>
      </c>
      <c r="I101" s="101">
        <f t="shared" si="43"/>
        <v>34.130370664194331</v>
      </c>
      <c r="J101" s="101">
        <f t="shared" si="43"/>
        <v>35.09919890539139</v>
      </c>
      <c r="K101" s="101">
        <f t="shared" si="43"/>
        <v>89.153789396015583</v>
      </c>
      <c r="L101" s="101">
        <f t="shared" si="43"/>
        <v>89.153789396015583</v>
      </c>
      <c r="M101" s="101">
        <f t="shared" si="43"/>
        <v>113.04797047970476</v>
      </c>
      <c r="N101" s="101">
        <f t="shared" si="43"/>
        <v>346.39520290057175</v>
      </c>
      <c r="O101" s="101"/>
    </row>
    <row r="102" spans="1:15">
      <c r="A102" s="5" t="s">
        <v>300</v>
      </c>
      <c r="B102" s="101">
        <f>SUM(B99:B101)</f>
        <v>2237.0267723387797</v>
      </c>
      <c r="C102" s="101">
        <f t="shared" ref="C102:N102" si="44">SUM(C99:C101)</f>
        <v>2237.0267723387797</v>
      </c>
      <c r="D102" s="101">
        <f t="shared" si="44"/>
        <v>2310.2668329177054</v>
      </c>
      <c r="E102" s="101">
        <f t="shared" si="44"/>
        <v>5107.1538547486034</v>
      </c>
      <c r="F102" s="101">
        <f t="shared" si="44"/>
        <v>5107.1538547486034</v>
      </c>
      <c r="G102" s="101">
        <f t="shared" si="44"/>
        <v>3461.8870110701105</v>
      </c>
      <c r="H102" s="101">
        <f t="shared" si="44"/>
        <v>9383.838028169017</v>
      </c>
      <c r="I102" s="101">
        <f t="shared" si="44"/>
        <v>9407.315570540577</v>
      </c>
      <c r="J102" s="101">
        <f t="shared" si="44"/>
        <v>9456.7258108416281</v>
      </c>
      <c r="K102" s="101">
        <f t="shared" si="44"/>
        <v>12213.509925863462</v>
      </c>
      <c r="L102" s="101">
        <f t="shared" si="44"/>
        <v>12213.509925863462</v>
      </c>
      <c r="M102" s="101">
        <f t="shared" si="44"/>
        <v>10605.913899138992</v>
      </c>
      <c r="N102" s="101">
        <f t="shared" si="44"/>
        <v>16672.941942081532</v>
      </c>
      <c r="O102" s="101"/>
    </row>
    <row r="103" spans="1:15">
      <c r="A103" s="5" t="s">
        <v>299</v>
      </c>
      <c r="B103" s="135">
        <f>(B102-$D$102)/$D$102</f>
        <v>-3.170199196706152E-2</v>
      </c>
      <c r="C103" s="135">
        <f t="shared" ref="C103:N103" si="45">(C102-$D$102)/$D$102</f>
        <v>-3.170199196706152E-2</v>
      </c>
      <c r="D103" s="135">
        <f t="shared" si="45"/>
        <v>0</v>
      </c>
      <c r="E103" s="135">
        <f t="shared" si="45"/>
        <v>1.2106337596937342</v>
      </c>
      <c r="F103" s="135">
        <f t="shared" si="45"/>
        <v>1.2106337596937342</v>
      </c>
      <c r="G103" s="135">
        <f t="shared" si="45"/>
        <v>0.49847929327626167</v>
      </c>
      <c r="H103" s="135">
        <f t="shared" si="45"/>
        <v>3.0617983578623629</v>
      </c>
      <c r="I103" s="135">
        <f t="shared" si="45"/>
        <v>3.0719606222540952</v>
      </c>
      <c r="J103" s="135">
        <f t="shared" si="45"/>
        <v>3.0933478661849834</v>
      </c>
      <c r="K103" s="135">
        <f t="shared" si="45"/>
        <v>4.2866230652840454</v>
      </c>
      <c r="L103" s="135">
        <f t="shared" si="45"/>
        <v>4.2866230652840454</v>
      </c>
      <c r="M103" s="135">
        <f t="shared" si="45"/>
        <v>3.5907744283133152</v>
      </c>
      <c r="N103" s="135">
        <f t="shared" si="45"/>
        <v>6.2168901464186161</v>
      </c>
      <c r="O103" s="135"/>
    </row>
  </sheetData>
  <pageMargins left="0.7" right="0.7" top="0.75" bottom="0.75" header="0.3" footer="0.3"/>
  <pageSetup paperSize="9" orientation="portrait" horizontalDpi="4294967292" verticalDpi="4294967292"/>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Base data for vehicles</vt:lpstr>
      <vt:lpstr>other cost data</vt:lpstr>
      <vt:lpstr>input to GET</vt:lpstr>
      <vt:lpstr>car 1 2050</vt:lpstr>
      <vt:lpstr>car 1 2010</vt:lpstr>
      <vt:lpstr>truck</vt:lpstr>
      <vt:lpstr>short sea</vt:lpstr>
      <vt:lpstr>ocean</vt:lpstr>
      <vt:lpstr>container</vt:lpstr>
      <vt:lpstr>RoPax</vt:lpstr>
      <vt:lpstr>Airplanes</vt:lpstr>
      <vt:lpstr>Unit conversion</vt:lpstr>
      <vt:lpstr>Cost conversion</vt:lpstr>
      <vt:lpstr>References</vt:lpstr>
      <vt:lpstr>Size and weight</vt:lpstr>
      <vt:lpstr>Engine and fuel cell efficiency</vt:lpstr>
      <vt:lpstr>References!_ENREF_6</vt:lpstr>
    </vt:vector>
  </TitlesOfParts>
  <Company>Chalmers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Selma Bengtsson</dc:creator>
  <cp:lastModifiedBy>Selma Brynolf</cp:lastModifiedBy>
  <cp:lastPrinted>2012-11-16T07:45:47Z</cp:lastPrinted>
  <dcterms:created xsi:type="dcterms:W3CDTF">2012-09-20T09:26:31Z</dcterms:created>
  <dcterms:modified xsi:type="dcterms:W3CDTF">2020-09-20T20:37:03Z</dcterms:modified>
</cp:coreProperties>
</file>